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1520" yWindow="48" windowWidth="11532" windowHeight="9612" tabRatio="693" activeTab="3"/>
  </bookViews>
  <sheets>
    <sheet name="Титульный" sheetId="6" r:id="rId1"/>
    <sheet name="1 городские нп (УЭС)" sheetId="13" r:id="rId2"/>
    <sheet name="2 не городские нп (УЭС)" sheetId="16" r:id="rId3"/>
    <sheet name="3 Организационные" sheetId="7" r:id="rId4"/>
    <sheet name="ЗАМЕНА Организационные меропри" sheetId="3" state="hidden" r:id="rId5"/>
    <sheet name="Организационные мероприятия" sheetId="4" state="hidden" r:id="rId6"/>
  </sheets>
  <externalReferences>
    <externalReference r:id="rId7"/>
  </externalReferences>
  <definedNames>
    <definedName name="_xlnm._FilterDatabase" localSheetId="1" hidden="1">'1 городские нп (УЭС)'!$A$9:$W$500</definedName>
    <definedName name="_xlnm._FilterDatabase" localSheetId="2" hidden="1">'2 не городские нп (УЭС)'!$A$9:$W$9</definedName>
    <definedName name="_xlnm._FilterDatabase" localSheetId="5" hidden="1">'Организационные мероприятия'!$A$11:$DU$65</definedName>
    <definedName name="logic">[1]TEHSHEET!$F$2:$F$3</definedName>
    <definedName name="MO_LIST_5">[1]REESTR_MO!$B$9</definedName>
    <definedName name="MONTH">[1]TEHSHEET!$D$2:$D$14</definedName>
    <definedName name="MR_LIST">[1]REESTR_MO!$E$2:$E$35</definedName>
    <definedName name="YEAR">[1]TEHSHEET!$E$2:$E$6</definedName>
    <definedName name="Z_0C6F55BF_C854_46A8_BA5F_C1ED47DD7181_.wvu.FilterData" localSheetId="1" hidden="1">'1 городские нп (УЭС)'!$A$9:$W$9</definedName>
    <definedName name="Z_0C6F55BF_C854_46A8_BA5F_C1ED47DD7181_.wvu.FilterData" localSheetId="2" hidden="1">'2 не городские нп (УЭС)'!$A$9:$W$9</definedName>
    <definedName name="Z_0CB0DA52_F445_4927_9AA2_C71984857A40_.wvu.FilterData" localSheetId="1" hidden="1">'1 городские нп (УЭС)'!$A$9:$W$9</definedName>
    <definedName name="Z_0CB0DA52_F445_4927_9AA2_C71984857A40_.wvu.FilterData" localSheetId="2" hidden="1">'2 не городские нп (УЭС)'!$A$9:$W$9</definedName>
    <definedName name="Z_0CB0DA52_F445_4927_9AA2_C71984857A40_.wvu.FilterData" localSheetId="5" hidden="1">'Организационные мероприятия'!$A$11:$DU$65</definedName>
    <definedName name="Z_0CB0DA52_F445_4927_9AA2_C71984857A40_.wvu.Rows" localSheetId="1" hidden="1">'1 городские нп (УЭС)'!$2:$6,'1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definedName>
    <definedName name="Z_0CB0DA52_F445_4927_9AA2_C71984857A40_.wvu.Rows" localSheetId="2" hidden="1">'2 не городские нп (УЭС)'!$2:$6,'2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definedName>
    <definedName name="Z_0ED4EF63_5D08_4DEB_B312_C0FBC2C39F95_.wvu.Cols" localSheetId="1" hidden="1">'1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definedName>
    <definedName name="Z_0ED4EF63_5D08_4DEB_B312_C0FBC2C39F95_.wvu.Cols" localSheetId="2" hidden="1">'2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definedName>
    <definedName name="Z_0ED4EF63_5D08_4DEB_B312_C0FBC2C39F95_.wvu.FilterData" localSheetId="1" hidden="1">'1 городские нп (УЭС)'!$A$9:$W$9</definedName>
    <definedName name="Z_0ED4EF63_5D08_4DEB_B312_C0FBC2C39F95_.wvu.FilterData" localSheetId="2" hidden="1">'2 не городские нп (УЭС)'!$A$9:$W$9</definedName>
    <definedName name="Z_0ED4EF63_5D08_4DEB_B312_C0FBC2C39F95_.wvu.FilterData" localSheetId="5" hidden="1">'Организационные мероприятия'!$A$11:$DU$65</definedName>
    <definedName name="Z_0ED4EF63_5D08_4DEB_B312_C0FBC2C39F95_.wvu.Rows" localSheetId="1" hidden="1">'1 городские нп (УЭС)'!$1:$6</definedName>
    <definedName name="Z_0ED4EF63_5D08_4DEB_B312_C0FBC2C39F95_.wvu.Rows" localSheetId="2" hidden="1">'2 не городские нп (УЭС)'!$1:$6</definedName>
    <definedName name="Z_1DC8B66E_352D_4F36_A7D5_86CAFF46F79E_.wvu.FilterData" localSheetId="1" hidden="1">'1 городские нп (УЭС)'!$A$9:$W$9</definedName>
    <definedName name="Z_1DC8B66E_352D_4F36_A7D5_86CAFF46F79E_.wvu.FilterData" localSheetId="2" hidden="1">'2 не городские нп (УЭС)'!$A$9:$W$9</definedName>
    <definedName name="Z_38D7A177_D4EE_496D_881E_6ED3B0D418B8_.wvu.FilterData" localSheetId="1" hidden="1">'1 городские нп (УЭС)'!$A$9:$W$9</definedName>
    <definedName name="Z_38D7A177_D4EE_496D_881E_6ED3B0D418B8_.wvu.FilterData" localSheetId="2" hidden="1">'2 не городские нп (УЭС)'!$A$9:$W$9</definedName>
    <definedName name="Z_39F5BC19_33A1_450E_8426_AA1A3487CB52_.wvu.Rows" localSheetId="1" hidden="1">'1 городские нп (УЭС)'!$1:$6</definedName>
    <definedName name="Z_39F5BC19_33A1_450E_8426_AA1A3487CB52_.wvu.Rows" localSheetId="2" hidden="1">'2 не городские нп (УЭС)'!$1:$6</definedName>
    <definedName name="Z_512A30C0_C237_4A61_86DC_72786D6F25C2_.wvu.FilterData" localSheetId="1" hidden="1">'1 городские нп (УЭС)'!$A$9:$W$9</definedName>
    <definedName name="Z_512A30C0_C237_4A61_86DC_72786D6F25C2_.wvu.FilterData" localSheetId="2" hidden="1">'2 не городские нп (УЭС)'!$A$9:$W$9</definedName>
    <definedName name="Z_512A30C0_C237_4A61_86DC_72786D6F25C2_.wvu.FilterData" localSheetId="5" hidden="1">'Организационные мероприятия'!$A$11:$DU$65</definedName>
    <definedName name="Z_512A30C0_C237_4A61_86DC_72786D6F25C2_.wvu.Rows" localSheetId="1" hidden="1">'1 городские нп (УЭС)'!$1:$6</definedName>
    <definedName name="Z_512A30C0_C237_4A61_86DC_72786D6F25C2_.wvu.Rows" localSheetId="2" hidden="1">'2 не городские нп (УЭС)'!$1:$6</definedName>
    <definedName name="Z_5F7A3ADC_7486_4D8A_A6F4_C4B82E4EEF29_.wvu.FilterData" localSheetId="1" hidden="1">'1 городские нп (УЭС)'!$A$9:$W$9</definedName>
    <definedName name="Z_5F7A3ADC_7486_4D8A_A6F4_C4B82E4EEF29_.wvu.FilterData" localSheetId="2" hidden="1">'2 не городские нп (УЭС)'!$A$9:$W$9</definedName>
    <definedName name="Z_6BDD9E66_BFEF_437C_92D4_C3942BAB2C45_.wvu.FilterData" localSheetId="1" hidden="1">'1 городские нп (УЭС)'!$A$9:$W$9</definedName>
    <definedName name="Z_6BDD9E66_BFEF_437C_92D4_C3942BAB2C45_.wvu.FilterData" localSheetId="2" hidden="1">'2 не городские нп (УЭС)'!$A$9:$W$9</definedName>
    <definedName name="Z_6BDD9E66_BFEF_437C_92D4_C3942BAB2C45_.wvu.FilterData" localSheetId="5" hidden="1">'Организационные мероприятия'!$A$11:$DU$65</definedName>
    <definedName name="Z_6BDD9E66_BFEF_437C_92D4_C3942BAB2C45_.wvu.Rows" localSheetId="1" hidden="1">'1 городские нп (УЭС)'!$1:$6</definedName>
    <definedName name="Z_6BDD9E66_BFEF_437C_92D4_C3942BAB2C45_.wvu.Rows" localSheetId="2" hidden="1">'2 не городские нп (УЭС)'!$1:$6</definedName>
    <definedName name="Z_74D0D4B6_9D40_49CF_96AF_89F460F9F4B2_.wvu.FilterData" localSheetId="1" hidden="1">'1 городские нп (УЭС)'!$A$9:$W$9</definedName>
    <definedName name="Z_74D0D4B6_9D40_49CF_96AF_89F460F9F4B2_.wvu.FilterData" localSheetId="2" hidden="1">'2 не городские нп (УЭС)'!$A$9:$W$9</definedName>
    <definedName name="Z_7B118219_3410_4C8C_AF0F_F2A340477A44_.wvu.FilterData" localSheetId="5" hidden="1">'Организационные мероприятия'!$A$11:$DU$65</definedName>
    <definedName name="Z_80574442_B43E_4411_8CEA_6FE6B37B1407_.wvu.FilterData" localSheetId="1" hidden="1">'1 городские нп (УЭС)'!$A$9:$W$9</definedName>
    <definedName name="Z_80574442_B43E_4411_8CEA_6FE6B37B1407_.wvu.FilterData" localSheetId="2" hidden="1">'2 не городские нп (УЭС)'!$A$9:$W$9</definedName>
    <definedName name="Z_8D5083AE_920B_44CB_A5D3_27095C623C8A_.wvu.FilterData" localSheetId="1" hidden="1">'1 городские нп (УЭС)'!$A$9:$W$9</definedName>
    <definedName name="Z_8D5083AE_920B_44CB_A5D3_27095C623C8A_.wvu.FilterData" localSheetId="2" hidden="1">'2 не городские нп (УЭС)'!$A$9:$W$9</definedName>
    <definedName name="Z_8E4DEA9B_2609_45FA_858A_E28E16842988_.wvu.FilterData" localSheetId="1" hidden="1">'1 городские нп (УЭС)'!$A$9:$W$9</definedName>
    <definedName name="Z_8E4DEA9B_2609_45FA_858A_E28E16842988_.wvu.FilterData" localSheetId="2" hidden="1">'2 не городские нп (УЭС)'!$A$9:$W$9</definedName>
    <definedName name="Z_9528F918_98F0_45FD_BE58_081CB6B26C60_.wvu.FilterData" localSheetId="1" hidden="1">'1 городские нп (УЭС)'!$A$9:$W$9</definedName>
    <definedName name="Z_9528F918_98F0_45FD_BE58_081CB6B26C60_.wvu.FilterData" localSheetId="2" hidden="1">'2 не городские нп (УЭС)'!$A$9:$W$9</definedName>
    <definedName name="Z_9528F918_98F0_45FD_BE58_081CB6B26C60_.wvu.FilterData" localSheetId="5" hidden="1">'Организационные мероприятия'!$A$11:$DU$65</definedName>
    <definedName name="Z_9528F918_98F0_45FD_BE58_081CB6B26C60_.wvu.Rows" localSheetId="1" hidden="1">'1 городские нп (УЭС)'!$2:$6,'1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definedName>
    <definedName name="Z_9528F918_98F0_45FD_BE58_081CB6B26C60_.wvu.Rows" localSheetId="2" hidden="1">'2 не городские нп (УЭС)'!$2:$6,'2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definedName>
    <definedName name="Z_C7ECD8E9_26D2_4B0C_98DD_E56E0E9C78BC_.wvu.FilterData" localSheetId="5" hidden="1">'Организационные мероприятия'!$A$11:$DU$65</definedName>
    <definedName name="Z_D39D4E7D_6C3D_47CF_BFE2_CDFE67B11C85_.wvu.FilterData" localSheetId="1" hidden="1">'1 городские нп (УЭС)'!$A$9:$W$9</definedName>
    <definedName name="Z_D39D4E7D_6C3D_47CF_BFE2_CDFE67B11C85_.wvu.FilterData" localSheetId="2" hidden="1">'2 не городские нп (УЭС)'!$A$9:$W$9</definedName>
    <definedName name="Z_D39D4E7D_6C3D_47CF_BFE2_CDFE67B11C85_.wvu.FilterData" localSheetId="5" hidden="1">'Организационные мероприятия'!$A$11:$DU$65</definedName>
    <definedName name="Z_D39D4E7D_6C3D_47CF_BFE2_CDFE67B11C85_.wvu.Rows" localSheetId="1" hidden="1">'1 городские нп (УЭС)'!$2:$6,'1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(УЭС)'!#REF!,'1 городские нп (УЭС)'!#REF!</definedName>
    <definedName name="Z_D39D4E7D_6C3D_47CF_BFE2_CDFE67B11C85_.wvu.Rows" localSheetId="2" hidden="1">'2 не городские нп (УЭС)'!$2:$6,'2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(УЭС)'!#REF!,'2 не городские нп (УЭС)'!#REF!</definedName>
    <definedName name="Z_D4E80FB1_EC64_4D59_B60D_943DFB476551_.wvu.FilterData" localSheetId="1" hidden="1">'1 городские нп (УЭС)'!$A$9:$W$9</definedName>
    <definedName name="Z_D4E80FB1_EC64_4D59_B60D_943DFB476551_.wvu.FilterData" localSheetId="2" hidden="1">'2 не городские нп (УЭС)'!$A$9:$W$9</definedName>
    <definedName name="Z_F0C41B50_8258_42CF_913C_7D6D133957C3_.wvu.FilterData" localSheetId="5" hidden="1">'Организационные мероприятия'!$A$11:$DU$65</definedName>
    <definedName name="вл" localSheetId="2">#REF!</definedName>
    <definedName name="вл">#REF!</definedName>
    <definedName name="_xlnm.Print_Titles" localSheetId="1">'1 городские нп (УЭС)'!$8:$9</definedName>
    <definedName name="_xlnm.Print_Titles" localSheetId="2">'2 не городские нп (УЭС)'!$8:$9</definedName>
    <definedName name="мат" localSheetId="2">#REF!</definedName>
    <definedName name="мат">#REF!</definedName>
    <definedName name="мат10" localSheetId="2">#REF!</definedName>
    <definedName name="мат10">#REF!</definedName>
    <definedName name="мат11" localSheetId="2">#REF!</definedName>
    <definedName name="мат11">#REF!</definedName>
    <definedName name="мат12" localSheetId="2">#REF!</definedName>
    <definedName name="мат12">#REF!</definedName>
    <definedName name="мат13" localSheetId="2">#REF!</definedName>
    <definedName name="мат13">#REF!</definedName>
    <definedName name="мат14" localSheetId="2">#REF!</definedName>
    <definedName name="мат14">#REF!</definedName>
    <definedName name="мат15" localSheetId="2">#REF!</definedName>
    <definedName name="мат15">#REF!</definedName>
    <definedName name="мат16" localSheetId="2">#REF!</definedName>
    <definedName name="мат16">#REF!</definedName>
    <definedName name="мат17" localSheetId="2">#REF!</definedName>
    <definedName name="мат17">#REF!</definedName>
    <definedName name="мат18" localSheetId="2">#REF!</definedName>
    <definedName name="мат18">#REF!</definedName>
    <definedName name="мат19" localSheetId="2">#REF!</definedName>
    <definedName name="мат19">#REF!</definedName>
    <definedName name="мат2" localSheetId="2">#REF!</definedName>
    <definedName name="мат2">#REF!</definedName>
    <definedName name="мат20" localSheetId="2">#REF!</definedName>
    <definedName name="мат20">#REF!</definedName>
    <definedName name="мат21" localSheetId="2">#REF!</definedName>
    <definedName name="мат21">#REF!</definedName>
    <definedName name="мат22" localSheetId="2">#REF!</definedName>
    <definedName name="мат22">#REF!</definedName>
    <definedName name="мат23" localSheetId="2">#REF!</definedName>
    <definedName name="мат23">#REF!</definedName>
    <definedName name="мат24" localSheetId="2">#REF!</definedName>
    <definedName name="мат24">#REF!</definedName>
    <definedName name="мат25" localSheetId="2">#REF!</definedName>
    <definedName name="мат25">#REF!</definedName>
    <definedName name="мат26" localSheetId="2">#REF!</definedName>
    <definedName name="мат26">#REF!</definedName>
    <definedName name="мат27" localSheetId="2">#REF!</definedName>
    <definedName name="мат27">#REF!</definedName>
    <definedName name="мат28" localSheetId="2">#REF!</definedName>
    <definedName name="мат28">#REF!</definedName>
    <definedName name="мат29" localSheetId="2">#REF!</definedName>
    <definedName name="мат29">#REF!</definedName>
    <definedName name="мат3" localSheetId="2">#REF!</definedName>
    <definedName name="мат3">#REF!</definedName>
    <definedName name="мат30" localSheetId="2">#REF!</definedName>
    <definedName name="мат30">#REF!</definedName>
    <definedName name="мат31" localSheetId="2">#REF!</definedName>
    <definedName name="мат31">#REF!</definedName>
    <definedName name="мат4" localSheetId="2">#REF!</definedName>
    <definedName name="мат4">#REF!</definedName>
    <definedName name="мат5" localSheetId="2">#REF!</definedName>
    <definedName name="мат5">#REF!</definedName>
    <definedName name="мат6" localSheetId="2">#REF!</definedName>
    <definedName name="мат6">#REF!</definedName>
    <definedName name="мат7" localSheetId="2">#REF!</definedName>
    <definedName name="мат7">#REF!</definedName>
    <definedName name="мат8" localSheetId="2">#REF!</definedName>
    <definedName name="мат8">#REF!</definedName>
    <definedName name="мат9" localSheetId="2">#REF!</definedName>
    <definedName name="мат9">#REF!</definedName>
    <definedName name="напр3" localSheetId="2">#REF!</definedName>
    <definedName name="напр3">#REF!</definedName>
    <definedName name="_xlnm.Print_Area" localSheetId="1">'1 городские нп (УЭС)'!$A$1:$BI$627</definedName>
    <definedName name="_xlnm.Print_Area" localSheetId="2">'2 не городские нп (УЭС)'!$A$1:$BI$124</definedName>
    <definedName name="Провод_СИП_4_2_16" localSheetId="1">#REF!</definedName>
    <definedName name="Провод_СИП_4_2_16" localSheetId="2">#REF!</definedName>
    <definedName name="Провод_СИП_4_2_16">#REF!</definedName>
    <definedName name="способ" localSheetId="2">#REF!</definedName>
    <definedName name="способ">#REF!</definedName>
    <definedName name="ставки" localSheetId="2">#REF!</definedName>
    <definedName name="ставки">#REF!</definedName>
    <definedName name="ур_напр1" localSheetId="2">#REF!</definedName>
    <definedName name="ур_напр1">#REF!</definedName>
    <definedName name="уровень.напряжения1" localSheetId="2">#REF!</definedName>
    <definedName name="уровень.напряжения1">#REF!</definedName>
    <definedName name="уровень_напряжения" localSheetId="2">#REF!</definedName>
    <definedName name="уровень_напряжения">#REF!</definedName>
  </definedNames>
  <calcPr calcId="144525"/>
  <customWorkbookViews>
    <customWorkbookView name="Высторопец Мария Сергеевна - Личное представление" guid="{9528F918-98F0-45FD-BE58-081CB6B26C60}" mergeInterval="0" personalView="1" maximized="1" xWindow="-8" yWindow="-8" windowWidth="1936" windowHeight="1056" activeSheetId="1"/>
    <customWorkbookView name="Блинова Татьяна Викторовна - Личное представление" guid="{512A30C0-C237-4A61-86DC-72786D6F25C2}" mergeInterval="0" personalView="1" maximized="1" xWindow="-8" yWindow="-8" windowWidth="1296" windowHeight="1000" activeSheetId="2"/>
    <customWorkbookView name="Савина Татьяна Вячеславовна - Личное представление" guid="{0CB0DA52-F445-4927-9AA2-C71984857A40}" mergeInterval="0" personalView="1" maximized="1" xWindow="-8" yWindow="-8" windowWidth="1936" windowHeight="1056" activeSheetId="2" showComments="commIndAndComment"/>
    <customWorkbookView name="Смирнова Татьяна Владимировна - Личное представление" guid="{6BDD9E66-BFEF-437C-92D4-C3942BAB2C45}" mergeInterval="0" personalView="1" maximized="1" xWindow="-8" yWindow="-8" windowWidth="1936" windowHeight="1056" activeSheetId="2"/>
    <customWorkbookView name="Сурмач Марина Валерьевна - Личное представление" guid="{0ED4EF63-5D08-4DEB-B312-C0FBC2C39F95}" mergeInterval="0" personalView="1" maximized="1" xWindow="-8" yWindow="-8" windowWidth="1936" windowHeight="1056" activeSheetId="2"/>
    <customWorkbookView name="Васькова Вероника Леонидовна - Личное представление" guid="{F0411C3B-1953-42F6-B0AB-C4CCEDB5FA1C}" mergeInterval="0" personalView="1" maximized="1" xWindow="-8" yWindow="-8" windowWidth="1936" windowHeight="1056" activeSheetId="2"/>
    <customWorkbookView name="Галашко Марина Валерьевна - Личное представление" guid="{39F5BC19-33A1-450E-8426-AA1A3487CB52}" mergeInterval="0" personalView="1" maximized="1" xWindow="-8" yWindow="-8" windowWidth="1296" windowHeight="1000" activeSheetId="1"/>
    <customWorkbookView name="Иванова Елена Алексеевна - Личное представление" guid="{D39D4E7D-6C3D-47CF-BFE2-CDFE67B11C85}" mergeInterval="0" personalView="1" maximized="1" xWindow="-8" yWindow="-8" windowWidth="1936" windowHeight="1056" activeSheetId="1"/>
  </customWorkbookViews>
  <fileRecoveryPr autoRecover="0"/>
</workbook>
</file>

<file path=xl/calcChain.xml><?xml version="1.0" encoding="utf-8"?>
<calcChain xmlns="http://schemas.openxmlformats.org/spreadsheetml/2006/main">
  <c r="F12" i="7" l="1"/>
  <c r="G12" i="7"/>
  <c r="K12" i="7"/>
  <c r="L12" i="7"/>
  <c r="P12" i="7"/>
  <c r="Q12" i="7"/>
  <c r="F13" i="7"/>
  <c r="G13" i="7"/>
  <c r="K13" i="7"/>
  <c r="L13" i="7"/>
  <c r="P13" i="7"/>
  <c r="Q13" i="7"/>
  <c r="M10" i="7"/>
  <c r="N10" i="7"/>
  <c r="O10" i="7"/>
  <c r="P15" i="7"/>
  <c r="Q15" i="7"/>
  <c r="J10" i="7" l="1"/>
  <c r="I10" i="7"/>
  <c r="H10" i="7"/>
  <c r="E10" i="7"/>
  <c r="D10" i="7"/>
  <c r="C10" i="7"/>
  <c r="L9" i="7"/>
  <c r="K9" i="7"/>
  <c r="G9" i="7"/>
  <c r="F9" i="7"/>
  <c r="L8" i="7"/>
  <c r="K8" i="7"/>
  <c r="G8" i="7"/>
  <c r="F8" i="7"/>
  <c r="J7" i="7"/>
  <c r="I7" i="7"/>
  <c r="H7" i="7"/>
  <c r="E7" i="7"/>
  <c r="D7" i="7"/>
  <c r="C7" i="7"/>
  <c r="Q9" i="7"/>
  <c r="P9" i="7"/>
  <c r="Q8" i="7"/>
  <c r="P8" i="7"/>
  <c r="O7" i="7"/>
  <c r="N7" i="7"/>
  <c r="M7" i="7"/>
  <c r="F7" i="7" l="1"/>
  <c r="K10" i="7"/>
  <c r="L10" i="7"/>
  <c r="N16" i="7"/>
  <c r="Q16" i="7" s="1"/>
  <c r="Q10" i="7"/>
  <c r="H16" i="7"/>
  <c r="O16" i="7"/>
  <c r="C16" i="7"/>
  <c r="I16" i="7"/>
  <c r="F10" i="7"/>
  <c r="D16" i="7"/>
  <c r="L7" i="7"/>
  <c r="G10" i="7"/>
  <c r="M16" i="7"/>
  <c r="J16" i="7"/>
  <c r="G7" i="7"/>
  <c r="K7" i="7"/>
  <c r="E16" i="7"/>
  <c r="P10" i="7"/>
  <c r="P7" i="7"/>
  <c r="Q7" i="7"/>
  <c r="P16" i="7" l="1"/>
  <c r="L16" i="7"/>
  <c r="K16" i="7"/>
  <c r="F16" i="7"/>
  <c r="G16" i="7"/>
  <c r="BH223" i="13" l="1"/>
  <c r="BI223" i="13"/>
  <c r="BH21" i="13"/>
  <c r="BI21" i="13"/>
  <c r="BH20" i="16"/>
  <c r="BI20" i="16"/>
  <c r="BI375" i="13"/>
  <c r="BI376" i="13"/>
  <c r="BI377" i="13"/>
  <c r="BI378" i="13"/>
  <c r="BH337" i="13"/>
  <c r="BI337" i="13"/>
  <c r="BH324" i="13"/>
  <c r="BI324" i="13"/>
  <c r="BH325" i="13"/>
  <c r="BI325" i="13"/>
  <c r="BH293" i="13"/>
  <c r="BI293" i="13"/>
  <c r="BH292" i="13"/>
  <c r="BI292" i="13"/>
  <c r="BH70" i="13" l="1"/>
  <c r="BI70" i="13"/>
  <c r="BH99" i="13"/>
  <c r="BI99" i="13"/>
  <c r="BH144" i="13"/>
  <c r="BI144" i="13"/>
  <c r="BH180" i="13"/>
  <c r="BI180" i="13"/>
  <c r="BH256" i="13"/>
  <c r="BI256" i="13"/>
  <c r="BH277" i="13"/>
  <c r="BI277" i="13"/>
  <c r="BH304" i="13"/>
  <c r="BI304" i="13"/>
  <c r="BH314" i="13"/>
  <c r="BI314" i="13"/>
  <c r="BH318" i="13"/>
  <c r="BI318" i="13"/>
  <c r="BH334" i="13"/>
  <c r="BI334" i="13"/>
  <c r="BH357" i="13"/>
  <c r="BI357" i="13"/>
  <c r="BI366" i="13"/>
  <c r="BI370" i="13"/>
  <c r="BI391" i="13"/>
  <c r="BI400" i="13"/>
  <c r="AW377" i="13"/>
  <c r="BC377" i="13"/>
  <c r="BI274" i="13"/>
  <c r="BH274" i="13"/>
  <c r="BH56" i="13" l="1"/>
  <c r="BI56" i="13"/>
  <c r="BH57" i="13"/>
  <c r="BI57" i="13"/>
  <c r="BH58" i="13"/>
  <c r="BI58" i="13"/>
  <c r="BH59" i="13"/>
  <c r="BI59" i="13"/>
  <c r="BH60" i="13"/>
  <c r="BI60" i="13"/>
  <c r="BH61" i="13"/>
  <c r="BI61" i="13"/>
  <c r="BH62" i="13"/>
  <c r="BI62" i="13"/>
  <c r="BH63" i="13"/>
  <c r="BI63" i="13"/>
  <c r="BH64" i="13"/>
  <c r="BI64" i="13"/>
  <c r="BH65" i="13"/>
  <c r="BI65" i="13"/>
  <c r="BH66" i="13"/>
  <c r="BI66" i="13"/>
  <c r="BH67" i="13"/>
  <c r="BI67" i="13"/>
  <c r="BH68" i="13"/>
  <c r="BI68" i="13"/>
  <c r="BH69" i="13"/>
  <c r="BI69" i="13"/>
  <c r="BH96" i="13"/>
  <c r="BI96" i="13"/>
  <c r="BH97" i="13"/>
  <c r="BI97" i="13"/>
  <c r="BH98" i="13"/>
  <c r="BI98" i="13"/>
  <c r="BI17" i="13"/>
  <c r="BH17" i="13"/>
  <c r="AW17" i="13"/>
  <c r="BI315" i="13" l="1"/>
  <c r="BH315" i="13"/>
  <c r="AP315" i="13"/>
  <c r="AO315" i="13"/>
  <c r="W315" i="13"/>
  <c r="V315" i="13"/>
  <c r="BI367" i="13"/>
  <c r="AP367" i="13"/>
  <c r="W367" i="13"/>
  <c r="BI110" i="16" l="1"/>
  <c r="BI109" i="16"/>
  <c r="BI108" i="16"/>
  <c r="BI101" i="16"/>
  <c r="BI107" i="16"/>
  <c r="BI603" i="13"/>
  <c r="BI602" i="13"/>
  <c r="BI601" i="13"/>
  <c r="BI600" i="13"/>
  <c r="BI599" i="13"/>
  <c r="BI598" i="13"/>
  <c r="BI597" i="13"/>
  <c r="BI596" i="13"/>
  <c r="BI595" i="13"/>
  <c r="BI594" i="13"/>
  <c r="BI593" i="13"/>
  <c r="BI592" i="13"/>
  <c r="BI591" i="13"/>
  <c r="BI590" i="13"/>
  <c r="BI589" i="13"/>
  <c r="BI588" i="13"/>
  <c r="BI587" i="13"/>
  <c r="BI586" i="13"/>
  <c r="BI585" i="13"/>
  <c r="BI584" i="13"/>
  <c r="BI583" i="13"/>
  <c r="BI582" i="13"/>
  <c r="BI581" i="13"/>
  <c r="BI580" i="13"/>
  <c r="BI500" i="13" l="1"/>
  <c r="BI499" i="13"/>
  <c r="BI498" i="13"/>
  <c r="BI579" i="13" l="1"/>
  <c r="BI578" i="13"/>
  <c r="BI577" i="13"/>
  <c r="BI576" i="13"/>
  <c r="BI575" i="13"/>
  <c r="BI574" i="13"/>
  <c r="BI573" i="13"/>
  <c r="BI572" i="13"/>
  <c r="BI571" i="13"/>
  <c r="BI570" i="13"/>
  <c r="BI569" i="13"/>
  <c r="BI568" i="13"/>
  <c r="BI567" i="13"/>
  <c r="BI566" i="13"/>
  <c r="BI565" i="13"/>
  <c r="BI564" i="13"/>
  <c r="BI563" i="13"/>
  <c r="BI562" i="13"/>
  <c r="BI561" i="13"/>
  <c r="BI560" i="13"/>
  <c r="BI559" i="13"/>
  <c r="BI558" i="13"/>
  <c r="BI557" i="13"/>
  <c r="BI556" i="13"/>
  <c r="BI555" i="13"/>
  <c r="BI554" i="13"/>
  <c r="BI553" i="13"/>
  <c r="BI552" i="13"/>
  <c r="BI551" i="13"/>
  <c r="BI550" i="13"/>
  <c r="BI549" i="13"/>
  <c r="BI548" i="13"/>
  <c r="BI547" i="13"/>
  <c r="BI546" i="13"/>
  <c r="BI545" i="13"/>
  <c r="BI544" i="13"/>
  <c r="BI543" i="13"/>
  <c r="BI542" i="13"/>
  <c r="BI541" i="13"/>
  <c r="BI540" i="13"/>
  <c r="BI539" i="13"/>
  <c r="BI538" i="13"/>
  <c r="BI537" i="13"/>
  <c r="BI536" i="13"/>
  <c r="BI535" i="13"/>
  <c r="BI534" i="13"/>
  <c r="BI533" i="13"/>
  <c r="BI532" i="13"/>
  <c r="BI531" i="13"/>
  <c r="BI530" i="13"/>
  <c r="BI529" i="13"/>
  <c r="BI528" i="13"/>
  <c r="BI527" i="13"/>
  <c r="BI526" i="13"/>
  <c r="BI525" i="13"/>
  <c r="BI524" i="13"/>
  <c r="BI523" i="13"/>
  <c r="BI522" i="13"/>
  <c r="BI521" i="13"/>
  <c r="BI520" i="13"/>
  <c r="BI519" i="13"/>
  <c r="BI518" i="13"/>
  <c r="BI517" i="13"/>
  <c r="BI516" i="13"/>
  <c r="BI515" i="13"/>
  <c r="BI514" i="13"/>
  <c r="BI513" i="13"/>
  <c r="BI512" i="13"/>
  <c r="BI511" i="13"/>
  <c r="BI510" i="13"/>
  <c r="BI509" i="13"/>
  <c r="BI508" i="13"/>
  <c r="BI507" i="13"/>
  <c r="BI506" i="13"/>
  <c r="BI497" i="13" l="1"/>
  <c r="BI496" i="13"/>
  <c r="BI495" i="13"/>
  <c r="BI494" i="13"/>
  <c r="BI493" i="13"/>
  <c r="BI492" i="13"/>
  <c r="BI491" i="13"/>
  <c r="BI490" i="13"/>
  <c r="BI489" i="13"/>
  <c r="BI488" i="13"/>
  <c r="BI487" i="13"/>
  <c r="BI486" i="13"/>
  <c r="BI485" i="13"/>
  <c r="BI484" i="13"/>
  <c r="BI483" i="13"/>
  <c r="BI482" i="13"/>
  <c r="BI481" i="13"/>
  <c r="BI480" i="13"/>
  <c r="BI479" i="13"/>
  <c r="BI478" i="13"/>
  <c r="BI477" i="13"/>
  <c r="BI476" i="13"/>
  <c r="BI475" i="13"/>
  <c r="BI474" i="13"/>
  <c r="BI473" i="13"/>
  <c r="BI472" i="13"/>
  <c r="BI471" i="13"/>
  <c r="BI470" i="13"/>
  <c r="BI469" i="13"/>
  <c r="BI468" i="13"/>
  <c r="BI467" i="13"/>
  <c r="BI466" i="13"/>
  <c r="BI465" i="13"/>
  <c r="BI454" i="13"/>
  <c r="BI455" i="13"/>
  <c r="BI456" i="13"/>
  <c r="BI457" i="13"/>
  <c r="BI458" i="13"/>
  <c r="BI459" i="13"/>
  <c r="BI460" i="13"/>
  <c r="BI461" i="13"/>
  <c r="BI462" i="13"/>
  <c r="BI463" i="13"/>
  <c r="BI464" i="13"/>
  <c r="BH143" i="13" l="1"/>
  <c r="BI143" i="13"/>
  <c r="AW142" i="13"/>
  <c r="AW178" i="13"/>
  <c r="BH178" i="13"/>
  <c r="BI178" i="13"/>
  <c r="BH141" i="13"/>
  <c r="BI141" i="13"/>
  <c r="BH140" i="13"/>
  <c r="BI140" i="13"/>
  <c r="AW222" i="13"/>
  <c r="BH222" i="13"/>
  <c r="BI222" i="13"/>
  <c r="AW221" i="13"/>
  <c r="BH221" i="13"/>
  <c r="BI221" i="13"/>
  <c r="AU336" i="13"/>
  <c r="AV336" i="13"/>
  <c r="AW336" i="13"/>
  <c r="AX336" i="13"/>
  <c r="AY336" i="13"/>
  <c r="AZ336" i="13"/>
  <c r="BA336" i="13"/>
  <c r="BB336" i="13"/>
  <c r="BC336" i="13"/>
  <c r="AU327" i="13"/>
  <c r="AV327" i="13"/>
  <c r="AX327" i="13"/>
  <c r="AY327" i="13"/>
  <c r="AZ327" i="13"/>
  <c r="BA327" i="13"/>
  <c r="BB327" i="13"/>
  <c r="AR327" i="13"/>
  <c r="AS327" i="13"/>
  <c r="AU320" i="13"/>
  <c r="AV320" i="13"/>
  <c r="AW320" i="13"/>
  <c r="AX320" i="13"/>
  <c r="AY320" i="13"/>
  <c r="AZ320" i="13"/>
  <c r="BA320" i="13"/>
  <c r="BB320" i="13"/>
  <c r="BC320" i="13"/>
  <c r="AU316" i="13"/>
  <c r="AV316" i="13"/>
  <c r="AW316" i="13"/>
  <c r="AX316" i="13"/>
  <c r="AY316" i="13"/>
  <c r="AZ316" i="13"/>
  <c r="BA316" i="13"/>
  <c r="BB316" i="13"/>
  <c r="BC316" i="13"/>
  <c r="AR316" i="13"/>
  <c r="AS316" i="13"/>
  <c r="AU306" i="13"/>
  <c r="AV306" i="13"/>
  <c r="AX306" i="13"/>
  <c r="AY306" i="13"/>
  <c r="AZ306" i="13"/>
  <c r="BA306" i="13"/>
  <c r="BB306" i="13"/>
  <c r="BC306" i="13"/>
  <c r="AT306" i="13"/>
  <c r="AR306" i="13"/>
  <c r="AS306" i="13"/>
  <c r="AQ306" i="13"/>
  <c r="AU296" i="13"/>
  <c r="AV296" i="13"/>
  <c r="AX296" i="13"/>
  <c r="AY296" i="13"/>
  <c r="AZ296" i="13"/>
  <c r="BA296" i="13"/>
  <c r="BB296" i="13"/>
  <c r="BC296" i="13"/>
  <c r="AT316" i="13"/>
  <c r="AQ316" i="13"/>
  <c r="BC405" i="13"/>
  <c r="AW405" i="13"/>
  <c r="BH255" i="13"/>
  <c r="BI255" i="13"/>
  <c r="AW276" i="13"/>
  <c r="BC404" i="13"/>
  <c r="AW404" i="13"/>
  <c r="BH254" i="13"/>
  <c r="BI254" i="13"/>
  <c r="BH220" i="13"/>
  <c r="BH219" i="13"/>
  <c r="BH218" i="13"/>
  <c r="BH217" i="13"/>
  <c r="BH216" i="13"/>
  <c r="BH215" i="13"/>
  <c r="BH214" i="13"/>
  <c r="BH213" i="13"/>
  <c r="BH212" i="13"/>
  <c r="BH211" i="13"/>
  <c r="BH210" i="13"/>
  <c r="BH209" i="13"/>
  <c r="BH208" i="13"/>
  <c r="AW220" i="13"/>
  <c r="BI220" i="13"/>
  <c r="BH19" i="13"/>
  <c r="BI19" i="13"/>
  <c r="BI219" i="13"/>
  <c r="BI218" i="13"/>
  <c r="AX295" i="13" l="1"/>
  <c r="AV295" i="13"/>
  <c r="BB295" i="13"/>
  <c r="AZ295" i="13"/>
  <c r="BA295" i="13"/>
  <c r="AY295" i="13"/>
  <c r="AU295" i="13"/>
  <c r="BH316" i="13"/>
  <c r="BH253" i="13"/>
  <c r="BI253" i="13"/>
  <c r="AW252" i="13"/>
  <c r="BH252" i="13"/>
  <c r="BI252" i="13"/>
  <c r="AW303" i="13"/>
  <c r="BC333" i="13"/>
  <c r="BC327" i="13" s="1"/>
  <c r="BC295" i="13" s="1"/>
  <c r="AW333" i="13"/>
  <c r="BC434" i="13"/>
  <c r="AW434" i="13"/>
  <c r="AW217" i="13"/>
  <c r="BI217" i="13"/>
  <c r="AW216" i="13"/>
  <c r="BI216" i="13"/>
  <c r="AW97" i="13"/>
  <c r="AW215" i="13"/>
  <c r="BI215" i="13"/>
  <c r="AW214" i="13"/>
  <c r="BI214" i="13"/>
  <c r="AW213" i="13"/>
  <c r="BI213" i="13"/>
  <c r="AW275" i="13"/>
  <c r="BH275" i="13"/>
  <c r="BI275" i="13"/>
  <c r="BC369" i="13"/>
  <c r="BC368" i="13" s="1"/>
  <c r="AW369" i="13"/>
  <c r="AW368" i="13" s="1"/>
  <c r="AU368" i="13"/>
  <c r="AV368" i="13"/>
  <c r="AX368" i="13"/>
  <c r="AY368" i="13"/>
  <c r="AZ368" i="13"/>
  <c r="BA368" i="13"/>
  <c r="BB368" i="13"/>
  <c r="AT368" i="13"/>
  <c r="AR368" i="13"/>
  <c r="AS368" i="13"/>
  <c r="AQ368" i="13"/>
  <c r="BI369" i="13"/>
  <c r="BH177" i="13"/>
  <c r="BI177" i="13"/>
  <c r="BH273" i="13"/>
  <c r="BI273" i="13"/>
  <c r="BH176" i="13"/>
  <c r="BI176" i="13"/>
  <c r="AW212" i="13"/>
  <c r="BI212" i="13"/>
  <c r="AW211" i="13"/>
  <c r="BI211" i="13"/>
  <c r="BI210" i="13"/>
  <c r="AW272" i="13"/>
  <c r="BH272" i="13"/>
  <c r="BI272" i="13"/>
  <c r="BH251" i="13"/>
  <c r="BI251" i="13"/>
  <c r="BC376" i="13"/>
  <c r="AW376" i="13"/>
  <c r="AW209" i="13"/>
  <c r="AW271" i="13"/>
  <c r="BH250" i="13"/>
  <c r="BI250" i="13"/>
  <c r="BI368" i="13" l="1"/>
  <c r="BI285" i="13"/>
  <c r="BH285" i="13"/>
  <c r="BI209" i="13"/>
  <c r="BH139" i="13"/>
  <c r="BI139" i="13"/>
  <c r="AW62" i="13"/>
  <c r="AW138" i="13"/>
  <c r="BH138" i="13"/>
  <c r="BI138" i="13"/>
  <c r="BH137" i="13"/>
  <c r="BI137" i="13"/>
  <c r="BC390" i="13"/>
  <c r="AW390" i="13"/>
  <c r="AW175" i="13"/>
  <c r="BH175" i="13"/>
  <c r="BI175" i="13"/>
  <c r="AW292" i="13"/>
  <c r="AW208" i="13"/>
  <c r="BI208" i="13"/>
  <c r="AW249" i="13"/>
  <c r="BH249" i="13"/>
  <c r="BI249" i="13"/>
  <c r="AW248" i="13"/>
  <c r="BH248" i="13"/>
  <c r="BI248" i="13"/>
  <c r="AW247" i="13"/>
  <c r="BH247" i="13"/>
  <c r="BI247" i="13"/>
  <c r="BH136" i="13"/>
  <c r="BI136" i="13"/>
  <c r="AW135" i="13"/>
  <c r="BH135" i="13"/>
  <c r="BI135" i="13"/>
  <c r="AW246" i="13"/>
  <c r="BH246" i="13"/>
  <c r="BI246" i="13"/>
  <c r="AW245" i="13"/>
  <c r="BH245" i="13"/>
  <c r="BI245" i="13"/>
  <c r="AW291" i="13" l="1"/>
  <c r="V294" i="13"/>
  <c r="W294" i="13"/>
  <c r="AO294" i="13"/>
  <c r="AP294" i="13"/>
  <c r="BH294" i="13"/>
  <c r="BI294" i="13"/>
  <c r="AW332" i="13"/>
  <c r="AW327" i="13" s="1"/>
  <c r="AW313" i="13"/>
  <c r="AW312" i="13"/>
  <c r="BH244" i="13"/>
  <c r="BI244" i="13"/>
  <c r="AW243" i="13"/>
  <c r="BH243" i="13"/>
  <c r="BI243" i="13"/>
  <c r="AW242" i="13"/>
  <c r="AW241" i="13"/>
  <c r="AW59" i="13"/>
  <c r="AW302" i="13"/>
  <c r="AW296" i="13" s="1"/>
  <c r="AW240" i="13"/>
  <c r="AW95" i="13"/>
  <c r="AW306" i="13" l="1"/>
  <c r="AW295" i="13" s="1"/>
  <c r="BH134" i="13"/>
  <c r="BI134" i="13"/>
  <c r="AW207" i="13"/>
  <c r="AV207" i="13"/>
  <c r="AQ207" i="13"/>
  <c r="BH174" i="13"/>
  <c r="BI174" i="13"/>
  <c r="AW269" i="13"/>
  <c r="BH133" i="13"/>
  <c r="BI133" i="13"/>
  <c r="BH132" i="13"/>
  <c r="BI132" i="13"/>
  <c r="BH131" i="13"/>
  <c r="BI131" i="13"/>
  <c r="BH130" i="13"/>
  <c r="BI130" i="13"/>
  <c r="AW173" i="13"/>
  <c r="AW399" i="13"/>
  <c r="BC399" i="13"/>
  <c r="AW374" i="13"/>
  <c r="BC374" i="13"/>
  <c r="AW172" i="13"/>
  <c r="AW171" i="13" l="1"/>
  <c r="AW128" i="13"/>
  <c r="AW127" i="13"/>
  <c r="BI121" i="16" l="1"/>
  <c r="BI119" i="16"/>
  <c r="BI116" i="16"/>
  <c r="BI114" i="16"/>
  <c r="BI105" i="16"/>
  <c r="BI100" i="16"/>
  <c r="BI102" i="16"/>
  <c r="BI82" i="16"/>
  <c r="BH64" i="16"/>
  <c r="BI64" i="16"/>
  <c r="BH39" i="16"/>
  <c r="BI39" i="16"/>
  <c r="BH35" i="16"/>
  <c r="BI35" i="16"/>
  <c r="BI27" i="16"/>
  <c r="BH27" i="16"/>
  <c r="BH24" i="16"/>
  <c r="BI24" i="16"/>
  <c r="BH18" i="16"/>
  <c r="BI18" i="16"/>
  <c r="BH19" i="16"/>
  <c r="BI19" i="16"/>
  <c r="BI122" i="16"/>
  <c r="BI120" i="16"/>
  <c r="AW118" i="16"/>
  <c r="BC118" i="16"/>
  <c r="BB118" i="16"/>
  <c r="BA118" i="16"/>
  <c r="AZ118" i="16"/>
  <c r="AY118" i="16"/>
  <c r="AX118" i="16"/>
  <c r="AV118" i="16"/>
  <c r="AU118" i="16"/>
  <c r="AT118" i="16"/>
  <c r="AS118" i="16"/>
  <c r="AR118" i="16"/>
  <c r="AQ118" i="16"/>
  <c r="BI117" i="16"/>
  <c r="BI115" i="16"/>
  <c r="BC113" i="16"/>
  <c r="BB113" i="16"/>
  <c r="BA113" i="16"/>
  <c r="AZ113" i="16"/>
  <c r="AY113" i="16"/>
  <c r="AX113" i="16"/>
  <c r="AW113" i="16"/>
  <c r="AV113" i="16"/>
  <c r="AU113" i="16"/>
  <c r="AT113" i="16"/>
  <c r="AS113" i="16"/>
  <c r="AR113" i="16"/>
  <c r="AQ113" i="16"/>
  <c r="BI112" i="16"/>
  <c r="BI106" i="16"/>
  <c r="AW104" i="16"/>
  <c r="BC104" i="16"/>
  <c r="BB104" i="16"/>
  <c r="BA104" i="16"/>
  <c r="AZ104" i="16"/>
  <c r="AY104" i="16"/>
  <c r="AX104" i="16"/>
  <c r="AV104" i="16"/>
  <c r="AU104" i="16"/>
  <c r="AT104" i="16"/>
  <c r="AS104" i="16"/>
  <c r="AR104" i="16"/>
  <c r="AQ104" i="16"/>
  <c r="BI103" i="16"/>
  <c r="AW98" i="16"/>
  <c r="BI99" i="16"/>
  <c r="BC98" i="16"/>
  <c r="BB98" i="16"/>
  <c r="BA98" i="16"/>
  <c r="AZ98" i="16"/>
  <c r="AY98" i="16"/>
  <c r="AX98" i="16"/>
  <c r="AV98" i="16"/>
  <c r="AU98" i="16"/>
  <c r="AT98" i="16"/>
  <c r="AS98" i="16"/>
  <c r="AR98" i="16"/>
  <c r="AQ98" i="16"/>
  <c r="BI96" i="16"/>
  <c r="BI95" i="16"/>
  <c r="BC94" i="16"/>
  <c r="BB94" i="16"/>
  <c r="BA94" i="16"/>
  <c r="AZ94" i="16"/>
  <c r="AY94" i="16"/>
  <c r="AX94" i="16"/>
  <c r="AW94" i="16"/>
  <c r="AV94" i="16"/>
  <c r="AU94" i="16"/>
  <c r="AT94" i="16"/>
  <c r="AS94" i="16"/>
  <c r="AR94" i="16"/>
  <c r="AQ94" i="16"/>
  <c r="BI93" i="16"/>
  <c r="BI92" i="16"/>
  <c r="BC91" i="16"/>
  <c r="BB91" i="16"/>
  <c r="BA91" i="16"/>
  <c r="AZ91" i="16"/>
  <c r="AY91" i="16"/>
  <c r="AX91" i="16"/>
  <c r="AW91" i="16"/>
  <c r="AV91" i="16"/>
  <c r="AU91" i="16"/>
  <c r="AT91" i="16"/>
  <c r="AS91" i="16"/>
  <c r="AR91" i="16"/>
  <c r="AQ91" i="16"/>
  <c r="BI90" i="16"/>
  <c r="BI89" i="16"/>
  <c r="BC88" i="16"/>
  <c r="BB88" i="16"/>
  <c r="BA88" i="16"/>
  <c r="AZ88" i="16"/>
  <c r="AY88" i="16"/>
  <c r="AX88" i="16"/>
  <c r="AW88" i="16"/>
  <c r="AV88" i="16"/>
  <c r="AU88" i="16"/>
  <c r="AT88" i="16"/>
  <c r="AS88" i="16"/>
  <c r="AR88" i="16"/>
  <c r="AQ88" i="16"/>
  <c r="BI87" i="16"/>
  <c r="BI86" i="16"/>
  <c r="BC85" i="16"/>
  <c r="BB85" i="16"/>
  <c r="BA85" i="16"/>
  <c r="AZ85" i="16"/>
  <c r="AY85" i="16"/>
  <c r="AX85" i="16"/>
  <c r="AW85" i="16"/>
  <c r="AV85" i="16"/>
  <c r="AU85" i="16"/>
  <c r="AT85" i="16"/>
  <c r="AS85" i="16"/>
  <c r="AR85" i="16"/>
  <c r="AQ85" i="16"/>
  <c r="BI83" i="16"/>
  <c r="BI81" i="16"/>
  <c r="BH81" i="16"/>
  <c r="BC80" i="16"/>
  <c r="BC79" i="16" s="1"/>
  <c r="BB80" i="16"/>
  <c r="BB79" i="16" s="1"/>
  <c r="BA80" i="16"/>
  <c r="BA79" i="16" s="1"/>
  <c r="AZ80" i="16"/>
  <c r="AZ79" i="16" s="1"/>
  <c r="AY80" i="16"/>
  <c r="AY79" i="16" s="1"/>
  <c r="AX80" i="16"/>
  <c r="AX79" i="16" s="1"/>
  <c r="AW80" i="16"/>
  <c r="AW79" i="16" s="1"/>
  <c r="AV80" i="16"/>
  <c r="AV79" i="16" s="1"/>
  <c r="AU80" i="16"/>
  <c r="AU79" i="16" s="1"/>
  <c r="AT80" i="16"/>
  <c r="AS80" i="16"/>
  <c r="AS79" i="16" s="1"/>
  <c r="AR80" i="16"/>
  <c r="AR79" i="16" s="1"/>
  <c r="AQ80" i="16"/>
  <c r="AQ79" i="16" s="1"/>
  <c r="BI78" i="16"/>
  <c r="BH78" i="16"/>
  <c r="BI77" i="16"/>
  <c r="BH77" i="16"/>
  <c r="BC76" i="16"/>
  <c r="BB76" i="16"/>
  <c r="BA76" i="16"/>
  <c r="AZ76" i="16"/>
  <c r="AY76" i="16"/>
  <c r="AX76" i="16"/>
  <c r="AW76" i="16"/>
  <c r="AV76" i="16"/>
  <c r="AU76" i="16"/>
  <c r="AT76" i="16"/>
  <c r="AS76" i="16"/>
  <c r="AR76" i="16"/>
  <c r="AQ76" i="16"/>
  <c r="BI75" i="16"/>
  <c r="BH75" i="16"/>
  <c r="BI74" i="16"/>
  <c r="BH74" i="16"/>
  <c r="BC73" i="16"/>
  <c r="BB73" i="16"/>
  <c r="BA73" i="16"/>
  <c r="AZ73" i="16"/>
  <c r="AY73" i="16"/>
  <c r="AX73" i="16"/>
  <c r="AW73" i="16"/>
  <c r="AV73" i="16"/>
  <c r="AU73" i="16"/>
  <c r="AT73" i="16"/>
  <c r="AS73" i="16"/>
  <c r="AR73" i="16"/>
  <c r="AQ73" i="16"/>
  <c r="BI71" i="16"/>
  <c r="BH71" i="16"/>
  <c r="BI70" i="16"/>
  <c r="BH70" i="16"/>
  <c r="BC69" i="16"/>
  <c r="BB69" i="16"/>
  <c r="BA69" i="16"/>
  <c r="AZ69" i="16"/>
  <c r="AY69" i="16"/>
  <c r="AX69" i="16"/>
  <c r="AW69" i="16"/>
  <c r="AV69" i="16"/>
  <c r="AU69" i="16"/>
  <c r="AT69" i="16"/>
  <c r="AS69" i="16"/>
  <c r="AR69" i="16"/>
  <c r="AQ69" i="16"/>
  <c r="BI68" i="16"/>
  <c r="BH68" i="16"/>
  <c r="BI67" i="16"/>
  <c r="BH67" i="16"/>
  <c r="BC66" i="16"/>
  <c r="BB66" i="16"/>
  <c r="BA66" i="16"/>
  <c r="AZ66" i="16"/>
  <c r="AY66" i="16"/>
  <c r="AX66" i="16"/>
  <c r="AW66" i="16"/>
  <c r="AV66" i="16"/>
  <c r="AU66" i="16"/>
  <c r="AT66" i="16"/>
  <c r="AS66" i="16"/>
  <c r="AR66" i="16"/>
  <c r="AQ66" i="16"/>
  <c r="BI65" i="16"/>
  <c r="BH65" i="16"/>
  <c r="BI63" i="16"/>
  <c r="BH63" i="16"/>
  <c r="BC62" i="16"/>
  <c r="BB62" i="16"/>
  <c r="BA62" i="16"/>
  <c r="AZ62" i="16"/>
  <c r="AY62" i="16"/>
  <c r="AX62" i="16"/>
  <c r="AW62" i="16"/>
  <c r="AV62" i="16"/>
  <c r="AU62" i="16"/>
  <c r="AT62" i="16"/>
  <c r="AS62" i="16"/>
  <c r="AR62" i="16"/>
  <c r="AQ62" i="16"/>
  <c r="BI61" i="16"/>
  <c r="BH61" i="16"/>
  <c r="BI60" i="16"/>
  <c r="BH60" i="16"/>
  <c r="BC59" i="16"/>
  <c r="BB59" i="16"/>
  <c r="BA59" i="16"/>
  <c r="AZ59" i="16"/>
  <c r="AY59" i="16"/>
  <c r="AX59" i="16"/>
  <c r="AW59" i="16"/>
  <c r="AV59" i="16"/>
  <c r="AU59" i="16"/>
  <c r="AT59" i="16"/>
  <c r="AS59" i="16"/>
  <c r="AR59" i="16"/>
  <c r="AQ59" i="16"/>
  <c r="BI58" i="16"/>
  <c r="BH58" i="16"/>
  <c r="BI57" i="16"/>
  <c r="BH57" i="16"/>
  <c r="BC56" i="16"/>
  <c r="BB56" i="16"/>
  <c r="BA56" i="16"/>
  <c r="AZ56" i="16"/>
  <c r="AY56" i="16"/>
  <c r="AX56" i="16"/>
  <c r="AW56" i="16"/>
  <c r="AV56" i="16"/>
  <c r="AU56" i="16"/>
  <c r="AT56" i="16"/>
  <c r="AS56" i="16"/>
  <c r="AR56" i="16"/>
  <c r="AQ56" i="16"/>
  <c r="BI54" i="16"/>
  <c r="BH54" i="16"/>
  <c r="BI53" i="16"/>
  <c r="BH53" i="16"/>
  <c r="BC52" i="16"/>
  <c r="BC51" i="16" s="1"/>
  <c r="BB52" i="16"/>
  <c r="BA52" i="16"/>
  <c r="BA51" i="16" s="1"/>
  <c r="AZ52" i="16"/>
  <c r="AZ51" i="16" s="1"/>
  <c r="AY52" i="16"/>
  <c r="AY51" i="16" s="1"/>
  <c r="AX52" i="16"/>
  <c r="AX51" i="16" s="1"/>
  <c r="AW52" i="16"/>
  <c r="AW51" i="16" s="1"/>
  <c r="AV52" i="16"/>
  <c r="AV51" i="16" s="1"/>
  <c r="AU52" i="16"/>
  <c r="AU51" i="16" s="1"/>
  <c r="AT52" i="16"/>
  <c r="AT51" i="16" s="1"/>
  <c r="AS52" i="16"/>
  <c r="AS51" i="16" s="1"/>
  <c r="AR52" i="16"/>
  <c r="AR51" i="16" s="1"/>
  <c r="AQ52" i="16"/>
  <c r="AQ51" i="16" s="1"/>
  <c r="BB51" i="16"/>
  <c r="BI50" i="16"/>
  <c r="BH50" i="16"/>
  <c r="BI49" i="16"/>
  <c r="BH49" i="16"/>
  <c r="BC48" i="16"/>
  <c r="BB48" i="16"/>
  <c r="BA48" i="16"/>
  <c r="AZ48" i="16"/>
  <c r="AY48" i="16"/>
  <c r="AX48" i="16"/>
  <c r="AW48" i="16"/>
  <c r="AV48" i="16"/>
  <c r="AU48" i="16"/>
  <c r="AT48" i="16"/>
  <c r="AS48" i="16"/>
  <c r="AR48" i="16"/>
  <c r="AQ48" i="16"/>
  <c r="BI47" i="16"/>
  <c r="BH47" i="16"/>
  <c r="BI46" i="16"/>
  <c r="BH46" i="16"/>
  <c r="BC45" i="16"/>
  <c r="BB45" i="16"/>
  <c r="BA45" i="16"/>
  <c r="AZ45" i="16"/>
  <c r="AY45" i="16"/>
  <c r="AX45" i="16"/>
  <c r="AW45" i="16"/>
  <c r="AV45" i="16"/>
  <c r="AU45" i="16"/>
  <c r="AT45" i="16"/>
  <c r="AS45" i="16"/>
  <c r="AR45" i="16"/>
  <c r="AQ45" i="16"/>
  <c r="BI43" i="16"/>
  <c r="BH43" i="16"/>
  <c r="BI42" i="16"/>
  <c r="BH42" i="16"/>
  <c r="BC41" i="16"/>
  <c r="BB41" i="16"/>
  <c r="BA41" i="16"/>
  <c r="AZ41" i="16"/>
  <c r="AY41" i="16"/>
  <c r="AX41" i="16"/>
  <c r="AW41" i="16"/>
  <c r="AV41" i="16"/>
  <c r="AU41" i="16"/>
  <c r="AT41" i="16"/>
  <c r="AS41" i="16"/>
  <c r="AR41" i="16"/>
  <c r="AQ41" i="16"/>
  <c r="BI40" i="16"/>
  <c r="BH40" i="16"/>
  <c r="BI38" i="16"/>
  <c r="BH38" i="16"/>
  <c r="AW37" i="16"/>
  <c r="BC37" i="16"/>
  <c r="BB37" i="16"/>
  <c r="BA37" i="16"/>
  <c r="AZ37" i="16"/>
  <c r="AY37" i="16"/>
  <c r="AX37" i="16"/>
  <c r="AV37" i="16"/>
  <c r="AU37" i="16"/>
  <c r="AT37" i="16"/>
  <c r="AS37" i="16"/>
  <c r="AR37" i="16"/>
  <c r="AQ37" i="16"/>
  <c r="BI36" i="16"/>
  <c r="BH36" i="16"/>
  <c r="BI34" i="16"/>
  <c r="BH34" i="16"/>
  <c r="BC33" i="16"/>
  <c r="BB33" i="16"/>
  <c r="BA33" i="16"/>
  <c r="AZ33" i="16"/>
  <c r="AY33" i="16"/>
  <c r="AX33" i="16"/>
  <c r="AW33" i="16"/>
  <c r="AV33" i="16"/>
  <c r="AU33" i="16"/>
  <c r="AT33" i="16"/>
  <c r="AS33" i="16"/>
  <c r="AR33" i="16"/>
  <c r="AQ33" i="16"/>
  <c r="BI32" i="16"/>
  <c r="BH32" i="16"/>
  <c r="BI31" i="16"/>
  <c r="BH31" i="16"/>
  <c r="BC30" i="16"/>
  <c r="BB30" i="16"/>
  <c r="BA30" i="16"/>
  <c r="AZ30" i="16"/>
  <c r="AY30" i="16"/>
  <c r="AX30" i="16"/>
  <c r="AW30" i="16"/>
  <c r="AV30" i="16"/>
  <c r="AU30" i="16"/>
  <c r="AT30" i="16"/>
  <c r="AS30" i="16"/>
  <c r="AR30" i="16"/>
  <c r="AQ30" i="16"/>
  <c r="BI28" i="16"/>
  <c r="BH28" i="16"/>
  <c r="BC26" i="16"/>
  <c r="BB26" i="16"/>
  <c r="BA26" i="16"/>
  <c r="AZ26" i="16"/>
  <c r="AY26" i="16"/>
  <c r="AX26" i="16"/>
  <c r="AW26" i="16"/>
  <c r="AV26" i="16"/>
  <c r="AU26" i="16"/>
  <c r="AT26" i="16"/>
  <c r="AS26" i="16"/>
  <c r="AR26" i="16"/>
  <c r="AQ26" i="16"/>
  <c r="BI25" i="16"/>
  <c r="BH25" i="16"/>
  <c r="BI23" i="16"/>
  <c r="BH23" i="16"/>
  <c r="AW22" i="16"/>
  <c r="BC22" i="16"/>
  <c r="BB22" i="16"/>
  <c r="BA22" i="16"/>
  <c r="AZ22" i="16"/>
  <c r="AY22" i="16"/>
  <c r="AX22" i="16"/>
  <c r="AV22" i="16"/>
  <c r="AU22" i="16"/>
  <c r="AT22" i="16"/>
  <c r="AS22" i="16"/>
  <c r="AR22" i="16"/>
  <c r="AQ22" i="16"/>
  <c r="BI21" i="16"/>
  <c r="BH21" i="16"/>
  <c r="BI17" i="16"/>
  <c r="BH17" i="16"/>
  <c r="BI16" i="16"/>
  <c r="BH16" i="16"/>
  <c r="BI15" i="16"/>
  <c r="BH15" i="16"/>
  <c r="BC14" i="16"/>
  <c r="BB14" i="16"/>
  <c r="BA14" i="16"/>
  <c r="AZ14" i="16"/>
  <c r="AY14" i="16"/>
  <c r="AX14" i="16"/>
  <c r="AW14" i="16"/>
  <c r="AV14" i="16"/>
  <c r="AU14" i="16"/>
  <c r="AT14" i="16"/>
  <c r="AS14" i="16"/>
  <c r="AR14" i="16"/>
  <c r="AQ14" i="16"/>
  <c r="BC11" i="16"/>
  <c r="BB11" i="16"/>
  <c r="BA11" i="16"/>
  <c r="AZ11" i="16"/>
  <c r="AY11" i="16"/>
  <c r="AX11" i="16"/>
  <c r="AW11" i="16"/>
  <c r="AV11" i="16"/>
  <c r="AU11" i="16"/>
  <c r="AT11" i="16"/>
  <c r="AS11" i="16"/>
  <c r="AR11" i="16"/>
  <c r="AQ11" i="16"/>
  <c r="BI615" i="13"/>
  <c r="BI608" i="13"/>
  <c r="BI609" i="13"/>
  <c r="BI610" i="13"/>
  <c r="BI505" i="13"/>
  <c r="BI453" i="13"/>
  <c r="BI501" i="13"/>
  <c r="BI447" i="13"/>
  <c r="BI448" i="13"/>
  <c r="BI440" i="13"/>
  <c r="BI441" i="13"/>
  <c r="BI434" i="13"/>
  <c r="BI435" i="13"/>
  <c r="BI436" i="13"/>
  <c r="BI423" i="13"/>
  <c r="BI424" i="13"/>
  <c r="BI425" i="13"/>
  <c r="BI415" i="13"/>
  <c r="BI416" i="13"/>
  <c r="BI410" i="13"/>
  <c r="BI404" i="13"/>
  <c r="BI405" i="13"/>
  <c r="BI399" i="13"/>
  <c r="BI394" i="13"/>
  <c r="BI390" i="13"/>
  <c r="BI384" i="13"/>
  <c r="BI374" i="13"/>
  <c r="BI365" i="13"/>
  <c r="BH361" i="13"/>
  <c r="BI361" i="13"/>
  <c r="BH355" i="13"/>
  <c r="BI355" i="13"/>
  <c r="BH356" i="13"/>
  <c r="BI356" i="13"/>
  <c r="BH352" i="13"/>
  <c r="BI352" i="13"/>
  <c r="BH345" i="13"/>
  <c r="BI345" i="13"/>
  <c r="BH341" i="13"/>
  <c r="BI341" i="13"/>
  <c r="BH331" i="13"/>
  <c r="BI331" i="13"/>
  <c r="BH332" i="13"/>
  <c r="BI332" i="13"/>
  <c r="BH333" i="13"/>
  <c r="BI333" i="13"/>
  <c r="BH312" i="13"/>
  <c r="BI312" i="13"/>
  <c r="BH313" i="13"/>
  <c r="BI313" i="13"/>
  <c r="BH317" i="13"/>
  <c r="BI317" i="13"/>
  <c r="BH302" i="13"/>
  <c r="BI302" i="13"/>
  <c r="BH303" i="13"/>
  <c r="BI303" i="13"/>
  <c r="BH269" i="13"/>
  <c r="BI269" i="13"/>
  <c r="BH270" i="13"/>
  <c r="BI270" i="13"/>
  <c r="BH271" i="13"/>
  <c r="BI271" i="13"/>
  <c r="BH276" i="13"/>
  <c r="BI276" i="13"/>
  <c r="BH260" i="13"/>
  <c r="BI260" i="13"/>
  <c r="BH240" i="13"/>
  <c r="BI240" i="13"/>
  <c r="BH241" i="13"/>
  <c r="BI241" i="13"/>
  <c r="BH242" i="13"/>
  <c r="BI242" i="13"/>
  <c r="BH205" i="13"/>
  <c r="BI205" i="13"/>
  <c r="BH206" i="13"/>
  <c r="BI206" i="13"/>
  <c r="BH207" i="13"/>
  <c r="BI207" i="13"/>
  <c r="BH171" i="13"/>
  <c r="BI171" i="13"/>
  <c r="BH172" i="13"/>
  <c r="BI172" i="13"/>
  <c r="BH173" i="13"/>
  <c r="BI173" i="13"/>
  <c r="BH179" i="13"/>
  <c r="BI179" i="13"/>
  <c r="BH127" i="13"/>
  <c r="BI127" i="13"/>
  <c r="BH128" i="13"/>
  <c r="BI128" i="13"/>
  <c r="BH129" i="13"/>
  <c r="BI129" i="13"/>
  <c r="BH142" i="13"/>
  <c r="BI142" i="13"/>
  <c r="AQ97" i="16" l="1"/>
  <c r="BC29" i="16"/>
  <c r="AQ84" i="16"/>
  <c r="AS84" i="16"/>
  <c r="AU84" i="16"/>
  <c r="AW84" i="16"/>
  <c r="AY84" i="16"/>
  <c r="BA84" i="16"/>
  <c r="BC84" i="16"/>
  <c r="AR10" i="16"/>
  <c r="AQ10" i="16"/>
  <c r="AU10" i="16"/>
  <c r="BB10" i="16"/>
  <c r="AR84" i="16"/>
  <c r="AT84" i="16"/>
  <c r="AV84" i="16"/>
  <c r="AX84" i="16"/>
  <c r="AZ84" i="16"/>
  <c r="BB84" i="16"/>
  <c r="AV10" i="16"/>
  <c r="AT10" i="16"/>
  <c r="BH10" i="16" s="1"/>
  <c r="AX10" i="16"/>
  <c r="AZ10" i="16"/>
  <c r="AS10" i="16"/>
  <c r="AR29" i="16"/>
  <c r="AV29" i="16"/>
  <c r="AX29" i="16"/>
  <c r="AZ29" i="16"/>
  <c r="BB29" i="16"/>
  <c r="AT55" i="16"/>
  <c r="AX55" i="16"/>
  <c r="BB55" i="16"/>
  <c r="AQ29" i="16"/>
  <c r="AS29" i="16"/>
  <c r="AU29" i="16"/>
  <c r="AY29" i="16"/>
  <c r="BA29" i="16"/>
  <c r="BA97" i="16"/>
  <c r="AY10" i="16"/>
  <c r="BA10" i="16"/>
  <c r="BC10" i="16"/>
  <c r="AQ44" i="16"/>
  <c r="AS44" i="16"/>
  <c r="AU44" i="16"/>
  <c r="AW44" i="16"/>
  <c r="AY44" i="16"/>
  <c r="BA44" i="16"/>
  <c r="BC44" i="16"/>
  <c r="AQ72" i="16"/>
  <c r="AS72" i="16"/>
  <c r="AU72" i="16"/>
  <c r="AW72" i="16"/>
  <c r="AY72" i="16"/>
  <c r="BA72" i="16"/>
  <c r="BC72" i="16"/>
  <c r="AR72" i="16"/>
  <c r="AT72" i="16"/>
  <c r="BH72" i="16" s="1"/>
  <c r="AV72" i="16"/>
  <c r="AX72" i="16"/>
  <c r="AZ72" i="16"/>
  <c r="BB72" i="16"/>
  <c r="AY97" i="16"/>
  <c r="AU97" i="16"/>
  <c r="AR55" i="16"/>
  <c r="AV55" i="16"/>
  <c r="AZ55" i="16"/>
  <c r="AS97" i="16"/>
  <c r="AR44" i="16"/>
  <c r="AV44" i="16"/>
  <c r="AX44" i="16"/>
  <c r="AZ44" i="16"/>
  <c r="BB44" i="16"/>
  <c r="AQ55" i="16"/>
  <c r="AS55" i="16"/>
  <c r="AU55" i="16"/>
  <c r="AW55" i="16"/>
  <c r="AY55" i="16"/>
  <c r="BA55" i="16"/>
  <c r="BC55" i="16"/>
  <c r="AR97" i="16"/>
  <c r="AV97" i="16"/>
  <c r="AW10" i="16"/>
  <c r="AW29" i="16"/>
  <c r="AX97" i="16"/>
  <c r="AZ97" i="16"/>
  <c r="BB97" i="16"/>
  <c r="AW97" i="16"/>
  <c r="BI11" i="16"/>
  <c r="BI22" i="16"/>
  <c r="BI26" i="16"/>
  <c r="BI30" i="16"/>
  <c r="BI37" i="16"/>
  <c r="BI41" i="16"/>
  <c r="BI45" i="16"/>
  <c r="BI51" i="16"/>
  <c r="BI55" i="16"/>
  <c r="BI59" i="16"/>
  <c r="BI66" i="16"/>
  <c r="BI76" i="16"/>
  <c r="BI80" i="16"/>
  <c r="BI88" i="16"/>
  <c r="BI94" i="16"/>
  <c r="BI104" i="16"/>
  <c r="BI113" i="16"/>
  <c r="BC97" i="16"/>
  <c r="BI118" i="16"/>
  <c r="BH14" i="16"/>
  <c r="AT29" i="16"/>
  <c r="BH33" i="16"/>
  <c r="AT44" i="16"/>
  <c r="BH48" i="16"/>
  <c r="BH52" i="16"/>
  <c r="BH56" i="16"/>
  <c r="BH62" i="16"/>
  <c r="BH69" i="16"/>
  <c r="BH73" i="16"/>
  <c r="AT79" i="16"/>
  <c r="BI79" i="16" s="1"/>
  <c r="BI85" i="16"/>
  <c r="BI91" i="16"/>
  <c r="AT97" i="16"/>
  <c r="BI98" i="16"/>
  <c r="BH11" i="16"/>
  <c r="BI14" i="16"/>
  <c r="BH22" i="16"/>
  <c r="BH26" i="16"/>
  <c r="BH30" i="16"/>
  <c r="BI33" i="16"/>
  <c r="BH37" i="16"/>
  <c r="BH41" i="16"/>
  <c r="BH45" i="16"/>
  <c r="BI48" i="16"/>
  <c r="BH51" i="16"/>
  <c r="BI52" i="16"/>
  <c r="BI56" i="16"/>
  <c r="BH59" i="16"/>
  <c r="BI62" i="16"/>
  <c r="BH66" i="16"/>
  <c r="BI69" i="16"/>
  <c r="BI73" i="16"/>
  <c r="BH76" i="16"/>
  <c r="BH94" i="13"/>
  <c r="BI94" i="13"/>
  <c r="BH95" i="13"/>
  <c r="BI95" i="13"/>
  <c r="BH54" i="13"/>
  <c r="BI54" i="13"/>
  <c r="BH55" i="13"/>
  <c r="BI55" i="13"/>
  <c r="BH71" i="13"/>
  <c r="BI71" i="13"/>
  <c r="BH20" i="13"/>
  <c r="BI20" i="13"/>
  <c r="BH18" i="13"/>
  <c r="BI18" i="13"/>
  <c r="BI84" i="16" l="1"/>
  <c r="BH55" i="16"/>
  <c r="BI10" i="16"/>
  <c r="BH29" i="16"/>
  <c r="BI72" i="16"/>
  <c r="BH44" i="16"/>
  <c r="BI29" i="16"/>
  <c r="BI44" i="16"/>
  <c r="BI97" i="16"/>
  <c r="BI616" i="13"/>
  <c r="BI614" i="13"/>
  <c r="AW612" i="13"/>
  <c r="BC612" i="13"/>
  <c r="BB612" i="13"/>
  <c r="BA612" i="13"/>
  <c r="AZ612" i="13"/>
  <c r="AY612" i="13"/>
  <c r="AX612" i="13"/>
  <c r="AV612" i="13"/>
  <c r="AU612" i="13"/>
  <c r="AT612" i="13"/>
  <c r="AS612" i="13"/>
  <c r="AR612" i="13"/>
  <c r="AQ612" i="13"/>
  <c r="BI611" i="13"/>
  <c r="BI607" i="13"/>
  <c r="BC605" i="13"/>
  <c r="BB605" i="13"/>
  <c r="BA605" i="13"/>
  <c r="AZ605" i="13"/>
  <c r="AY605" i="13"/>
  <c r="AX605" i="13"/>
  <c r="AW605" i="13"/>
  <c r="AV605" i="13"/>
  <c r="AU605" i="13"/>
  <c r="AT605" i="13"/>
  <c r="AS605" i="13"/>
  <c r="AR605" i="13"/>
  <c r="AQ605" i="13"/>
  <c r="BI604" i="13"/>
  <c r="BI504" i="13"/>
  <c r="BC502" i="13"/>
  <c r="BB502" i="13"/>
  <c r="BA502" i="13"/>
  <c r="AZ502" i="13"/>
  <c r="AY502" i="13"/>
  <c r="AX502" i="13"/>
  <c r="AW502" i="13"/>
  <c r="AV502" i="13"/>
  <c r="AU502" i="13"/>
  <c r="AT502" i="13"/>
  <c r="AS502" i="13"/>
  <c r="AR502" i="13"/>
  <c r="AQ502" i="13"/>
  <c r="AW451" i="13"/>
  <c r="BI452" i="13"/>
  <c r="BC451" i="13"/>
  <c r="BB451" i="13"/>
  <c r="BA451" i="13"/>
  <c r="AZ451" i="13"/>
  <c r="AY451" i="13"/>
  <c r="AX451" i="13"/>
  <c r="AV451" i="13"/>
  <c r="AU451" i="13"/>
  <c r="AT451" i="13"/>
  <c r="AS451" i="13"/>
  <c r="AR451" i="13"/>
  <c r="AQ451" i="13"/>
  <c r="BI449" i="13"/>
  <c r="BC446" i="13"/>
  <c r="BC445" i="13" s="1"/>
  <c r="BB446" i="13"/>
  <c r="BA446" i="13"/>
  <c r="BA445" i="13" s="1"/>
  <c r="AZ446" i="13"/>
  <c r="AZ445" i="13" s="1"/>
  <c r="AY446" i="13"/>
  <c r="AY445" i="13" s="1"/>
  <c r="AX446" i="13"/>
  <c r="AX445" i="13" s="1"/>
  <c r="AW446" i="13"/>
  <c r="AW445" i="13" s="1"/>
  <c r="AV446" i="13"/>
  <c r="AV445" i="13" s="1"/>
  <c r="AU446" i="13"/>
  <c r="AU445" i="13" s="1"/>
  <c r="AT446" i="13"/>
  <c r="AT445" i="13" s="1"/>
  <c r="AS446" i="13"/>
  <c r="AS445" i="13" s="1"/>
  <c r="AR446" i="13"/>
  <c r="AR445" i="13" s="1"/>
  <c r="AQ446" i="13"/>
  <c r="AQ445" i="13" s="1"/>
  <c r="BB445" i="13"/>
  <c r="BI444" i="13"/>
  <c r="BC443" i="13"/>
  <c r="BB443" i="13"/>
  <c r="BA443" i="13"/>
  <c r="AZ443" i="13"/>
  <c r="AY443" i="13"/>
  <c r="AX443" i="13"/>
  <c r="AW443" i="13"/>
  <c r="AV443" i="13"/>
  <c r="AU443" i="13"/>
  <c r="AT443" i="13"/>
  <c r="AS443" i="13"/>
  <c r="AR443" i="13"/>
  <c r="AQ443" i="13"/>
  <c r="BI442" i="13"/>
  <c r="BI439" i="13"/>
  <c r="BC438" i="13"/>
  <c r="BB438" i="13"/>
  <c r="BA438" i="13"/>
  <c r="AZ438" i="13"/>
  <c r="AY438" i="13"/>
  <c r="AX438" i="13"/>
  <c r="AW438" i="13"/>
  <c r="AV438" i="13"/>
  <c r="AU438" i="13"/>
  <c r="AT438" i="13"/>
  <c r="AS438" i="13"/>
  <c r="AR438" i="13"/>
  <c r="AQ438" i="13"/>
  <c r="BI437" i="13"/>
  <c r="BI433" i="13"/>
  <c r="BI432" i="13"/>
  <c r="BC431" i="13"/>
  <c r="BB431" i="13"/>
  <c r="BA431" i="13"/>
  <c r="AZ431" i="13"/>
  <c r="AY431" i="13"/>
  <c r="AX431" i="13"/>
  <c r="AW431" i="13"/>
  <c r="AV431" i="13"/>
  <c r="AU431" i="13"/>
  <c r="AT431" i="13"/>
  <c r="AS431" i="13"/>
  <c r="AR431" i="13"/>
  <c r="AQ431" i="13"/>
  <c r="BI429" i="13"/>
  <c r="BC428" i="13"/>
  <c r="BC427" i="13" s="1"/>
  <c r="BB428" i="13"/>
  <c r="BA428" i="13"/>
  <c r="BA427" i="13" s="1"/>
  <c r="AZ428" i="13"/>
  <c r="AZ427" i="13" s="1"/>
  <c r="AY428" i="13"/>
  <c r="AY427" i="13" s="1"/>
  <c r="AX428" i="13"/>
  <c r="AX427" i="13" s="1"/>
  <c r="AW428" i="13"/>
  <c r="AW427" i="13" s="1"/>
  <c r="AV428" i="13"/>
  <c r="AV427" i="13" s="1"/>
  <c r="AU428" i="13"/>
  <c r="AU427" i="13" s="1"/>
  <c r="AT428" i="13"/>
  <c r="AT427" i="13" s="1"/>
  <c r="AS428" i="13"/>
  <c r="AS427" i="13" s="1"/>
  <c r="AR428" i="13"/>
  <c r="AR427" i="13" s="1"/>
  <c r="AQ428" i="13"/>
  <c r="AQ427" i="13" s="1"/>
  <c r="BB427" i="13"/>
  <c r="BI426" i="13"/>
  <c r="BI422" i="13"/>
  <c r="BI421" i="13"/>
  <c r="BC420" i="13"/>
  <c r="BC419" i="13" s="1"/>
  <c r="BB420" i="13"/>
  <c r="BA420" i="13"/>
  <c r="BA419" i="13" s="1"/>
  <c r="AZ420" i="13"/>
  <c r="AZ419" i="13" s="1"/>
  <c r="AY420" i="13"/>
  <c r="AY419" i="13" s="1"/>
  <c r="AX420" i="13"/>
  <c r="AX419" i="13" s="1"/>
  <c r="AW420" i="13"/>
  <c r="AW419" i="13" s="1"/>
  <c r="AV420" i="13"/>
  <c r="AV419" i="13" s="1"/>
  <c r="AU420" i="13"/>
  <c r="AU419" i="13" s="1"/>
  <c r="AT420" i="13"/>
  <c r="AT419" i="13" s="1"/>
  <c r="AS420" i="13"/>
  <c r="AS419" i="13" s="1"/>
  <c r="AR420" i="13"/>
  <c r="AR419" i="13" s="1"/>
  <c r="AQ420" i="13"/>
  <c r="AQ419" i="13" s="1"/>
  <c r="BB419" i="13"/>
  <c r="BI418" i="13"/>
  <c r="BI417" i="13"/>
  <c r="BI414" i="13"/>
  <c r="BI413" i="13"/>
  <c r="BC412" i="13"/>
  <c r="BB412" i="13"/>
  <c r="BA412" i="13"/>
  <c r="AZ412" i="13"/>
  <c r="AY412" i="13"/>
  <c r="AX412" i="13"/>
  <c r="AW412" i="13"/>
  <c r="AV412" i="13"/>
  <c r="AU412" i="13"/>
  <c r="AT412" i="13"/>
  <c r="AS412" i="13"/>
  <c r="AR412" i="13"/>
  <c r="AQ412" i="13"/>
  <c r="BI411" i="13"/>
  <c r="BI409" i="13"/>
  <c r="BI408" i="13"/>
  <c r="BC407" i="13"/>
  <c r="BB407" i="13"/>
  <c r="BA407" i="13"/>
  <c r="AZ407" i="13"/>
  <c r="AY407" i="13"/>
  <c r="AX407" i="13"/>
  <c r="AW407" i="13"/>
  <c r="AV407" i="13"/>
  <c r="AU407" i="13"/>
  <c r="AT407" i="13"/>
  <c r="AS407" i="13"/>
  <c r="AR407" i="13"/>
  <c r="AQ407" i="13"/>
  <c r="BI406" i="13"/>
  <c r="BC403" i="13"/>
  <c r="BB403" i="13"/>
  <c r="BA403" i="13"/>
  <c r="AZ403" i="13"/>
  <c r="AY403" i="13"/>
  <c r="AX403" i="13"/>
  <c r="AW403" i="13"/>
  <c r="AV403" i="13"/>
  <c r="AU403" i="13"/>
  <c r="AT403" i="13"/>
  <c r="AS403" i="13"/>
  <c r="AR403" i="13"/>
  <c r="AQ403" i="13"/>
  <c r="BI401" i="13"/>
  <c r="BI398" i="13"/>
  <c r="BI397" i="13"/>
  <c r="BC396" i="13"/>
  <c r="BB396" i="13"/>
  <c r="BA396" i="13"/>
  <c r="AZ396" i="13"/>
  <c r="AY396" i="13"/>
  <c r="AX396" i="13"/>
  <c r="AW396" i="13"/>
  <c r="AV396" i="13"/>
  <c r="AU396" i="13"/>
  <c r="AT396" i="13"/>
  <c r="AS396" i="13"/>
  <c r="AR396" i="13"/>
  <c r="AQ396" i="13"/>
  <c r="BI395" i="13"/>
  <c r="BC393" i="13"/>
  <c r="BB393" i="13"/>
  <c r="BA393" i="13"/>
  <c r="AZ393" i="13"/>
  <c r="AY393" i="13"/>
  <c r="AX393" i="13"/>
  <c r="AW393" i="13"/>
  <c r="AV393" i="13"/>
  <c r="AU393" i="13"/>
  <c r="AT393" i="13"/>
  <c r="AS393" i="13"/>
  <c r="AR393" i="13"/>
  <c r="AQ393" i="13"/>
  <c r="BI392" i="13"/>
  <c r="BC389" i="13"/>
  <c r="BB389" i="13"/>
  <c r="BA389" i="13"/>
  <c r="AZ389" i="13"/>
  <c r="AY389" i="13"/>
  <c r="AX389" i="13"/>
  <c r="AW389" i="13"/>
  <c r="AV389" i="13"/>
  <c r="AU389" i="13"/>
  <c r="AT389" i="13"/>
  <c r="AS389" i="13"/>
  <c r="AR389" i="13"/>
  <c r="AQ389" i="13"/>
  <c r="BI388" i="13"/>
  <c r="BI387" i="13"/>
  <c r="BC386" i="13"/>
  <c r="BB386" i="13"/>
  <c r="BA386" i="13"/>
  <c r="AZ386" i="13"/>
  <c r="AY386" i="13"/>
  <c r="AX386" i="13"/>
  <c r="AW386" i="13"/>
  <c r="AV386" i="13"/>
  <c r="AU386" i="13"/>
  <c r="AT386" i="13"/>
  <c r="AS386" i="13"/>
  <c r="AR386" i="13"/>
  <c r="AQ386" i="13"/>
  <c r="BI385" i="13"/>
  <c r="BI383" i="13"/>
  <c r="BC381" i="13"/>
  <c r="AW381" i="13"/>
  <c r="BI382" i="13"/>
  <c r="BB381" i="13"/>
  <c r="BA381" i="13"/>
  <c r="AZ381" i="13"/>
  <c r="AY381" i="13"/>
  <c r="AX381" i="13"/>
  <c r="AV381" i="13"/>
  <c r="AU381" i="13"/>
  <c r="AT381" i="13"/>
  <c r="AS381" i="13"/>
  <c r="AR381" i="13"/>
  <c r="AQ381" i="13"/>
  <c r="BI379" i="13"/>
  <c r="BI373" i="13"/>
  <c r="BC372" i="13"/>
  <c r="BB372" i="13"/>
  <c r="BA372" i="13"/>
  <c r="AZ372" i="13"/>
  <c r="AY372" i="13"/>
  <c r="AX372" i="13"/>
  <c r="AW372" i="13"/>
  <c r="AV372" i="13"/>
  <c r="AU372" i="13"/>
  <c r="AT372" i="13"/>
  <c r="AS372" i="13"/>
  <c r="AR372" i="13"/>
  <c r="AQ372" i="13"/>
  <c r="BI371" i="13"/>
  <c r="BC364" i="13"/>
  <c r="BB364" i="13"/>
  <c r="BA364" i="13"/>
  <c r="AZ364" i="13"/>
  <c r="AY364" i="13"/>
  <c r="AX364" i="13"/>
  <c r="AW364" i="13"/>
  <c r="AV364" i="13"/>
  <c r="AU364" i="13"/>
  <c r="AT364" i="13"/>
  <c r="AS364" i="13"/>
  <c r="AR364" i="13"/>
  <c r="AQ364" i="13"/>
  <c r="BI362" i="13"/>
  <c r="BH362" i="13"/>
  <c r="BI360" i="13"/>
  <c r="BH360" i="13"/>
  <c r="BC359" i="13"/>
  <c r="BB359" i="13"/>
  <c r="BA359" i="13"/>
  <c r="AZ359" i="13"/>
  <c r="AY359" i="13"/>
  <c r="AX359" i="13"/>
  <c r="AW359" i="13"/>
  <c r="AV359" i="13"/>
  <c r="AU359" i="13"/>
  <c r="AT359" i="13"/>
  <c r="AS359" i="13"/>
  <c r="AR359" i="13"/>
  <c r="AQ359" i="13"/>
  <c r="BC354" i="13"/>
  <c r="BB354" i="13"/>
  <c r="BA354" i="13"/>
  <c r="AZ354" i="13"/>
  <c r="AY354" i="13"/>
  <c r="AX354" i="13"/>
  <c r="AW354" i="13"/>
  <c r="AV354" i="13"/>
  <c r="AU354" i="13"/>
  <c r="AT354" i="13"/>
  <c r="AS354" i="13"/>
  <c r="AR354" i="13"/>
  <c r="AQ354" i="13"/>
  <c r="BA350" i="13"/>
  <c r="AX350" i="13"/>
  <c r="AW350" i="13"/>
  <c r="AU350" i="13"/>
  <c r="BI351" i="13"/>
  <c r="BC350" i="13"/>
  <c r="BB350" i="13"/>
  <c r="AZ350" i="13"/>
  <c r="AY350" i="13"/>
  <c r="AV350" i="13"/>
  <c r="AS350" i="13"/>
  <c r="AR350" i="13"/>
  <c r="AQ350" i="13"/>
  <c r="BC348" i="13"/>
  <c r="BB348" i="13"/>
  <c r="BA348" i="13"/>
  <c r="AZ348" i="13"/>
  <c r="AY348" i="13"/>
  <c r="AX348" i="13"/>
  <c r="AW348" i="13"/>
  <c r="AV348" i="13"/>
  <c r="AU348" i="13"/>
  <c r="AT348" i="13"/>
  <c r="AS348" i="13"/>
  <c r="AR348" i="13"/>
  <c r="AQ348" i="13"/>
  <c r="BI346" i="13"/>
  <c r="BH346" i="13"/>
  <c r="BI344" i="13"/>
  <c r="BH344" i="13"/>
  <c r="AW343" i="13"/>
  <c r="BC343" i="13"/>
  <c r="BB343" i="13"/>
  <c r="BA343" i="13"/>
  <c r="AZ343" i="13"/>
  <c r="AY343" i="13"/>
  <c r="AX343" i="13"/>
  <c r="AV343" i="13"/>
  <c r="AU343" i="13"/>
  <c r="AT343" i="13"/>
  <c r="AS343" i="13"/>
  <c r="AR343" i="13"/>
  <c r="AQ343" i="13"/>
  <c r="BI342" i="13"/>
  <c r="BH342" i="13"/>
  <c r="BC340" i="13"/>
  <c r="BB340" i="13"/>
  <c r="BA340" i="13"/>
  <c r="AZ340" i="13"/>
  <c r="AY340" i="13"/>
  <c r="AX340" i="13"/>
  <c r="AW340" i="13"/>
  <c r="AV340" i="13"/>
  <c r="AU340" i="13"/>
  <c r="AT340" i="13"/>
  <c r="AS340" i="13"/>
  <c r="AR340" i="13"/>
  <c r="AQ340" i="13"/>
  <c r="BI338" i="13"/>
  <c r="BH338" i="13"/>
  <c r="AT336" i="13"/>
  <c r="AS336" i="13"/>
  <c r="AR336" i="13"/>
  <c r="AQ336" i="13"/>
  <c r="BI335" i="13"/>
  <c r="BH335" i="13"/>
  <c r="BI330" i="13"/>
  <c r="BH330" i="13"/>
  <c r="BH329" i="13"/>
  <c r="BI328" i="13"/>
  <c r="BH328" i="13"/>
  <c r="AT327" i="13"/>
  <c r="AQ327" i="13"/>
  <c r="BI326" i="13"/>
  <c r="BH326" i="13"/>
  <c r="BI323" i="13"/>
  <c r="BH323" i="13"/>
  <c r="BI322" i="13"/>
  <c r="BH322" i="13"/>
  <c r="BI321" i="13"/>
  <c r="BH321" i="13"/>
  <c r="AT320" i="13"/>
  <c r="AS320" i="13"/>
  <c r="AR320" i="13"/>
  <c r="AQ320" i="13"/>
  <c r="BI319" i="13"/>
  <c r="BH319" i="13"/>
  <c r="BI311" i="13"/>
  <c r="BH311" i="13"/>
  <c r="BI310" i="13"/>
  <c r="BH310" i="13"/>
  <c r="BI309" i="13"/>
  <c r="BH309" i="13"/>
  <c r="BI308" i="13"/>
  <c r="BH308" i="13"/>
  <c r="BI307" i="13"/>
  <c r="BH307" i="13"/>
  <c r="BI305" i="13"/>
  <c r="BH305" i="13"/>
  <c r="BI301" i="13"/>
  <c r="BH301" i="13"/>
  <c r="BI300" i="13"/>
  <c r="BH300" i="13"/>
  <c r="BI299" i="13"/>
  <c r="BH299" i="13"/>
  <c r="BI298" i="13"/>
  <c r="BH298" i="13"/>
  <c r="BI297" i="13"/>
  <c r="BH297" i="13"/>
  <c r="AT296" i="13"/>
  <c r="AS296" i="13"/>
  <c r="AR296" i="13"/>
  <c r="AQ296" i="13"/>
  <c r="BI291" i="13"/>
  <c r="BH291" i="13"/>
  <c r="BC290" i="13"/>
  <c r="BB290" i="13"/>
  <c r="BA290" i="13"/>
  <c r="AZ290" i="13"/>
  <c r="AY290" i="13"/>
  <c r="AX290" i="13"/>
  <c r="AW290" i="13"/>
  <c r="AV290" i="13"/>
  <c r="AU290" i="13"/>
  <c r="AT290" i="13"/>
  <c r="AS290" i="13"/>
  <c r="AR290" i="13"/>
  <c r="AQ290" i="13"/>
  <c r="BI289" i="13"/>
  <c r="BH289" i="13"/>
  <c r="BC288" i="13"/>
  <c r="BB288" i="13"/>
  <c r="BA288" i="13"/>
  <c r="AZ288" i="13"/>
  <c r="AY288" i="13"/>
  <c r="AX288" i="13"/>
  <c r="AW288" i="13"/>
  <c r="AV288" i="13"/>
  <c r="AU288" i="13"/>
  <c r="AT288" i="13"/>
  <c r="AS288" i="13"/>
  <c r="AR288" i="13"/>
  <c r="AQ288" i="13"/>
  <c r="BI286" i="13"/>
  <c r="BH286" i="13"/>
  <c r="BI284" i="13"/>
  <c r="BH284" i="13"/>
  <c r="BC283" i="13"/>
  <c r="BB283" i="13"/>
  <c r="BA283" i="13"/>
  <c r="AZ283" i="13"/>
  <c r="AY283" i="13"/>
  <c r="AX283" i="13"/>
  <c r="AW283" i="13"/>
  <c r="AV283" i="13"/>
  <c r="AU283" i="13"/>
  <c r="AT283" i="13"/>
  <c r="AS283" i="13"/>
  <c r="AR283" i="13"/>
  <c r="AQ283" i="13"/>
  <c r="BI282" i="13"/>
  <c r="BH282" i="13"/>
  <c r="BI281" i="13"/>
  <c r="BH281" i="13"/>
  <c r="BC280" i="13"/>
  <c r="BB280" i="13"/>
  <c r="BA280" i="13"/>
  <c r="AZ280" i="13"/>
  <c r="AY280" i="13"/>
  <c r="AX280" i="13"/>
  <c r="AW280" i="13"/>
  <c r="AV280" i="13"/>
  <c r="AU280" i="13"/>
  <c r="AT280" i="13"/>
  <c r="AS280" i="13"/>
  <c r="AR280" i="13"/>
  <c r="AQ280" i="13"/>
  <c r="BI278" i="13"/>
  <c r="BH278" i="13"/>
  <c r="BI268" i="13"/>
  <c r="BH268" i="13"/>
  <c r="BI267" i="13"/>
  <c r="BH267" i="13"/>
  <c r="BI266" i="13"/>
  <c r="BH266" i="13"/>
  <c r="BI265" i="13"/>
  <c r="BH265" i="13"/>
  <c r="BI264" i="13"/>
  <c r="BH264" i="13"/>
  <c r="BI263" i="13"/>
  <c r="BH263" i="13"/>
  <c r="BC262" i="13"/>
  <c r="BB262" i="13"/>
  <c r="BA262" i="13"/>
  <c r="AZ262" i="13"/>
  <c r="AY262" i="13"/>
  <c r="AX262" i="13"/>
  <c r="AW262" i="13"/>
  <c r="AV262" i="13"/>
  <c r="AU262" i="13"/>
  <c r="AT262" i="13"/>
  <c r="AS262" i="13"/>
  <c r="AR262" i="13"/>
  <c r="AQ262" i="13"/>
  <c r="BI261" i="13"/>
  <c r="BH261" i="13"/>
  <c r="BI259" i="13"/>
  <c r="BH259" i="13"/>
  <c r="BC258" i="13"/>
  <c r="BB258" i="13"/>
  <c r="BA258" i="13"/>
  <c r="AZ258" i="13"/>
  <c r="AY258" i="13"/>
  <c r="AX258" i="13"/>
  <c r="AW258" i="13"/>
  <c r="AV258" i="13"/>
  <c r="AU258" i="13"/>
  <c r="AT258" i="13"/>
  <c r="AS258" i="13"/>
  <c r="AR258" i="13"/>
  <c r="AQ258" i="13"/>
  <c r="BI257" i="13"/>
  <c r="BH257" i="13"/>
  <c r="BI239" i="13"/>
  <c r="BH239" i="13"/>
  <c r="BI238" i="13"/>
  <c r="BH238" i="13"/>
  <c r="BI237" i="13"/>
  <c r="BH237" i="13"/>
  <c r="BI236" i="13"/>
  <c r="BH236" i="13"/>
  <c r="BI235" i="13"/>
  <c r="BH235" i="13"/>
  <c r="BI234" i="13"/>
  <c r="BH234" i="13"/>
  <c r="BI233" i="13"/>
  <c r="BH233" i="13"/>
  <c r="BI232" i="13"/>
  <c r="BH232" i="13"/>
  <c r="BI231" i="13"/>
  <c r="BH231" i="13"/>
  <c r="BI230" i="13"/>
  <c r="BH230" i="13"/>
  <c r="BI229" i="13"/>
  <c r="BH229" i="13"/>
  <c r="BI228" i="13"/>
  <c r="BH228" i="13"/>
  <c r="BI227" i="13"/>
  <c r="BH227" i="13"/>
  <c r="BI226" i="13"/>
  <c r="BH226" i="13"/>
  <c r="BC225" i="13"/>
  <c r="BB225" i="13"/>
  <c r="BA225" i="13"/>
  <c r="AZ225" i="13"/>
  <c r="AY225" i="13"/>
  <c r="AX225" i="13"/>
  <c r="AV225" i="13"/>
  <c r="AU225" i="13"/>
  <c r="AT225" i="13"/>
  <c r="AS225" i="13"/>
  <c r="AR225" i="13"/>
  <c r="AQ225" i="13"/>
  <c r="BI224" i="13"/>
  <c r="BH224" i="13"/>
  <c r="BI204" i="13"/>
  <c r="BH204" i="13"/>
  <c r="BI203" i="13"/>
  <c r="BH203" i="13"/>
  <c r="BI202" i="13"/>
  <c r="BH202" i="13"/>
  <c r="BI201" i="13"/>
  <c r="BH201" i="13"/>
  <c r="BI200" i="13"/>
  <c r="BH200" i="13"/>
  <c r="BI199" i="13"/>
  <c r="BH199" i="13"/>
  <c r="BI198" i="13"/>
  <c r="BH198" i="13"/>
  <c r="BI197" i="13"/>
  <c r="BH197" i="13"/>
  <c r="BI196" i="13"/>
  <c r="BH196" i="13"/>
  <c r="BI195" i="13"/>
  <c r="BH195" i="13"/>
  <c r="BI194" i="13"/>
  <c r="BH194" i="13"/>
  <c r="BI193" i="13"/>
  <c r="BH193" i="13"/>
  <c r="AW183" i="13"/>
  <c r="BI192" i="13"/>
  <c r="BH192" i="13"/>
  <c r="BI191" i="13"/>
  <c r="BH191" i="13"/>
  <c r="BI190" i="13"/>
  <c r="BH190" i="13"/>
  <c r="BI189" i="13"/>
  <c r="BH189" i="13"/>
  <c r="BI188" i="13"/>
  <c r="BH188" i="13"/>
  <c r="BI187" i="13"/>
  <c r="BH187" i="13"/>
  <c r="BI186" i="13"/>
  <c r="BH186" i="13"/>
  <c r="BI185" i="13"/>
  <c r="BH185" i="13"/>
  <c r="BI184" i="13"/>
  <c r="BH184" i="13"/>
  <c r="BC183" i="13"/>
  <c r="BB183" i="13"/>
  <c r="BA183" i="13"/>
  <c r="AZ183" i="13"/>
  <c r="AY183" i="13"/>
  <c r="AX183" i="13"/>
  <c r="AV183" i="13"/>
  <c r="AU183" i="13"/>
  <c r="AT183" i="13"/>
  <c r="AS183" i="13"/>
  <c r="AR183" i="13"/>
  <c r="AQ183" i="13"/>
  <c r="BI181" i="13"/>
  <c r="BH181" i="13"/>
  <c r="BI170" i="13"/>
  <c r="BH170" i="13"/>
  <c r="BI169" i="13"/>
  <c r="BH169" i="13"/>
  <c r="BI168" i="13"/>
  <c r="BH168" i="13"/>
  <c r="BI167" i="13"/>
  <c r="BH167" i="13"/>
  <c r="BI166" i="13"/>
  <c r="BH166" i="13"/>
  <c r="BI165" i="13"/>
  <c r="BH165" i="13"/>
  <c r="BI164" i="13"/>
  <c r="BH164" i="13"/>
  <c r="BI163" i="13"/>
  <c r="BH163" i="13"/>
  <c r="BI162" i="13"/>
  <c r="BH162" i="13"/>
  <c r="BI161" i="13"/>
  <c r="BH161" i="13"/>
  <c r="BI160" i="13"/>
  <c r="BH160" i="13"/>
  <c r="AW146" i="13"/>
  <c r="BI159" i="13"/>
  <c r="BH159" i="13"/>
  <c r="BI158" i="13"/>
  <c r="BH158" i="13"/>
  <c r="BI157" i="13"/>
  <c r="BH157" i="13"/>
  <c r="BI156" i="13"/>
  <c r="BH156" i="13"/>
  <c r="BI155" i="13"/>
  <c r="BH155" i="13"/>
  <c r="BI154" i="13"/>
  <c r="BH154" i="13"/>
  <c r="BI153" i="13"/>
  <c r="BH153" i="13"/>
  <c r="BI152" i="13"/>
  <c r="BH152" i="13"/>
  <c r="BI151" i="13"/>
  <c r="BH151" i="13"/>
  <c r="BI150" i="13"/>
  <c r="BH150" i="13"/>
  <c r="BI149" i="13"/>
  <c r="BH149" i="13"/>
  <c r="BI148" i="13"/>
  <c r="BH148" i="13"/>
  <c r="BI147" i="13"/>
  <c r="BH147" i="13"/>
  <c r="BC146" i="13"/>
  <c r="BB146" i="13"/>
  <c r="BA146" i="13"/>
  <c r="AZ146" i="13"/>
  <c r="AY146" i="13"/>
  <c r="AX146" i="13"/>
  <c r="AV146" i="13"/>
  <c r="AU146" i="13"/>
  <c r="AT146" i="13"/>
  <c r="AS146" i="13"/>
  <c r="AR146" i="13"/>
  <c r="AQ146" i="13"/>
  <c r="BI145" i="13"/>
  <c r="BH145" i="13"/>
  <c r="BI126" i="13"/>
  <c r="BH126" i="13"/>
  <c r="BI125" i="13"/>
  <c r="BH125" i="13"/>
  <c r="BI124" i="13"/>
  <c r="BH124" i="13"/>
  <c r="BI123" i="13"/>
  <c r="BH123" i="13"/>
  <c r="BI122" i="13"/>
  <c r="BH122" i="13"/>
  <c r="BI121" i="13"/>
  <c r="BH121" i="13"/>
  <c r="BI120" i="13"/>
  <c r="BH120" i="13"/>
  <c r="BI119" i="13"/>
  <c r="BH119" i="13"/>
  <c r="BI118" i="13"/>
  <c r="BH118" i="13"/>
  <c r="BI117" i="13"/>
  <c r="BH117" i="13"/>
  <c r="BI116" i="13"/>
  <c r="BH116" i="13"/>
  <c r="BI115" i="13"/>
  <c r="BH115" i="13"/>
  <c r="BI114" i="13"/>
  <c r="BH114" i="13"/>
  <c r="BI113" i="13"/>
  <c r="BH113" i="13"/>
  <c r="BI112" i="13"/>
  <c r="BH112" i="13"/>
  <c r="BI111" i="13"/>
  <c r="BH111" i="13"/>
  <c r="BI110" i="13"/>
  <c r="BH110" i="13"/>
  <c r="BI109" i="13"/>
  <c r="BH109" i="13"/>
  <c r="BI108" i="13"/>
  <c r="BH108" i="13"/>
  <c r="BI107" i="13"/>
  <c r="BH107" i="13"/>
  <c r="BI106" i="13"/>
  <c r="BH106" i="13"/>
  <c r="BI105" i="13"/>
  <c r="BH105" i="13"/>
  <c r="BI104" i="13"/>
  <c r="BH104" i="13"/>
  <c r="BI103" i="13"/>
  <c r="BH103" i="13"/>
  <c r="BI102" i="13"/>
  <c r="BH102" i="13"/>
  <c r="BC101" i="13"/>
  <c r="BB101" i="13"/>
  <c r="BA101" i="13"/>
  <c r="AZ101" i="13"/>
  <c r="AY101" i="13"/>
  <c r="AX101" i="13"/>
  <c r="AV101" i="13"/>
  <c r="AU101" i="13"/>
  <c r="AT101" i="13"/>
  <c r="AS101" i="13"/>
  <c r="AR101" i="13"/>
  <c r="AQ101" i="13"/>
  <c r="BI100" i="13"/>
  <c r="BH100" i="13"/>
  <c r="BI93" i="13"/>
  <c r="BH93" i="13"/>
  <c r="BI92" i="13"/>
  <c r="BH92" i="13"/>
  <c r="BI91" i="13"/>
  <c r="BH91" i="13"/>
  <c r="BI90" i="13"/>
  <c r="BH90" i="13"/>
  <c r="BI89" i="13"/>
  <c r="BH89" i="13"/>
  <c r="BI88" i="13"/>
  <c r="BH88" i="13"/>
  <c r="BI87" i="13"/>
  <c r="BH87" i="13"/>
  <c r="BI86" i="13"/>
  <c r="BH86" i="13"/>
  <c r="BI85" i="13"/>
  <c r="BH85" i="13"/>
  <c r="BI84" i="13"/>
  <c r="BH84" i="13"/>
  <c r="BI83" i="13"/>
  <c r="BH83" i="13"/>
  <c r="BI82" i="13"/>
  <c r="BH82" i="13"/>
  <c r="BI81" i="13"/>
  <c r="BH81" i="13"/>
  <c r="BI80" i="13"/>
  <c r="BH80" i="13"/>
  <c r="BI79" i="13"/>
  <c r="BH79" i="13"/>
  <c r="BI78" i="13"/>
  <c r="BH78" i="13"/>
  <c r="BI77" i="13"/>
  <c r="BH77" i="13"/>
  <c r="BI76" i="13"/>
  <c r="BH76" i="13"/>
  <c r="BI75" i="13"/>
  <c r="BH75" i="13"/>
  <c r="BI74" i="13"/>
  <c r="BH74" i="13"/>
  <c r="BI73" i="13"/>
  <c r="BH73" i="13"/>
  <c r="BC72" i="13"/>
  <c r="BB72" i="13"/>
  <c r="BA72" i="13"/>
  <c r="AZ72" i="13"/>
  <c r="AY72" i="13"/>
  <c r="AX72" i="13"/>
  <c r="AV72" i="13"/>
  <c r="AU72" i="13"/>
  <c r="AT72" i="13"/>
  <c r="AS72" i="13"/>
  <c r="AR72" i="13"/>
  <c r="AQ72" i="13"/>
  <c r="BI53" i="13"/>
  <c r="BH53" i="13"/>
  <c r="BI52" i="13"/>
  <c r="BH52" i="13"/>
  <c r="BI51" i="13"/>
  <c r="BH51" i="13"/>
  <c r="BI50" i="13"/>
  <c r="BH50" i="13"/>
  <c r="BI49" i="13"/>
  <c r="BH49" i="13"/>
  <c r="BI48" i="13"/>
  <c r="BH48" i="13"/>
  <c r="BI47" i="13"/>
  <c r="BH47" i="13"/>
  <c r="AW23" i="13"/>
  <c r="BI46" i="13"/>
  <c r="BH46" i="13"/>
  <c r="BI45" i="13"/>
  <c r="BH45" i="13"/>
  <c r="BI44" i="13"/>
  <c r="BH44" i="13"/>
  <c r="BI43" i="13"/>
  <c r="BH43" i="13"/>
  <c r="BI42" i="13"/>
  <c r="BH42" i="13"/>
  <c r="BI41" i="13"/>
  <c r="BH41" i="13"/>
  <c r="BI40" i="13"/>
  <c r="BH40" i="13"/>
  <c r="BI39" i="13"/>
  <c r="BH39" i="13"/>
  <c r="BI38" i="13"/>
  <c r="BH38" i="13"/>
  <c r="BI37" i="13"/>
  <c r="BH37" i="13"/>
  <c r="BI36" i="13"/>
  <c r="BH36" i="13"/>
  <c r="BI35" i="13"/>
  <c r="BH35" i="13"/>
  <c r="BI34" i="13"/>
  <c r="BH34" i="13"/>
  <c r="BI33" i="13"/>
  <c r="BH33" i="13"/>
  <c r="BI32" i="13"/>
  <c r="BH32" i="13"/>
  <c r="BI31" i="13"/>
  <c r="BH31" i="13"/>
  <c r="BI30" i="13"/>
  <c r="BH30" i="13"/>
  <c r="BI29" i="13"/>
  <c r="BH29" i="13"/>
  <c r="BI28" i="13"/>
  <c r="BH28" i="13"/>
  <c r="BI27" i="13"/>
  <c r="BH27" i="13"/>
  <c r="BI26" i="13"/>
  <c r="BH26" i="13"/>
  <c r="BI25" i="13"/>
  <c r="BH25" i="13"/>
  <c r="BI24" i="13"/>
  <c r="BH24" i="13"/>
  <c r="BC23" i="13"/>
  <c r="BB23" i="13"/>
  <c r="BA23" i="13"/>
  <c r="AZ23" i="13"/>
  <c r="AY23" i="13"/>
  <c r="AX23" i="13"/>
  <c r="AV23" i="13"/>
  <c r="AT23" i="13"/>
  <c r="AS23" i="13"/>
  <c r="AR23" i="13"/>
  <c r="AQ23" i="13"/>
  <c r="BI22" i="13"/>
  <c r="BH22" i="13"/>
  <c r="BI16" i="13"/>
  <c r="BH16" i="13"/>
  <c r="BI15" i="13"/>
  <c r="BH15" i="13"/>
  <c r="AW11" i="13"/>
  <c r="BI14" i="13"/>
  <c r="BH14" i="13"/>
  <c r="BI13" i="13"/>
  <c r="BH13" i="13"/>
  <c r="BI12" i="13"/>
  <c r="BH12" i="13"/>
  <c r="BC11" i="13"/>
  <c r="BB11" i="13"/>
  <c r="BA11" i="13"/>
  <c r="AZ11" i="13"/>
  <c r="AY11" i="13"/>
  <c r="AX11" i="13"/>
  <c r="AV11" i="13"/>
  <c r="AU11" i="13"/>
  <c r="AT11" i="13"/>
  <c r="AS11" i="13"/>
  <c r="AR11" i="13"/>
  <c r="AQ11" i="13"/>
  <c r="AV363" i="13" l="1"/>
  <c r="AZ363" i="13"/>
  <c r="AZ402" i="13"/>
  <c r="AY339" i="13"/>
  <c r="BC339" i="13"/>
  <c r="AQ363" i="13"/>
  <c r="AU363" i="13"/>
  <c r="AY363" i="13"/>
  <c r="BC363" i="13"/>
  <c r="AT402" i="13"/>
  <c r="AX402" i="13"/>
  <c r="BB402" i="13"/>
  <c r="AW363" i="13"/>
  <c r="BA363" i="13"/>
  <c r="AR402" i="13"/>
  <c r="AV402" i="13"/>
  <c r="AT363" i="13"/>
  <c r="AX363" i="13"/>
  <c r="BB363" i="13"/>
  <c r="AQ295" i="13"/>
  <c r="AS295" i="13"/>
  <c r="AS182" i="13"/>
  <c r="AT295" i="13"/>
  <c r="AQ339" i="13"/>
  <c r="AU339" i="13"/>
  <c r="BC279" i="13"/>
  <c r="AZ182" i="13"/>
  <c r="AU182" i="13"/>
  <c r="AQ182" i="13"/>
  <c r="BB10" i="13"/>
  <c r="AX10" i="13"/>
  <c r="AZ10" i="13"/>
  <c r="AR182" i="13"/>
  <c r="AW72" i="13"/>
  <c r="AW101" i="13"/>
  <c r="AV182" i="13"/>
  <c r="AQ380" i="13"/>
  <c r="AS380" i="13"/>
  <c r="AU380" i="13"/>
  <c r="AW380" i="13"/>
  <c r="AW347" i="13"/>
  <c r="AY182" i="13"/>
  <c r="BA182" i="13"/>
  <c r="BC182" i="13"/>
  <c r="AT350" i="13"/>
  <c r="BH350" i="13" s="1"/>
  <c r="AS10" i="13"/>
  <c r="AW225" i="13"/>
  <c r="AW182" i="13" s="1"/>
  <c r="AR279" i="13"/>
  <c r="AV279" i="13"/>
  <c r="AX279" i="13"/>
  <c r="AZ279" i="13"/>
  <c r="BB279" i="13"/>
  <c r="AU279" i="13"/>
  <c r="AQ287" i="13"/>
  <c r="AS287" i="13"/>
  <c r="AU287" i="13"/>
  <c r="AW287" i="13"/>
  <c r="AY287" i="13"/>
  <c r="BA287" i="13"/>
  <c r="BC287" i="13"/>
  <c r="AZ430" i="13"/>
  <c r="AR363" i="13"/>
  <c r="BA10" i="13"/>
  <c r="AY380" i="13"/>
  <c r="BA380" i="13"/>
  <c r="BC380" i="13"/>
  <c r="AX450" i="13"/>
  <c r="AZ450" i="13"/>
  <c r="BB450" i="13"/>
  <c r="BI502" i="13"/>
  <c r="AR10" i="13"/>
  <c r="AT10" i="13"/>
  <c r="AR430" i="13"/>
  <c r="AT430" i="13"/>
  <c r="AV430" i="13"/>
  <c r="AX430" i="13"/>
  <c r="BB430" i="13"/>
  <c r="BH101" i="13"/>
  <c r="AT182" i="13"/>
  <c r="AX182" i="13"/>
  <c r="BB182" i="13"/>
  <c r="AS363" i="13"/>
  <c r="AQ10" i="13"/>
  <c r="AU10" i="13"/>
  <c r="AY10" i="13"/>
  <c r="BC10" i="13"/>
  <c r="AQ279" i="13"/>
  <c r="AS279" i="13"/>
  <c r="AW279" i="13"/>
  <c r="AY279" i="13"/>
  <c r="BA279" i="13"/>
  <c r="AT450" i="13"/>
  <c r="BI343" i="13"/>
  <c r="AV10" i="13"/>
  <c r="BI320" i="13"/>
  <c r="AS347" i="13"/>
  <c r="BA347" i="13"/>
  <c r="BH258" i="13"/>
  <c r="AR287" i="13"/>
  <c r="AT287" i="13"/>
  <c r="AV287" i="13"/>
  <c r="AX287" i="13"/>
  <c r="AZ287" i="13"/>
  <c r="BB287" i="13"/>
  <c r="BI296" i="13"/>
  <c r="AR339" i="13"/>
  <c r="AV339" i="13"/>
  <c r="AX339" i="13"/>
  <c r="AZ339" i="13"/>
  <c r="BB339" i="13"/>
  <c r="AR347" i="13"/>
  <c r="AV347" i="13"/>
  <c r="AX347" i="13"/>
  <c r="AZ347" i="13"/>
  <c r="BB347" i="13"/>
  <c r="BI354" i="13"/>
  <c r="BI427" i="13"/>
  <c r="AR450" i="13"/>
  <c r="AV450" i="13"/>
  <c r="BH11" i="13"/>
  <c r="BH225" i="13"/>
  <c r="BI225" i="13"/>
  <c r="BH283" i="13"/>
  <c r="BI283" i="13"/>
  <c r="BH290" i="13"/>
  <c r="BI290" i="13"/>
  <c r="BH327" i="13"/>
  <c r="BI329" i="13"/>
  <c r="BH351" i="13"/>
  <c r="BI364" i="13"/>
  <c r="BI389" i="13"/>
  <c r="BI393" i="13"/>
  <c r="AQ402" i="13"/>
  <c r="AS402" i="13"/>
  <c r="AU402" i="13"/>
  <c r="AW402" i="13"/>
  <c r="AY402" i="13"/>
  <c r="BA402" i="13"/>
  <c r="BC402" i="13"/>
  <c r="BI419" i="13"/>
  <c r="BI420" i="13"/>
  <c r="BI438" i="13"/>
  <c r="BI446" i="13"/>
  <c r="BI605" i="13"/>
  <c r="BH23" i="13"/>
  <c r="BI72" i="13"/>
  <c r="BI146" i="13"/>
  <c r="BH183" i="13"/>
  <c r="BI183" i="13"/>
  <c r="BI258" i="13"/>
  <c r="BI262" i="13"/>
  <c r="BI280" i="13"/>
  <c r="BH306" i="13"/>
  <c r="BI327" i="13"/>
  <c r="AS339" i="13"/>
  <c r="AW339" i="13"/>
  <c r="BA339" i="13"/>
  <c r="AY347" i="13"/>
  <c r="BC347" i="13"/>
  <c r="AQ347" i="13"/>
  <c r="AU347" i="13"/>
  <c r="BI372" i="13"/>
  <c r="BI381" i="13"/>
  <c r="AR380" i="13"/>
  <c r="AT380" i="13"/>
  <c r="AV380" i="13"/>
  <c r="AX380" i="13"/>
  <c r="AZ380" i="13"/>
  <c r="BB380" i="13"/>
  <c r="BI396" i="13"/>
  <c r="BI407" i="13"/>
  <c r="BI412" i="13"/>
  <c r="BI428" i="13"/>
  <c r="AQ430" i="13"/>
  <c r="AS430" i="13"/>
  <c r="AU430" i="13"/>
  <c r="AW430" i="13"/>
  <c r="AY430" i="13"/>
  <c r="BA430" i="13"/>
  <c r="BC430" i="13"/>
  <c r="BI443" i="13"/>
  <c r="BI445" i="13"/>
  <c r="BI451" i="13"/>
  <c r="BC450" i="13"/>
  <c r="AQ450" i="13"/>
  <c r="AS450" i="13"/>
  <c r="AU450" i="13"/>
  <c r="AY450" i="13"/>
  <c r="BA450" i="13"/>
  <c r="BI612" i="13"/>
  <c r="BI11" i="13"/>
  <c r="BI23" i="13"/>
  <c r="BH72" i="13"/>
  <c r="BI101" i="13"/>
  <c r="BH146" i="13"/>
  <c r="BH262" i="13"/>
  <c r="BH280" i="13"/>
  <c r="BI288" i="13"/>
  <c r="BH288" i="13"/>
  <c r="BI348" i="13"/>
  <c r="BH348" i="13"/>
  <c r="BI403" i="13"/>
  <c r="BI431" i="13"/>
  <c r="AW450" i="13"/>
  <c r="AT279" i="13"/>
  <c r="BH296" i="13"/>
  <c r="BH320" i="13"/>
  <c r="BI336" i="13"/>
  <c r="BH336" i="13"/>
  <c r="BI340" i="13"/>
  <c r="AT339" i="13"/>
  <c r="BH340" i="13"/>
  <c r="BH343" i="13"/>
  <c r="BH354" i="13"/>
  <c r="BI359" i="13"/>
  <c r="BH359" i="13"/>
  <c r="BI386" i="13"/>
  <c r="AB72" i="13"/>
  <c r="AC72" i="13"/>
  <c r="AE72" i="13"/>
  <c r="AF72" i="13"/>
  <c r="AG72" i="13"/>
  <c r="AH72" i="13"/>
  <c r="AI72" i="13"/>
  <c r="AJ72" i="13"/>
  <c r="AA72" i="13"/>
  <c r="Y72" i="13"/>
  <c r="Z72" i="13"/>
  <c r="X72" i="13"/>
  <c r="AH351" i="13"/>
  <c r="AE351" i="13"/>
  <c r="AE350" i="13" s="1"/>
  <c r="AB351" i="13"/>
  <c r="AB350" i="13" s="1"/>
  <c r="AD323" i="13"/>
  <c r="AP323" i="13"/>
  <c r="AA351" i="13"/>
  <c r="AA350" i="13" s="1"/>
  <c r="AB354" i="13"/>
  <c r="AC354" i="13"/>
  <c r="AD354" i="13"/>
  <c r="AE354" i="13"/>
  <c r="AF354" i="13"/>
  <c r="AG354" i="13"/>
  <c r="AH354" i="13"/>
  <c r="AI354" i="13"/>
  <c r="AJ354" i="13"/>
  <c r="AA354" i="13"/>
  <c r="Y354" i="13"/>
  <c r="Z354" i="13"/>
  <c r="X354" i="13"/>
  <c r="AC350" i="13"/>
  <c r="AF350" i="13"/>
  <c r="AG350" i="13"/>
  <c r="AH350" i="13"/>
  <c r="AI350" i="13"/>
  <c r="AJ350" i="13"/>
  <c r="Y350" i="13"/>
  <c r="Z350" i="13"/>
  <c r="X350" i="13"/>
  <c r="AB348" i="13"/>
  <c r="AC348" i="13"/>
  <c r="AD348" i="13"/>
  <c r="AE348" i="13"/>
  <c r="AF348" i="13"/>
  <c r="AG348" i="13"/>
  <c r="AH348" i="13"/>
  <c r="AI348" i="13"/>
  <c r="AJ348" i="13"/>
  <c r="Y348" i="13"/>
  <c r="Z348" i="13"/>
  <c r="X348" i="13"/>
  <c r="AA348" i="13"/>
  <c r="AO91" i="13"/>
  <c r="AP91" i="13"/>
  <c r="W91" i="13"/>
  <c r="V91" i="13"/>
  <c r="AO84" i="13"/>
  <c r="AP84" i="13"/>
  <c r="W84" i="13"/>
  <c r="V84" i="13"/>
  <c r="BI182" i="13" l="1"/>
  <c r="BI402" i="13"/>
  <c r="BH287" i="13"/>
  <c r="AT347" i="13"/>
  <c r="BH347" i="13" s="1"/>
  <c r="BI450" i="13"/>
  <c r="BI316" i="13"/>
  <c r="BH295" i="13"/>
  <c r="BH182" i="13"/>
  <c r="BH10" i="13"/>
  <c r="AW10" i="13"/>
  <c r="BI350" i="13"/>
  <c r="BI430" i="13"/>
  <c r="BI10" i="13"/>
  <c r="BI380" i="13"/>
  <c r="BI287" i="13"/>
  <c r="BI363" i="13"/>
  <c r="BH339" i="13"/>
  <c r="BI339" i="13"/>
  <c r="BH279" i="13"/>
  <c r="BI279" i="13"/>
  <c r="AO323" i="13"/>
  <c r="AJ120" i="16"/>
  <c r="AJ118" i="16" s="1"/>
  <c r="AD120" i="16"/>
  <c r="AD118" i="16" s="1"/>
  <c r="W120" i="16"/>
  <c r="AI118" i="16"/>
  <c r="AH118" i="16"/>
  <c r="AG118" i="16"/>
  <c r="AF118" i="16"/>
  <c r="AE118" i="16"/>
  <c r="AC118" i="16"/>
  <c r="AB118" i="16"/>
  <c r="AA118" i="16"/>
  <c r="Z118" i="16"/>
  <c r="Y118" i="16"/>
  <c r="X118" i="16"/>
  <c r="Q118" i="16"/>
  <c r="P118" i="16"/>
  <c r="O118" i="16"/>
  <c r="N118" i="16"/>
  <c r="M118" i="16"/>
  <c r="L118" i="16"/>
  <c r="K118" i="16"/>
  <c r="J118" i="16"/>
  <c r="I118" i="16"/>
  <c r="H118" i="16"/>
  <c r="G118" i="16"/>
  <c r="F118" i="16"/>
  <c r="E118" i="16"/>
  <c r="W117" i="16"/>
  <c r="AJ115" i="16"/>
  <c r="AJ113" i="16" s="1"/>
  <c r="AD115" i="16"/>
  <c r="AD113" i="16" s="1"/>
  <c r="W115" i="16"/>
  <c r="AI113" i="16"/>
  <c r="AH113" i="16"/>
  <c r="AG113" i="16"/>
  <c r="AF113" i="16"/>
  <c r="AE113" i="16"/>
  <c r="AC113" i="16"/>
  <c r="AB113" i="16"/>
  <c r="AA113" i="16"/>
  <c r="Z113" i="16"/>
  <c r="Y113" i="16"/>
  <c r="X113" i="16"/>
  <c r="Q113" i="16"/>
  <c r="P113" i="16"/>
  <c r="O113" i="16"/>
  <c r="N113" i="16"/>
  <c r="M113" i="16"/>
  <c r="L113" i="16"/>
  <c r="K113" i="16"/>
  <c r="J113" i="16"/>
  <c r="I113" i="16"/>
  <c r="H113" i="16"/>
  <c r="G113" i="16"/>
  <c r="F113" i="16"/>
  <c r="E113" i="16"/>
  <c r="W112" i="16"/>
  <c r="AJ106" i="16"/>
  <c r="AJ104" i="16" s="1"/>
  <c r="AD106" i="16"/>
  <c r="AD104" i="16" s="1"/>
  <c r="W106" i="16"/>
  <c r="AI104" i="16"/>
  <c r="AH104" i="16"/>
  <c r="AG104" i="16"/>
  <c r="AF104" i="16"/>
  <c r="AE104" i="16"/>
  <c r="AC104" i="16"/>
  <c r="AB104" i="16"/>
  <c r="AA104" i="16"/>
  <c r="Z104" i="16"/>
  <c r="Y104" i="16"/>
  <c r="X104" i="16"/>
  <c r="Q104" i="16"/>
  <c r="P104" i="16"/>
  <c r="O104" i="16"/>
  <c r="N104" i="16"/>
  <c r="M104" i="16"/>
  <c r="L104" i="16"/>
  <c r="K104" i="16"/>
  <c r="J104" i="16"/>
  <c r="I104" i="16"/>
  <c r="H104" i="16"/>
  <c r="G104" i="16"/>
  <c r="F104" i="16"/>
  <c r="E104" i="16"/>
  <c r="W103" i="16"/>
  <c r="AD100" i="16"/>
  <c r="AD98" i="16" s="1"/>
  <c r="W99" i="16"/>
  <c r="AJ98" i="16"/>
  <c r="AI98" i="16"/>
  <c r="AH98" i="16"/>
  <c r="AG98" i="16"/>
  <c r="AF98" i="16"/>
  <c r="AE98" i="16"/>
  <c r="AC98" i="16"/>
  <c r="AB98" i="16"/>
  <c r="AA98" i="16"/>
  <c r="Z98" i="16"/>
  <c r="Y98" i="16"/>
  <c r="X98" i="16"/>
  <c r="Q98" i="16"/>
  <c r="P98" i="16"/>
  <c r="O98" i="16"/>
  <c r="N98" i="16"/>
  <c r="M98" i="16"/>
  <c r="L98" i="16"/>
  <c r="K98" i="16"/>
  <c r="J98" i="16"/>
  <c r="I98" i="16"/>
  <c r="H98" i="16"/>
  <c r="G98" i="16"/>
  <c r="F98" i="16"/>
  <c r="E98" i="16"/>
  <c r="AJ614" i="13"/>
  <c r="AD614" i="13"/>
  <c r="AJ607" i="13"/>
  <c r="AD607" i="13"/>
  <c r="AD504" i="13"/>
  <c r="AJ504" i="13"/>
  <c r="AD453" i="13"/>
  <c r="BI347" i="13" l="1"/>
  <c r="Y97" i="16"/>
  <c r="AA97" i="16"/>
  <c r="AC97" i="16"/>
  <c r="AR295" i="13"/>
  <c r="BI295" i="13" s="1"/>
  <c r="BI306" i="13"/>
  <c r="AE97" i="16"/>
  <c r="AG97" i="16"/>
  <c r="AI97" i="16"/>
  <c r="AD97" i="16"/>
  <c r="X97" i="16"/>
  <c r="Z97" i="16"/>
  <c r="AB97" i="16"/>
  <c r="AF97" i="16"/>
  <c r="AH97" i="16"/>
  <c r="AJ97" i="16"/>
  <c r="W98" i="16"/>
  <c r="W104" i="16"/>
  <c r="W113" i="16"/>
  <c r="W118" i="16"/>
  <c r="AP81" i="16"/>
  <c r="AO81" i="16"/>
  <c r="W81" i="16"/>
  <c r="V81" i="16"/>
  <c r="AP63" i="16"/>
  <c r="AO63" i="16"/>
  <c r="W63" i="16"/>
  <c r="V63" i="16"/>
  <c r="AD38" i="16"/>
  <c r="AP122" i="16"/>
  <c r="W122" i="16"/>
  <c r="AP120" i="16"/>
  <c r="AP117" i="16"/>
  <c r="AP115" i="16"/>
  <c r="AP112" i="16"/>
  <c r="AP106" i="16"/>
  <c r="AP103" i="16"/>
  <c r="AP99" i="16"/>
  <c r="N97" i="16"/>
  <c r="L97" i="16"/>
  <c r="J97" i="16"/>
  <c r="H97" i="16"/>
  <c r="F97" i="16"/>
  <c r="P97" i="16"/>
  <c r="AJ330" i="13"/>
  <c r="E97" i="16" l="1"/>
  <c r="G97" i="16"/>
  <c r="I97" i="16"/>
  <c r="K97" i="16"/>
  <c r="M97" i="16"/>
  <c r="O97" i="16"/>
  <c r="Q97" i="16"/>
  <c r="W97" i="16"/>
  <c r="AP113" i="16"/>
  <c r="AP118" i="16"/>
  <c r="AP98" i="16"/>
  <c r="AP104" i="16"/>
  <c r="AJ383" i="13"/>
  <c r="AD383" i="13"/>
  <c r="AP17" i="16"/>
  <c r="AO17" i="16"/>
  <c r="W17" i="16"/>
  <c r="V17" i="16"/>
  <c r="AP23" i="16"/>
  <c r="AO23" i="16"/>
  <c r="AD23" i="16"/>
  <c r="W23" i="16"/>
  <c r="V23" i="16"/>
  <c r="AD311" i="13"/>
  <c r="AP360" i="13"/>
  <c r="AO360" i="13"/>
  <c r="W360" i="13"/>
  <c r="V360" i="13"/>
  <c r="AJ359" i="13"/>
  <c r="AI359" i="13"/>
  <c r="AH359" i="13"/>
  <c r="AG359" i="13"/>
  <c r="AF359" i="13"/>
  <c r="AE359" i="13"/>
  <c r="AD359" i="13"/>
  <c r="AC359" i="13"/>
  <c r="AB359" i="13"/>
  <c r="AA359" i="13"/>
  <c r="Z359" i="13"/>
  <c r="Y359" i="13"/>
  <c r="X359" i="13"/>
  <c r="Q359" i="13"/>
  <c r="P359" i="13"/>
  <c r="O359" i="13"/>
  <c r="N359" i="13"/>
  <c r="M359" i="13"/>
  <c r="L359" i="13"/>
  <c r="K359" i="13"/>
  <c r="J359" i="13"/>
  <c r="I359" i="13"/>
  <c r="H359" i="13"/>
  <c r="G359" i="13"/>
  <c r="F359" i="13"/>
  <c r="E359" i="13"/>
  <c r="AD309" i="13"/>
  <c r="AD344" i="13"/>
  <c r="W344" i="13"/>
  <c r="V344" i="13"/>
  <c r="AD300" i="13"/>
  <c r="AD351" i="13"/>
  <c r="AD350" i="13" s="1"/>
  <c r="AP351" i="13"/>
  <c r="AP97" i="16" l="1"/>
  <c r="AO351" i="13"/>
  <c r="AP359" i="13"/>
  <c r="V359" i="13"/>
  <c r="W359" i="13"/>
  <c r="AO359" i="13"/>
  <c r="AD422" i="13"/>
  <c r="AD268" i="13"/>
  <c r="AC268" i="13"/>
  <c r="AD330" i="13"/>
  <c r="AD310" i="13"/>
  <c r="AD237" i="13"/>
  <c r="AO159" i="13"/>
  <c r="AP159" i="13"/>
  <c r="AD194" i="13" l="1"/>
  <c r="AO194" i="13"/>
  <c r="AP194" i="13"/>
  <c r="AP616" i="13" l="1"/>
  <c r="W616" i="13"/>
  <c r="AP614" i="13"/>
  <c r="W614" i="13"/>
  <c r="AJ612" i="13"/>
  <c r="AI612" i="13"/>
  <c r="AH612" i="13"/>
  <c r="AG612" i="13"/>
  <c r="AF612" i="13"/>
  <c r="AE612" i="13"/>
  <c r="AD612" i="13"/>
  <c r="AC612" i="13"/>
  <c r="AB612" i="13"/>
  <c r="AA612" i="13"/>
  <c r="Z612" i="13"/>
  <c r="Y612" i="13"/>
  <c r="X612" i="13"/>
  <c r="Q612" i="13"/>
  <c r="P612" i="13"/>
  <c r="O612" i="13"/>
  <c r="N612" i="13"/>
  <c r="M612" i="13"/>
  <c r="L612" i="13"/>
  <c r="K612" i="13"/>
  <c r="J612" i="13"/>
  <c r="I612" i="13"/>
  <c r="H612" i="13"/>
  <c r="G612" i="13"/>
  <c r="F612" i="13"/>
  <c r="E612" i="13"/>
  <c r="W607" i="13"/>
  <c r="AP607" i="13"/>
  <c r="AP611" i="13"/>
  <c r="W611" i="13"/>
  <c r="AJ605" i="13"/>
  <c r="AI605" i="13"/>
  <c r="AH605" i="13"/>
  <c r="AG605" i="13"/>
  <c r="AF605" i="13"/>
  <c r="AE605" i="13"/>
  <c r="AD605" i="13"/>
  <c r="AC605" i="13"/>
  <c r="AB605" i="13"/>
  <c r="AA605" i="13"/>
  <c r="Z605" i="13"/>
  <c r="Y605" i="13"/>
  <c r="X605" i="13"/>
  <c r="Q605" i="13"/>
  <c r="P605" i="13"/>
  <c r="O605" i="13"/>
  <c r="N605" i="13"/>
  <c r="M605" i="13"/>
  <c r="L605" i="13"/>
  <c r="K605" i="13"/>
  <c r="J605" i="13"/>
  <c r="I605" i="13"/>
  <c r="H605" i="13"/>
  <c r="G605" i="13"/>
  <c r="F605" i="13"/>
  <c r="E605" i="13"/>
  <c r="AP604" i="13"/>
  <c r="W604" i="13"/>
  <c r="AP504" i="13"/>
  <c r="W504" i="13"/>
  <c r="AJ502" i="13"/>
  <c r="AI502" i="13"/>
  <c r="AH502" i="13"/>
  <c r="AG502" i="13"/>
  <c r="AF502" i="13"/>
  <c r="AE502" i="13"/>
  <c r="AD502" i="13"/>
  <c r="AC502" i="13"/>
  <c r="AB502" i="13"/>
  <c r="AA502" i="13"/>
  <c r="Z502" i="13"/>
  <c r="Y502" i="13"/>
  <c r="X502" i="13"/>
  <c r="Q502" i="13"/>
  <c r="P502" i="13"/>
  <c r="O502" i="13"/>
  <c r="N502" i="13"/>
  <c r="M502" i="13"/>
  <c r="L502" i="13"/>
  <c r="K502" i="13"/>
  <c r="J502" i="13"/>
  <c r="I502" i="13"/>
  <c r="H502" i="13"/>
  <c r="G502" i="13"/>
  <c r="F502" i="13"/>
  <c r="E502" i="13"/>
  <c r="AP501" i="13"/>
  <c r="W501" i="13"/>
  <c r="AP452" i="13"/>
  <c r="W452" i="13"/>
  <c r="AJ451" i="13"/>
  <c r="AJ450" i="13" s="1"/>
  <c r="AI451" i="13"/>
  <c r="AI450" i="13" s="1"/>
  <c r="AH451" i="13"/>
  <c r="AH450" i="13" s="1"/>
  <c r="AG451" i="13"/>
  <c r="AG450" i="13" s="1"/>
  <c r="AF451" i="13"/>
  <c r="AF450" i="13" s="1"/>
  <c r="AE451" i="13"/>
  <c r="AE450" i="13" s="1"/>
  <c r="AD451" i="13"/>
  <c r="AD450" i="13" s="1"/>
  <c r="AC451" i="13"/>
  <c r="AC450" i="13" s="1"/>
  <c r="AB451" i="13"/>
  <c r="AB450" i="13" s="1"/>
  <c r="AA451" i="13"/>
  <c r="Z451" i="13"/>
  <c r="Z450" i="13" s="1"/>
  <c r="Y451" i="13"/>
  <c r="Y450" i="13" s="1"/>
  <c r="X451" i="13"/>
  <c r="X450" i="13" s="1"/>
  <c r="Q451" i="13"/>
  <c r="P451" i="13"/>
  <c r="O451" i="13"/>
  <c r="N451" i="13"/>
  <c r="M451" i="13"/>
  <c r="L451" i="13"/>
  <c r="K451" i="13"/>
  <c r="J451" i="13"/>
  <c r="I451" i="13"/>
  <c r="H451" i="13"/>
  <c r="G451" i="13"/>
  <c r="F451" i="13"/>
  <c r="E451" i="13"/>
  <c r="AA450" i="13" l="1"/>
  <c r="Q450" i="13"/>
  <c r="M450" i="13"/>
  <c r="E450" i="13"/>
  <c r="G450" i="13"/>
  <c r="I450" i="13"/>
  <c r="K450" i="13"/>
  <c r="O450" i="13"/>
  <c r="W451" i="13"/>
  <c r="AP502" i="13"/>
  <c r="F450" i="13"/>
  <c r="H450" i="13"/>
  <c r="J450" i="13"/>
  <c r="L450" i="13"/>
  <c r="N450" i="13"/>
  <c r="P450" i="13"/>
  <c r="W612" i="13"/>
  <c r="W502" i="13"/>
  <c r="AP612" i="13"/>
  <c r="AP605" i="13"/>
  <c r="W605" i="13"/>
  <c r="AP451" i="13"/>
  <c r="AO41" i="13"/>
  <c r="AP41" i="13"/>
  <c r="AP450" i="13" l="1"/>
  <c r="W450" i="13"/>
  <c r="AD125" i="13"/>
  <c r="AP311" i="13"/>
  <c r="AO311" i="13"/>
  <c r="W311" i="13"/>
  <c r="V311" i="13"/>
  <c r="AP310" i="13"/>
  <c r="AO310" i="13"/>
  <c r="W310" i="13"/>
  <c r="V310" i="13"/>
  <c r="AD204" i="13"/>
  <c r="AP204" i="13"/>
  <c r="AO204" i="13"/>
  <c r="W204" i="13"/>
  <c r="V204" i="13"/>
  <c r="AP124" i="13"/>
  <c r="AO124" i="13"/>
  <c r="W124" i="13"/>
  <c r="V124" i="13"/>
  <c r="AD93" i="13"/>
  <c r="AP93" i="13"/>
  <c r="AO93" i="13"/>
  <c r="W93" i="13"/>
  <c r="V93" i="13"/>
  <c r="AP414" i="13"/>
  <c r="W414" i="13"/>
  <c r="AP417" i="13"/>
  <c r="W417" i="13"/>
  <c r="AP439" i="13"/>
  <c r="W439" i="13"/>
  <c r="AD203" i="13"/>
  <c r="AP203" i="13"/>
  <c r="AO203" i="13"/>
  <c r="W203" i="13"/>
  <c r="V203" i="13"/>
  <c r="AD202" i="13"/>
  <c r="AP202" i="13"/>
  <c r="AO202" i="13"/>
  <c r="W202" i="13"/>
  <c r="V202" i="13"/>
  <c r="AD170" i="13"/>
  <c r="AP170" i="13"/>
  <c r="AO170" i="13"/>
  <c r="W170" i="13"/>
  <c r="V170" i="13"/>
  <c r="AD201" i="13"/>
  <c r="AD200" i="13"/>
  <c r="AP200" i="13"/>
  <c r="AO200" i="13"/>
  <c r="W200" i="13"/>
  <c r="V200" i="13"/>
  <c r="AP52" i="13"/>
  <c r="AO52" i="13"/>
  <c r="W52" i="13"/>
  <c r="V52" i="13"/>
  <c r="AD51" i="13"/>
  <c r="AP51" i="13"/>
  <c r="AO51" i="13"/>
  <c r="W51" i="13"/>
  <c r="V51" i="13"/>
  <c r="AP50" i="13"/>
  <c r="AO50" i="13"/>
  <c r="W50" i="13"/>
  <c r="V50" i="13"/>
  <c r="AP49" i="13"/>
  <c r="AO49" i="13"/>
  <c r="W49" i="13"/>
  <c r="V49" i="13"/>
  <c r="AD199" i="13"/>
  <c r="AP199" i="13"/>
  <c r="AO199" i="13"/>
  <c r="W199" i="13"/>
  <c r="V199" i="13"/>
  <c r="AP48" i="13"/>
  <c r="AO48" i="13"/>
  <c r="W48" i="13"/>
  <c r="V48" i="13"/>
  <c r="AD198" i="13"/>
  <c r="AP422" i="13"/>
  <c r="W422" i="13"/>
  <c r="AP92" i="13"/>
  <c r="AO92" i="13"/>
  <c r="W92" i="13"/>
  <c r="V92" i="13"/>
  <c r="AD239" i="13"/>
  <c r="AP239" i="13"/>
  <c r="AO239" i="13"/>
  <c r="W239" i="13"/>
  <c r="V239" i="13"/>
  <c r="AD169" i="13"/>
  <c r="AD168" i="13"/>
  <c r="AP168" i="13"/>
  <c r="AO168" i="13"/>
  <c r="W168" i="13"/>
  <c r="V168" i="13"/>
  <c r="AP169" i="13"/>
  <c r="AO169" i="13"/>
  <c r="W169" i="13"/>
  <c r="V169" i="13"/>
  <c r="AD167" i="13" l="1"/>
  <c r="AP167" i="13"/>
  <c r="AO167" i="13"/>
  <c r="W167" i="13"/>
  <c r="V167" i="13"/>
  <c r="AD47" i="13"/>
  <c r="AD23" i="13" s="1"/>
  <c r="AD166" i="13"/>
  <c r="AD238" i="13"/>
  <c r="AP238" i="13"/>
  <c r="AO238" i="13"/>
  <c r="W238" i="13"/>
  <c r="V238" i="13"/>
  <c r="AD90" i="13"/>
  <c r="AP89" i="13"/>
  <c r="AO89" i="13"/>
  <c r="W89" i="13"/>
  <c r="V89" i="13"/>
  <c r="AD16" i="13"/>
  <c r="AP16" i="13"/>
  <c r="AO16" i="13"/>
  <c r="W16" i="13"/>
  <c r="V16" i="13"/>
  <c r="AP46" i="13"/>
  <c r="AO46" i="13"/>
  <c r="W46" i="13"/>
  <c r="V46" i="13"/>
  <c r="AP47" i="13"/>
  <c r="AO47" i="13"/>
  <c r="W47" i="13"/>
  <c r="V47" i="13"/>
  <c r="AP53" i="13"/>
  <c r="AO53" i="13"/>
  <c r="W53" i="13"/>
  <c r="V53" i="13"/>
  <c r="AD88" i="13"/>
  <c r="AD15" i="13"/>
  <c r="AD11" i="13" s="1"/>
  <c r="AD235" i="13"/>
  <c r="AP235" i="13"/>
  <c r="AO235" i="13"/>
  <c r="W235" i="13"/>
  <c r="V235" i="13"/>
  <c r="AP236" i="13"/>
  <c r="AO236" i="13"/>
  <c r="W236" i="13"/>
  <c r="V236" i="13"/>
  <c r="AP237" i="13"/>
  <c r="AO237" i="13"/>
  <c r="W237" i="13"/>
  <c r="V237" i="13"/>
  <c r="AP165" i="13"/>
  <c r="AO165" i="13"/>
  <c r="W165" i="13"/>
  <c r="V165" i="13"/>
  <c r="AP166" i="13"/>
  <c r="AO166" i="13"/>
  <c r="W166" i="13"/>
  <c r="V166" i="13"/>
  <c r="AD197" i="13"/>
  <c r="AP197" i="13"/>
  <c r="AO197" i="13"/>
  <c r="W197" i="13"/>
  <c r="V197" i="13"/>
  <c r="AP198" i="13"/>
  <c r="AO198" i="13"/>
  <c r="W198" i="13"/>
  <c r="V198" i="13"/>
  <c r="AP201" i="13"/>
  <c r="AO201" i="13"/>
  <c r="W201" i="13"/>
  <c r="V201" i="13"/>
  <c r="AD87" i="13"/>
  <c r="AP90" i="13"/>
  <c r="AO90" i="13"/>
  <c r="W90" i="13"/>
  <c r="V90" i="13"/>
  <c r="AP88" i="13"/>
  <c r="AO88" i="13"/>
  <c r="W88" i="13"/>
  <c r="V88" i="13"/>
  <c r="AP87" i="13"/>
  <c r="AO87" i="13"/>
  <c r="W87" i="13"/>
  <c r="V87" i="13"/>
  <c r="AP86" i="13"/>
  <c r="AO86" i="13"/>
  <c r="W86" i="13"/>
  <c r="V86" i="13"/>
  <c r="AP164" i="13"/>
  <c r="AO164" i="13"/>
  <c r="W164" i="13"/>
  <c r="V164" i="13"/>
  <c r="W383" i="13"/>
  <c r="AP383" i="13"/>
  <c r="AD196" i="13"/>
  <c r="AP196" i="13"/>
  <c r="AO196" i="13"/>
  <c r="W196" i="13"/>
  <c r="V196" i="13"/>
  <c r="AD123" i="13"/>
  <c r="AP123" i="13"/>
  <c r="AO123" i="13"/>
  <c r="W123" i="13"/>
  <c r="V123" i="13"/>
  <c r="AD163" i="13"/>
  <c r="AP163" i="13"/>
  <c r="AO163" i="13"/>
  <c r="W163" i="13"/>
  <c r="V163" i="13"/>
  <c r="AD85" i="13"/>
  <c r="AP85" i="13"/>
  <c r="AO85" i="13"/>
  <c r="W85" i="13"/>
  <c r="V85" i="13"/>
  <c r="AP234" i="13"/>
  <c r="AO234" i="13"/>
  <c r="W234" i="13"/>
  <c r="V234" i="13"/>
  <c r="AD83" i="13"/>
  <c r="AP83" i="13"/>
  <c r="AO83" i="13"/>
  <c r="W83" i="13"/>
  <c r="V83" i="13"/>
  <c r="AD82" i="13"/>
  <c r="AP82" i="13"/>
  <c r="AO82" i="13"/>
  <c r="W82" i="13"/>
  <c r="V82" i="13"/>
  <c r="AD81" i="13"/>
  <c r="AP81" i="13"/>
  <c r="AO81" i="13"/>
  <c r="W81" i="13"/>
  <c r="V81" i="13"/>
  <c r="AP80" i="13"/>
  <c r="AO80" i="13"/>
  <c r="W80" i="13"/>
  <c r="V80" i="13"/>
  <c r="AP162" i="13"/>
  <c r="AO162" i="13"/>
  <c r="W162" i="13"/>
  <c r="V162" i="13"/>
  <c r="AP79" i="13"/>
  <c r="AO79" i="13"/>
  <c r="W79" i="13"/>
  <c r="V79" i="13"/>
  <c r="AP78" i="13"/>
  <c r="AO78" i="13"/>
  <c r="W78" i="13"/>
  <c r="V78" i="13"/>
  <c r="AP233" i="13"/>
  <c r="AO233" i="13"/>
  <c r="W233" i="13"/>
  <c r="V233" i="13"/>
  <c r="AP195" i="13"/>
  <c r="AO195" i="13"/>
  <c r="W195" i="13"/>
  <c r="V195" i="13"/>
  <c r="AP301" i="13"/>
  <c r="AO301" i="13"/>
  <c r="W301" i="13"/>
  <c r="V301" i="13"/>
  <c r="AP300" i="13"/>
  <c r="AO300" i="13"/>
  <c r="W300" i="13"/>
  <c r="V300" i="13"/>
  <c r="AP122" i="13"/>
  <c r="AO122" i="13"/>
  <c r="W122" i="13"/>
  <c r="V122" i="13"/>
  <c r="AP161" i="13"/>
  <c r="AO161" i="13"/>
  <c r="W161" i="13"/>
  <c r="V161" i="13"/>
  <c r="AP45" i="13"/>
  <c r="AO45" i="13"/>
  <c r="W45" i="13"/>
  <c r="V45" i="13"/>
  <c r="AH329" i="13"/>
  <c r="AH327" i="13" s="1"/>
  <c r="AA329" i="13"/>
  <c r="AP329" i="13" s="1"/>
  <c r="W329" i="13"/>
  <c r="V329" i="13"/>
  <c r="AP330" i="13"/>
  <c r="AO330" i="13"/>
  <c r="W330" i="13"/>
  <c r="V330" i="13"/>
  <c r="AP259" i="13"/>
  <c r="AO259" i="13"/>
  <c r="W259" i="13"/>
  <c r="V259" i="13"/>
  <c r="AP44" i="13"/>
  <c r="AO44" i="13"/>
  <c r="W44" i="13"/>
  <c r="V44" i="13"/>
  <c r="AD121" i="13"/>
  <c r="AP121" i="13"/>
  <c r="AO121" i="13"/>
  <c r="W121" i="13"/>
  <c r="V121" i="13"/>
  <c r="AD119" i="13"/>
  <c r="AD160" i="13"/>
  <c r="AD193" i="13"/>
  <c r="AD232" i="13"/>
  <c r="AP120" i="13"/>
  <c r="AO120" i="13"/>
  <c r="W120" i="13"/>
  <c r="V120" i="13"/>
  <c r="AP125" i="13"/>
  <c r="AO125" i="13"/>
  <c r="W125" i="13"/>
  <c r="V125" i="13"/>
  <c r="AP119" i="13"/>
  <c r="AO119" i="13"/>
  <c r="W119" i="13"/>
  <c r="V119" i="13"/>
  <c r="AP267" i="13"/>
  <c r="AO267" i="13"/>
  <c r="W267" i="13"/>
  <c r="V267" i="13"/>
  <c r="AP268" i="13"/>
  <c r="AO268" i="13"/>
  <c r="W268" i="13"/>
  <c r="V268" i="13"/>
  <c r="AP160" i="13"/>
  <c r="AO160" i="13"/>
  <c r="W160" i="13"/>
  <c r="V160" i="13"/>
  <c r="AP118" i="13"/>
  <c r="AO118" i="13"/>
  <c r="W118" i="13"/>
  <c r="V118" i="13"/>
  <c r="AP43" i="13"/>
  <c r="AO43" i="13"/>
  <c r="W43" i="13"/>
  <c r="V43" i="13"/>
  <c r="AP42" i="13"/>
  <c r="AO42" i="13"/>
  <c r="W42" i="13"/>
  <c r="V42" i="13"/>
  <c r="AP309" i="13"/>
  <c r="AO309" i="13"/>
  <c r="W309" i="13"/>
  <c r="V309" i="13"/>
  <c r="AP158" i="13"/>
  <c r="AO158" i="13"/>
  <c r="W158" i="13"/>
  <c r="V158" i="13"/>
  <c r="AP39" i="13"/>
  <c r="AO39" i="13"/>
  <c r="W39" i="13"/>
  <c r="V39" i="13"/>
  <c r="AP40" i="13"/>
  <c r="AO40" i="13"/>
  <c r="W40" i="13"/>
  <c r="V40" i="13"/>
  <c r="AP409" i="13"/>
  <c r="W409" i="13"/>
  <c r="AP116" i="13"/>
  <c r="AO116" i="13"/>
  <c r="W116" i="13"/>
  <c r="V116" i="13"/>
  <c r="AP117" i="13"/>
  <c r="AO117" i="13"/>
  <c r="W117" i="13"/>
  <c r="V117" i="13"/>
  <c r="AP126" i="13"/>
  <c r="AO126" i="13"/>
  <c r="W126" i="13"/>
  <c r="V126" i="13"/>
  <c r="AP193" i="13"/>
  <c r="AO193" i="13"/>
  <c r="W193" i="13"/>
  <c r="V193" i="13"/>
  <c r="AP232" i="13"/>
  <c r="AO232" i="13"/>
  <c r="W232" i="13"/>
  <c r="V232" i="13"/>
  <c r="AP15" i="13"/>
  <c r="AO15" i="13"/>
  <c r="W15" i="13"/>
  <c r="V15" i="13"/>
  <c r="AP449" i="13"/>
  <c r="AJ446" i="13"/>
  <c r="AJ445" i="13" s="1"/>
  <c r="AI446" i="13"/>
  <c r="AI445" i="13" s="1"/>
  <c r="AH446" i="13"/>
  <c r="AH445" i="13" s="1"/>
  <c r="AG446" i="13"/>
  <c r="AG445" i="13" s="1"/>
  <c r="AF446" i="13"/>
  <c r="AF445" i="13" s="1"/>
  <c r="AE446" i="13"/>
  <c r="AE445" i="13" s="1"/>
  <c r="AD446" i="13"/>
  <c r="AD445" i="13" s="1"/>
  <c r="AC446" i="13"/>
  <c r="AC445" i="13" s="1"/>
  <c r="AB446" i="13"/>
  <c r="AB445" i="13" s="1"/>
  <c r="AA446" i="13"/>
  <c r="Z446" i="13"/>
  <c r="Z445" i="13" s="1"/>
  <c r="Y446" i="13"/>
  <c r="Y445" i="13" s="1"/>
  <c r="X446" i="13"/>
  <c r="X445" i="13" s="1"/>
  <c r="AP444" i="13"/>
  <c r="AJ443" i="13"/>
  <c r="AI443" i="13"/>
  <c r="AH443" i="13"/>
  <c r="AG443" i="13"/>
  <c r="AF443" i="13"/>
  <c r="AE443" i="13"/>
  <c r="AD443" i="13"/>
  <c r="AC443" i="13"/>
  <c r="AB443" i="13"/>
  <c r="AA443" i="13"/>
  <c r="Z443" i="13"/>
  <c r="Y443" i="13"/>
  <c r="X443" i="13"/>
  <c r="AP442" i="13"/>
  <c r="AJ438" i="13"/>
  <c r="AI438" i="13"/>
  <c r="AH438" i="13"/>
  <c r="AG438" i="13"/>
  <c r="AF438" i="13"/>
  <c r="AE438" i="13"/>
  <c r="AD438" i="13"/>
  <c r="AC438" i="13"/>
  <c r="AB438" i="13"/>
  <c r="AA438" i="13"/>
  <c r="Z438" i="13"/>
  <c r="Y438" i="13"/>
  <c r="X438" i="13"/>
  <c r="AP437" i="13"/>
  <c r="AP433" i="13"/>
  <c r="AP432" i="13"/>
  <c r="AJ431" i="13"/>
  <c r="AI431" i="13"/>
  <c r="AH431" i="13"/>
  <c r="AG431" i="13"/>
  <c r="AF431" i="13"/>
  <c r="AE431" i="13"/>
  <c r="AD431" i="13"/>
  <c r="AC431" i="13"/>
  <c r="AB431" i="13"/>
  <c r="AA431" i="13"/>
  <c r="Z431" i="13"/>
  <c r="Y431" i="13"/>
  <c r="X431" i="13"/>
  <c r="AP429" i="13"/>
  <c r="AJ428" i="13"/>
  <c r="AJ427" i="13" s="1"/>
  <c r="AI428" i="13"/>
  <c r="AH428" i="13"/>
  <c r="AH427" i="13" s="1"/>
  <c r="AG428" i="13"/>
  <c r="AG427" i="13" s="1"/>
  <c r="AF428" i="13"/>
  <c r="AF427" i="13" s="1"/>
  <c r="AE428" i="13"/>
  <c r="AE427" i="13" s="1"/>
  <c r="AD428" i="13"/>
  <c r="AD427" i="13" s="1"/>
  <c r="AC428" i="13"/>
  <c r="AC427" i="13" s="1"/>
  <c r="AB428" i="13"/>
  <c r="AB427" i="13" s="1"/>
  <c r="AA428" i="13"/>
  <c r="AA427" i="13" s="1"/>
  <c r="Z428" i="13"/>
  <c r="Z427" i="13" s="1"/>
  <c r="Y428" i="13"/>
  <c r="Y427" i="13" s="1"/>
  <c r="X428" i="13"/>
  <c r="X427" i="13" s="1"/>
  <c r="AI427" i="13"/>
  <c r="AP426" i="13"/>
  <c r="AP421" i="13"/>
  <c r="AJ420" i="13"/>
  <c r="AJ419" i="13" s="1"/>
  <c r="AI420" i="13"/>
  <c r="AI419" i="13" s="1"/>
  <c r="AH420" i="13"/>
  <c r="AH419" i="13" s="1"/>
  <c r="AG420" i="13"/>
  <c r="AG419" i="13" s="1"/>
  <c r="AF420" i="13"/>
  <c r="AF419" i="13" s="1"/>
  <c r="AE420" i="13"/>
  <c r="AE419" i="13" s="1"/>
  <c r="AD420" i="13"/>
  <c r="AD419" i="13" s="1"/>
  <c r="AC420" i="13"/>
  <c r="AC419" i="13" s="1"/>
  <c r="AB420" i="13"/>
  <c r="AB419" i="13" s="1"/>
  <c r="AA420" i="13"/>
  <c r="Z420" i="13"/>
  <c r="Z419" i="13" s="1"/>
  <c r="Y420" i="13"/>
  <c r="Y419" i="13" s="1"/>
  <c r="X420" i="13"/>
  <c r="X419" i="13" s="1"/>
  <c r="AP418" i="13"/>
  <c r="AP413" i="13"/>
  <c r="AJ412" i="13"/>
  <c r="AI412" i="13"/>
  <c r="AH412" i="13"/>
  <c r="AG412" i="13"/>
  <c r="AF412" i="13"/>
  <c r="AE412" i="13"/>
  <c r="AD412" i="13"/>
  <c r="AC412" i="13"/>
  <c r="AB412" i="13"/>
  <c r="AA412" i="13"/>
  <c r="Z412" i="13"/>
  <c r="Y412" i="13"/>
  <c r="X412" i="13"/>
  <c r="AP411" i="13"/>
  <c r="AP408" i="13"/>
  <c r="AJ407" i="13"/>
  <c r="AI407" i="13"/>
  <c r="AH407" i="13"/>
  <c r="AG407" i="13"/>
  <c r="AF407" i="13"/>
  <c r="AE407" i="13"/>
  <c r="AD407" i="13"/>
  <c r="AC407" i="13"/>
  <c r="AB407" i="13"/>
  <c r="AA407" i="13"/>
  <c r="Z407" i="13"/>
  <c r="Y407" i="13"/>
  <c r="X407" i="13"/>
  <c r="AP406" i="13"/>
  <c r="AJ403" i="13"/>
  <c r="AI403" i="13"/>
  <c r="AH403" i="13"/>
  <c r="AG403" i="13"/>
  <c r="AF403" i="13"/>
  <c r="AE403" i="13"/>
  <c r="AD403" i="13"/>
  <c r="AC403" i="13"/>
  <c r="AB403" i="13"/>
  <c r="AA403" i="13"/>
  <c r="Z403" i="13"/>
  <c r="Y403" i="13"/>
  <c r="X403" i="13"/>
  <c r="AP401" i="13"/>
  <c r="AP398" i="13"/>
  <c r="AP397" i="13"/>
  <c r="AJ396" i="13"/>
  <c r="AI396" i="13"/>
  <c r="AH396" i="13"/>
  <c r="AG396" i="13"/>
  <c r="AF396" i="13"/>
  <c r="AE396" i="13"/>
  <c r="AD396" i="13"/>
  <c r="AC396" i="13"/>
  <c r="AB396" i="13"/>
  <c r="AA396" i="13"/>
  <c r="Z396" i="13"/>
  <c r="Y396" i="13"/>
  <c r="X396" i="13"/>
  <c r="AP395" i="13"/>
  <c r="AJ393" i="13"/>
  <c r="AI393" i="13"/>
  <c r="AH393" i="13"/>
  <c r="AG393" i="13"/>
  <c r="AF393" i="13"/>
  <c r="AE393" i="13"/>
  <c r="AD393" i="13"/>
  <c r="AC393" i="13"/>
  <c r="AB393" i="13"/>
  <c r="AA393" i="13"/>
  <c r="Z393" i="13"/>
  <c r="Y393" i="13"/>
  <c r="X393" i="13"/>
  <c r="AP392" i="13"/>
  <c r="AJ389" i="13"/>
  <c r="AI389" i="13"/>
  <c r="AH389" i="13"/>
  <c r="AG389" i="13"/>
  <c r="AF389" i="13"/>
  <c r="AE389" i="13"/>
  <c r="AD389" i="13"/>
  <c r="AC389" i="13"/>
  <c r="AB389" i="13"/>
  <c r="AA389" i="13"/>
  <c r="Z389" i="13"/>
  <c r="Y389" i="13"/>
  <c r="X389" i="13"/>
  <c r="AP388" i="13"/>
  <c r="AP387" i="13"/>
  <c r="AJ386" i="13"/>
  <c r="AI386" i="13"/>
  <c r="AH386" i="13"/>
  <c r="AG386" i="13"/>
  <c r="AF386" i="13"/>
  <c r="AE386" i="13"/>
  <c r="AD386" i="13"/>
  <c r="AC386" i="13"/>
  <c r="AB386" i="13"/>
  <c r="AA386" i="13"/>
  <c r="Z386" i="13"/>
  <c r="Y386" i="13"/>
  <c r="X386" i="13"/>
  <c r="AP385" i="13"/>
  <c r="AP382" i="13"/>
  <c r="AJ381" i="13"/>
  <c r="AI381" i="13"/>
  <c r="AH381" i="13"/>
  <c r="AG381" i="13"/>
  <c r="AF381" i="13"/>
  <c r="AE381" i="13"/>
  <c r="AD381" i="13"/>
  <c r="AC381" i="13"/>
  <c r="AB381" i="13"/>
  <c r="AA381" i="13"/>
  <c r="Z381" i="13"/>
  <c r="Y381" i="13"/>
  <c r="X381" i="13"/>
  <c r="AP379" i="13"/>
  <c r="AP373" i="13"/>
  <c r="AJ372" i="13"/>
  <c r="AJ368" i="13" s="1"/>
  <c r="AJ364" i="13" s="1"/>
  <c r="AI372" i="13"/>
  <c r="AI368" i="13" s="1"/>
  <c r="AI364" i="13" s="1"/>
  <c r="AH372" i="13"/>
  <c r="AH368" i="13" s="1"/>
  <c r="AG372" i="13"/>
  <c r="AG368" i="13" s="1"/>
  <c r="AG364" i="13" s="1"/>
  <c r="AF372" i="13"/>
  <c r="AF368" i="13" s="1"/>
  <c r="AF364" i="13" s="1"/>
  <c r="AE372" i="13"/>
  <c r="AE368" i="13" s="1"/>
  <c r="AD372" i="13"/>
  <c r="AD368" i="13" s="1"/>
  <c r="AD364" i="13" s="1"/>
  <c r="AC372" i="13"/>
  <c r="AC368" i="13" s="1"/>
  <c r="AC364" i="13" s="1"/>
  <c r="AB372" i="13"/>
  <c r="AB368" i="13" s="1"/>
  <c r="AB364" i="13" s="1"/>
  <c r="AA372" i="13"/>
  <c r="AA368" i="13" s="1"/>
  <c r="Z372" i="13"/>
  <c r="Z368" i="13" s="1"/>
  <c r="Z364" i="13" s="1"/>
  <c r="Y372" i="13"/>
  <c r="Y368" i="13" s="1"/>
  <c r="Y364" i="13" s="1"/>
  <c r="X372" i="13"/>
  <c r="X368" i="13" s="1"/>
  <c r="X364" i="13" s="1"/>
  <c r="AP371" i="13"/>
  <c r="AH364" i="13"/>
  <c r="AE364" i="13"/>
  <c r="AA364" i="13"/>
  <c r="AP362" i="13"/>
  <c r="AO362" i="13"/>
  <c r="AJ347" i="13"/>
  <c r="AI347" i="13"/>
  <c r="AH347" i="13"/>
  <c r="AG347" i="13"/>
  <c r="AF347" i="13"/>
  <c r="AE347" i="13"/>
  <c r="AD347" i="13"/>
  <c r="AC347" i="13"/>
  <c r="AB347" i="13"/>
  <c r="AA347" i="13"/>
  <c r="Z347" i="13"/>
  <c r="Y347" i="13"/>
  <c r="X347" i="13"/>
  <c r="AP346" i="13"/>
  <c r="AO346" i="13"/>
  <c r="AP344" i="13"/>
  <c r="AO344" i="13"/>
  <c r="AJ343" i="13"/>
  <c r="AI343" i="13"/>
  <c r="AH343" i="13"/>
  <c r="AG343" i="13"/>
  <c r="AF343" i="13"/>
  <c r="AE343" i="13"/>
  <c r="AD343" i="13"/>
  <c r="AC343" i="13"/>
  <c r="AB343" i="13"/>
  <c r="AA343" i="13"/>
  <c r="Z343" i="13"/>
  <c r="Y343" i="13"/>
  <c r="X343" i="13"/>
  <c r="AP342" i="13"/>
  <c r="AO342" i="13"/>
  <c r="AJ340" i="13"/>
  <c r="AI340" i="13"/>
  <c r="AH340" i="13"/>
  <c r="AG340" i="13"/>
  <c r="AF340" i="13"/>
  <c r="AE340" i="13"/>
  <c r="AD340" i="13"/>
  <c r="AC340" i="13"/>
  <c r="AB340" i="13"/>
  <c r="AA340" i="13"/>
  <c r="Z340" i="13"/>
  <c r="Y340" i="13"/>
  <c r="X340" i="13"/>
  <c r="AP338" i="13"/>
  <c r="AO338" i="13"/>
  <c r="AJ336" i="13"/>
  <c r="AI336" i="13"/>
  <c r="AH336" i="13"/>
  <c r="AG336" i="13"/>
  <c r="AF336" i="13"/>
  <c r="AE336" i="13"/>
  <c r="AD336" i="13"/>
  <c r="AC336" i="13"/>
  <c r="AB336" i="13"/>
  <c r="AA336" i="13"/>
  <c r="Z336" i="13"/>
  <c r="Y336" i="13"/>
  <c r="X336" i="13"/>
  <c r="AP335" i="13"/>
  <c r="AO335" i="13"/>
  <c r="AP328" i="13"/>
  <c r="AO328" i="13"/>
  <c r="AJ327" i="13"/>
  <c r="AI327" i="13"/>
  <c r="AG327" i="13"/>
  <c r="AF327" i="13"/>
  <c r="AE327" i="13"/>
  <c r="AD327" i="13"/>
  <c r="AC327" i="13"/>
  <c r="AB327" i="13"/>
  <c r="Z327" i="13"/>
  <c r="Y327" i="13"/>
  <c r="X327" i="13"/>
  <c r="AP326" i="13"/>
  <c r="AO326" i="13"/>
  <c r="AP322" i="13"/>
  <c r="AO322" i="13"/>
  <c r="AP321" i="13"/>
  <c r="AO321" i="13"/>
  <c r="AJ320" i="13"/>
  <c r="AI320" i="13"/>
  <c r="AH320" i="13"/>
  <c r="AG320" i="13"/>
  <c r="AF320" i="13"/>
  <c r="AE320" i="13"/>
  <c r="AD320" i="13"/>
  <c r="AC320" i="13"/>
  <c r="AB320" i="13"/>
  <c r="AA320" i="13"/>
  <c r="Z320" i="13"/>
  <c r="Y320" i="13"/>
  <c r="X320" i="13"/>
  <c r="AP319" i="13"/>
  <c r="AO319" i="13"/>
  <c r="AP308" i="13"/>
  <c r="AO308" i="13"/>
  <c r="AP307" i="13"/>
  <c r="AO307" i="13"/>
  <c r="AP305" i="13"/>
  <c r="AO305" i="13"/>
  <c r="AP299" i="13"/>
  <c r="AO299" i="13"/>
  <c r="AP298" i="13"/>
  <c r="AO298" i="13"/>
  <c r="AP297" i="13"/>
  <c r="AO297" i="13"/>
  <c r="AJ296" i="13"/>
  <c r="AI296" i="13"/>
  <c r="AH296" i="13"/>
  <c r="AG296" i="13"/>
  <c r="AF296" i="13"/>
  <c r="AE296" i="13"/>
  <c r="AD296" i="13"/>
  <c r="AC296" i="13"/>
  <c r="AB296" i="13"/>
  <c r="AA296" i="13"/>
  <c r="Z296" i="13"/>
  <c r="Y296" i="13"/>
  <c r="X296" i="13"/>
  <c r="AP291" i="13"/>
  <c r="AO291" i="13"/>
  <c r="AJ290" i="13"/>
  <c r="AI290" i="13"/>
  <c r="AH290" i="13"/>
  <c r="AG290" i="13"/>
  <c r="AF290" i="13"/>
  <c r="AE290" i="13"/>
  <c r="AD290" i="13"/>
  <c r="AC290" i="13"/>
  <c r="AB290" i="13"/>
  <c r="AA290" i="13"/>
  <c r="Z290" i="13"/>
  <c r="Y290" i="13"/>
  <c r="X290" i="13"/>
  <c r="AP289" i="13"/>
  <c r="AO289" i="13"/>
  <c r="AJ288" i="13"/>
  <c r="AI288" i="13"/>
  <c r="AH288" i="13"/>
  <c r="AG288" i="13"/>
  <c r="AF288" i="13"/>
  <c r="AE288" i="13"/>
  <c r="AD288" i="13"/>
  <c r="AC288" i="13"/>
  <c r="AB288" i="13"/>
  <c r="AA288" i="13"/>
  <c r="Z288" i="13"/>
  <c r="Y288" i="13"/>
  <c r="X288" i="13"/>
  <c r="AP286" i="13"/>
  <c r="AO286" i="13"/>
  <c r="AP284" i="13"/>
  <c r="AO284" i="13"/>
  <c r="AD283" i="13"/>
  <c r="AJ283" i="13"/>
  <c r="AI283" i="13"/>
  <c r="AH283" i="13"/>
  <c r="AG283" i="13"/>
  <c r="AF283" i="13"/>
  <c r="AE283" i="13"/>
  <c r="AC283" i="13"/>
  <c r="AB283" i="13"/>
  <c r="AA283" i="13"/>
  <c r="Z283" i="13"/>
  <c r="Y283" i="13"/>
  <c r="X283" i="13"/>
  <c r="AP282" i="13"/>
  <c r="AO282" i="13"/>
  <c r="AP281" i="13"/>
  <c r="AO281" i="13"/>
  <c r="AJ280" i="13"/>
  <c r="AJ279" i="13" s="1"/>
  <c r="AI280" i="13"/>
  <c r="AH280" i="13"/>
  <c r="AH279" i="13" s="1"/>
  <c r="AG280" i="13"/>
  <c r="AG279" i="13" s="1"/>
  <c r="AF280" i="13"/>
  <c r="AF279" i="13" s="1"/>
  <c r="AE280" i="13"/>
  <c r="AE279" i="13" s="1"/>
  <c r="AD280" i="13"/>
  <c r="AC280" i="13"/>
  <c r="AB280" i="13"/>
  <c r="AA280" i="13"/>
  <c r="Z280" i="13"/>
  <c r="Y280" i="13"/>
  <c r="X280" i="13"/>
  <c r="AI279" i="13"/>
  <c r="AP278" i="13"/>
  <c r="AO278" i="13"/>
  <c r="AP266" i="13"/>
  <c r="AO266" i="13"/>
  <c r="AP265" i="13"/>
  <c r="AO265" i="13"/>
  <c r="AP264" i="13"/>
  <c r="AO264" i="13"/>
  <c r="AP263" i="13"/>
  <c r="AO263" i="13"/>
  <c r="AJ262" i="13"/>
  <c r="AI262" i="13"/>
  <c r="AH262" i="13"/>
  <c r="AG262" i="13"/>
  <c r="AF262" i="13"/>
  <c r="AE262" i="13"/>
  <c r="AD262" i="13"/>
  <c r="AC262" i="13"/>
  <c r="AB262" i="13"/>
  <c r="AA262" i="13"/>
  <c r="Z262" i="13"/>
  <c r="Y262" i="13"/>
  <c r="AP261" i="13"/>
  <c r="AO261" i="13"/>
  <c r="AJ258" i="13"/>
  <c r="AI258" i="13"/>
  <c r="AH258" i="13"/>
  <c r="AG258" i="13"/>
  <c r="AF258" i="13"/>
  <c r="AE258" i="13"/>
  <c r="AD258" i="13"/>
  <c r="AC258" i="13"/>
  <c r="AB258" i="13"/>
  <c r="AA258" i="13"/>
  <c r="Z258" i="13"/>
  <c r="Y258" i="13"/>
  <c r="X258" i="13"/>
  <c r="AP257" i="13"/>
  <c r="AO257" i="13"/>
  <c r="AP231" i="13"/>
  <c r="AO231" i="13"/>
  <c r="AP230" i="13"/>
  <c r="AO230" i="13"/>
  <c r="AP229" i="13"/>
  <c r="AO229" i="13"/>
  <c r="AP228" i="13"/>
  <c r="AO228" i="13"/>
  <c r="AP227" i="13"/>
  <c r="AO227" i="13"/>
  <c r="AP226" i="13"/>
  <c r="AO226" i="13"/>
  <c r="AJ225" i="13"/>
  <c r="AI225" i="13"/>
  <c r="AH225" i="13"/>
  <c r="AG225" i="13"/>
  <c r="AF225" i="13"/>
  <c r="AE225" i="13"/>
  <c r="AC225" i="13"/>
  <c r="AB225" i="13"/>
  <c r="AA225" i="13"/>
  <c r="Z225" i="13"/>
  <c r="Y225" i="13"/>
  <c r="X225" i="13"/>
  <c r="AP224" i="13"/>
  <c r="AO224" i="13"/>
  <c r="AP192" i="13"/>
  <c r="AO192" i="13"/>
  <c r="AP191" i="13"/>
  <c r="AO191" i="13"/>
  <c r="AP190" i="13"/>
  <c r="AO190" i="13"/>
  <c r="AP189" i="13"/>
  <c r="AO189" i="13"/>
  <c r="AP188" i="13"/>
  <c r="AO188" i="13"/>
  <c r="AP187" i="13"/>
  <c r="AO187" i="13"/>
  <c r="AP186" i="13"/>
  <c r="AO186" i="13"/>
  <c r="AP185" i="13"/>
  <c r="AO185" i="13"/>
  <c r="AP184" i="13"/>
  <c r="AO184" i="13"/>
  <c r="AJ183" i="13"/>
  <c r="AI183" i="13"/>
  <c r="AH183" i="13"/>
  <c r="AG183" i="13"/>
  <c r="AF183" i="13"/>
  <c r="AE183" i="13"/>
  <c r="AC183" i="13"/>
  <c r="AB183" i="13"/>
  <c r="AA183" i="13"/>
  <c r="Z183" i="13"/>
  <c r="Y183" i="13"/>
  <c r="X183" i="13"/>
  <c r="AP181" i="13"/>
  <c r="AO181" i="13"/>
  <c r="AP157" i="13"/>
  <c r="AO157" i="13"/>
  <c r="AP156" i="13"/>
  <c r="AO156" i="13"/>
  <c r="AP155" i="13"/>
  <c r="AO155" i="13"/>
  <c r="AP154" i="13"/>
  <c r="AO154" i="13"/>
  <c r="AP153" i="13"/>
  <c r="AO153" i="13"/>
  <c r="AP152" i="13"/>
  <c r="AO152" i="13"/>
  <c r="AP151" i="13"/>
  <c r="AO151" i="13"/>
  <c r="AP150" i="13"/>
  <c r="AO150" i="13"/>
  <c r="AP149" i="13"/>
  <c r="AO149" i="13"/>
  <c r="AP148" i="13"/>
  <c r="AO148" i="13"/>
  <c r="AP147" i="13"/>
  <c r="AO147" i="13"/>
  <c r="AJ146" i="13"/>
  <c r="AI146" i="13"/>
  <c r="AH146" i="13"/>
  <c r="AG146" i="13"/>
  <c r="AF146" i="13"/>
  <c r="AE146" i="13"/>
  <c r="AC146" i="13"/>
  <c r="AB146" i="13"/>
  <c r="AA146" i="13"/>
  <c r="Z146" i="13"/>
  <c r="Y146" i="13"/>
  <c r="X146" i="13"/>
  <c r="AP145" i="13"/>
  <c r="AO145" i="13"/>
  <c r="AP115" i="13"/>
  <c r="AO115" i="13"/>
  <c r="AP114" i="13"/>
  <c r="AO114" i="13"/>
  <c r="AP113" i="13"/>
  <c r="AO113" i="13"/>
  <c r="AP112" i="13"/>
  <c r="AO112" i="13"/>
  <c r="AP111" i="13"/>
  <c r="AO111" i="13"/>
  <c r="AP110" i="13"/>
  <c r="AO110" i="13"/>
  <c r="AP109" i="13"/>
  <c r="AO109" i="13"/>
  <c r="AP108" i="13"/>
  <c r="AO108" i="13"/>
  <c r="AP107" i="13"/>
  <c r="AO107" i="13"/>
  <c r="AP106" i="13"/>
  <c r="AO106" i="13"/>
  <c r="AP105" i="13"/>
  <c r="AO105" i="13"/>
  <c r="AP104" i="13"/>
  <c r="AO104" i="13"/>
  <c r="AP103" i="13"/>
  <c r="AO103" i="13"/>
  <c r="AP102" i="13"/>
  <c r="AO102" i="13"/>
  <c r="AJ101" i="13"/>
  <c r="AI101" i="13"/>
  <c r="AH101" i="13"/>
  <c r="AG101" i="13"/>
  <c r="AF101" i="13"/>
  <c r="AE101" i="13"/>
  <c r="AC101" i="13"/>
  <c r="AB101" i="13"/>
  <c r="AA101" i="13"/>
  <c r="Z101" i="13"/>
  <c r="Y101" i="13"/>
  <c r="X101" i="13"/>
  <c r="AP100" i="13"/>
  <c r="AO100" i="13"/>
  <c r="AP77" i="13"/>
  <c r="AO77" i="13"/>
  <c r="AP76" i="13"/>
  <c r="AO76" i="13"/>
  <c r="AP75" i="13"/>
  <c r="AO75" i="13"/>
  <c r="AP74" i="13"/>
  <c r="AO74" i="13"/>
  <c r="AP73" i="13"/>
  <c r="AO73" i="13"/>
  <c r="AP71" i="13"/>
  <c r="AO71" i="13"/>
  <c r="AP38" i="13"/>
  <c r="AO38" i="13"/>
  <c r="AP37" i="13"/>
  <c r="AO37" i="13"/>
  <c r="AP36" i="13"/>
  <c r="AO36" i="13"/>
  <c r="AP35" i="13"/>
  <c r="AO35" i="13"/>
  <c r="AP34" i="13"/>
  <c r="AO34" i="13"/>
  <c r="AP33" i="13"/>
  <c r="AO33" i="13"/>
  <c r="AP32" i="13"/>
  <c r="AO32" i="13"/>
  <c r="AP31" i="13"/>
  <c r="AO31" i="13"/>
  <c r="AP30" i="13"/>
  <c r="AO30" i="13"/>
  <c r="AP29" i="13"/>
  <c r="AO29" i="13"/>
  <c r="AP28" i="13"/>
  <c r="AO28" i="13"/>
  <c r="AP27" i="13"/>
  <c r="AO27" i="13"/>
  <c r="AP26" i="13"/>
  <c r="AO26" i="13"/>
  <c r="AP25" i="13"/>
  <c r="AO25" i="13"/>
  <c r="AP24" i="13"/>
  <c r="AO24" i="13"/>
  <c r="AJ23" i="13"/>
  <c r="AI23" i="13"/>
  <c r="AH23" i="13"/>
  <c r="AG23" i="13"/>
  <c r="AF23" i="13"/>
  <c r="AE23" i="13"/>
  <c r="AC23" i="13"/>
  <c r="AA23" i="13"/>
  <c r="Z23" i="13"/>
  <c r="Y23" i="13"/>
  <c r="X23" i="13"/>
  <c r="AP22" i="13"/>
  <c r="AO22" i="13"/>
  <c r="AP14" i="13"/>
  <c r="AO14" i="13"/>
  <c r="AP13" i="13"/>
  <c r="AO13" i="13"/>
  <c r="AP12" i="13"/>
  <c r="AO12" i="13"/>
  <c r="AJ11" i="13"/>
  <c r="AI11" i="13"/>
  <c r="AH11" i="13"/>
  <c r="AG11" i="13"/>
  <c r="AF11" i="13"/>
  <c r="AE11" i="13"/>
  <c r="AC11" i="13"/>
  <c r="AB11" i="13"/>
  <c r="AA11" i="13"/>
  <c r="Z11" i="13"/>
  <c r="Y11" i="13"/>
  <c r="X11" i="13"/>
  <c r="AI316" i="13" l="1"/>
  <c r="AI306" i="13" s="1"/>
  <c r="AI295" i="13" s="1"/>
  <c r="AH316" i="13"/>
  <c r="AH306" i="13" s="1"/>
  <c r="AH295" i="13" s="1"/>
  <c r="AJ316" i="13"/>
  <c r="AJ306" i="13" s="1"/>
  <c r="AJ295" i="13" s="1"/>
  <c r="X316" i="13"/>
  <c r="X306" i="13" s="1"/>
  <c r="X295" i="13" s="1"/>
  <c r="Z316" i="13"/>
  <c r="Z306" i="13" s="1"/>
  <c r="Z295" i="13" s="1"/>
  <c r="AB316" i="13"/>
  <c r="AB306" i="13" s="1"/>
  <c r="AB295" i="13" s="1"/>
  <c r="AD316" i="13"/>
  <c r="AD306" i="13" s="1"/>
  <c r="AD295" i="13" s="1"/>
  <c r="AF316" i="13"/>
  <c r="AF306" i="13" s="1"/>
  <c r="AF295" i="13" s="1"/>
  <c r="AA327" i="13"/>
  <c r="AA316" i="13" s="1"/>
  <c r="AD225" i="13"/>
  <c r="Y316" i="13"/>
  <c r="Y306" i="13" s="1"/>
  <c r="Y295" i="13" s="1"/>
  <c r="AC316" i="13"/>
  <c r="AC306" i="13" s="1"/>
  <c r="AC295" i="13" s="1"/>
  <c r="AE316" i="13"/>
  <c r="AE306" i="13" s="1"/>
  <c r="AE295" i="13" s="1"/>
  <c r="AG316" i="13"/>
  <c r="AG306" i="13" s="1"/>
  <c r="AG295" i="13" s="1"/>
  <c r="AP368" i="13"/>
  <c r="Z182" i="13"/>
  <c r="AD72" i="13"/>
  <c r="Y363" i="13"/>
  <c r="AC363" i="13"/>
  <c r="AE363" i="13"/>
  <c r="AG363" i="13"/>
  <c r="AI363" i="13"/>
  <c r="X339" i="13"/>
  <c r="AB339" i="13"/>
  <c r="AF339" i="13"/>
  <c r="AJ339" i="13"/>
  <c r="X363" i="13"/>
  <c r="Z363" i="13"/>
  <c r="AB363" i="13"/>
  <c r="AD363" i="13"/>
  <c r="AF363" i="13"/>
  <c r="AH363" i="13"/>
  <c r="AJ363" i="13"/>
  <c r="AJ430" i="13"/>
  <c r="AJ402" i="13"/>
  <c r="Y182" i="13"/>
  <c r="X430" i="13"/>
  <c r="AB430" i="13"/>
  <c r="AF430" i="13"/>
  <c r="X380" i="13"/>
  <c r="Z380" i="13"/>
  <c r="AB380" i="13"/>
  <c r="AD380" i="13"/>
  <c r="AF380" i="13"/>
  <c r="AH380" i="13"/>
  <c r="AJ380" i="13"/>
  <c r="AC402" i="13"/>
  <c r="AE402" i="13"/>
  <c r="AG402" i="13"/>
  <c r="AI402" i="13"/>
  <c r="AD101" i="13"/>
  <c r="AD146" i="13"/>
  <c r="Y339" i="13"/>
  <c r="AC339" i="13"/>
  <c r="AE339" i="13"/>
  <c r="AG339" i="13"/>
  <c r="AI339" i="13"/>
  <c r="AO350" i="13"/>
  <c r="AP350" i="13"/>
  <c r="Z339" i="13"/>
  <c r="Z430" i="13"/>
  <c r="AD430" i="13"/>
  <c r="AH430" i="13"/>
  <c r="AD339" i="13"/>
  <c r="AH339" i="13"/>
  <c r="AI380" i="13"/>
  <c r="X287" i="13"/>
  <c r="Z287" i="13"/>
  <c r="AB287" i="13"/>
  <c r="AD287" i="13"/>
  <c r="AF287" i="13"/>
  <c r="AH287" i="13"/>
  <c r="AJ287" i="13"/>
  <c r="Y287" i="13"/>
  <c r="AO290" i="13"/>
  <c r="AO296" i="13"/>
  <c r="Y380" i="13"/>
  <c r="AA380" i="13"/>
  <c r="AC380" i="13"/>
  <c r="AE380" i="13"/>
  <c r="AG380" i="13"/>
  <c r="AO336" i="13"/>
  <c r="AC287" i="13"/>
  <c r="AE287" i="13"/>
  <c r="AG287" i="13"/>
  <c r="AI287" i="13"/>
  <c r="Y430" i="13"/>
  <c r="Y402" i="13"/>
  <c r="Z10" i="13"/>
  <c r="AI430" i="13"/>
  <c r="AG430" i="13"/>
  <c r="AE430" i="13"/>
  <c r="AC430" i="13"/>
  <c r="AH182" i="13"/>
  <c r="Y279" i="13"/>
  <c r="AA279" i="13"/>
  <c r="AC279" i="13"/>
  <c r="AO340" i="13"/>
  <c r="AO329" i="13"/>
  <c r="Y10" i="13"/>
  <c r="AC182" i="13"/>
  <c r="AJ182" i="13"/>
  <c r="X279" i="13"/>
  <c r="Z279" i="13"/>
  <c r="AB279" i="13"/>
  <c r="AO283" i="13"/>
  <c r="X402" i="13"/>
  <c r="AD183" i="13"/>
  <c r="AD279" i="13"/>
  <c r="AA287" i="13"/>
  <c r="AO354" i="13"/>
  <c r="Z402" i="13"/>
  <c r="AB402" i="13"/>
  <c r="AD402" i="13"/>
  <c r="AF402" i="13"/>
  <c r="AH402" i="13"/>
  <c r="X10" i="13"/>
  <c r="AJ10" i="13"/>
  <c r="AI10" i="13"/>
  <c r="AB10" i="13"/>
  <c r="AH10" i="13"/>
  <c r="AF10" i="13"/>
  <c r="AA10" i="13"/>
  <c r="AC10" i="13"/>
  <c r="AE10" i="13"/>
  <c r="AG10" i="13"/>
  <c r="AF182" i="13"/>
  <c r="AB182" i="13"/>
  <c r="AE182" i="13"/>
  <c r="AG182" i="13"/>
  <c r="AI182" i="13"/>
  <c r="AP146" i="13"/>
  <c r="AP183" i="13"/>
  <c r="AP262" i="13"/>
  <c r="AP23" i="13"/>
  <c r="AO72" i="13"/>
  <c r="AO101" i="13"/>
  <c r="AA182" i="13"/>
  <c r="AO225" i="13"/>
  <c r="AO258" i="13"/>
  <c r="X262" i="13"/>
  <c r="X182" i="13" s="1"/>
  <c r="AO347" i="13"/>
  <c r="AP364" i="13"/>
  <c r="AP372" i="13"/>
  <c r="AP386" i="13"/>
  <c r="AP393" i="13"/>
  <c r="AP403" i="13"/>
  <c r="AP412" i="13"/>
  <c r="AP420" i="13"/>
  <c r="AP427" i="13"/>
  <c r="AP431" i="13"/>
  <c r="AP443" i="13"/>
  <c r="AP446" i="13"/>
  <c r="AP280" i="13"/>
  <c r="AP288" i="13"/>
  <c r="AP320" i="13"/>
  <c r="AA339" i="13"/>
  <c r="AP343" i="13"/>
  <c r="AP348" i="13"/>
  <c r="AA363" i="13"/>
  <c r="AP381" i="13"/>
  <c r="AP389" i="13"/>
  <c r="AP396" i="13"/>
  <c r="AA402" i="13"/>
  <c r="AP407" i="13"/>
  <c r="AA419" i="13"/>
  <c r="AP419" i="13" s="1"/>
  <c r="AP428" i="13"/>
  <c r="AA430" i="13"/>
  <c r="AP438" i="13"/>
  <c r="AA445" i="13"/>
  <c r="AP445" i="13" s="1"/>
  <c r="AO11" i="13"/>
  <c r="AP11" i="13"/>
  <c r="AO23" i="13"/>
  <c r="AP72" i="13"/>
  <c r="AP101" i="13"/>
  <c r="AO146" i="13"/>
  <c r="AO183" i="13"/>
  <c r="AP225" i="13"/>
  <c r="AP258" i="13"/>
  <c r="AO280" i="13"/>
  <c r="AP283" i="13"/>
  <c r="AO288" i="13"/>
  <c r="AP290" i="13"/>
  <c r="AP296" i="13"/>
  <c r="AO320" i="13"/>
  <c r="AP336" i="13"/>
  <c r="AP340" i="13"/>
  <c r="AO343" i="13"/>
  <c r="AP347" i="13"/>
  <c r="AO348" i="13"/>
  <c r="AP354" i="13"/>
  <c r="AP96" i="16"/>
  <c r="AP95" i="16"/>
  <c r="AJ94" i="16"/>
  <c r="AI94" i="16"/>
  <c r="AH94" i="16"/>
  <c r="AG94" i="16"/>
  <c r="AF94" i="16"/>
  <c r="AE94" i="16"/>
  <c r="AD94" i="16"/>
  <c r="AC94" i="16"/>
  <c r="AB94" i="16"/>
  <c r="AA94" i="16"/>
  <c r="Z94" i="16"/>
  <c r="Y94" i="16"/>
  <c r="X94" i="16"/>
  <c r="AP93" i="16"/>
  <c r="AP92" i="16"/>
  <c r="AJ91" i="16"/>
  <c r="AI91" i="16"/>
  <c r="AH91" i="16"/>
  <c r="AG91" i="16"/>
  <c r="AF91" i="16"/>
  <c r="AE91" i="16"/>
  <c r="AD91" i="16"/>
  <c r="AC91" i="16"/>
  <c r="AB91" i="16"/>
  <c r="AA91" i="16"/>
  <c r="Z91" i="16"/>
  <c r="Y91" i="16"/>
  <c r="X91" i="16"/>
  <c r="AP90" i="16"/>
  <c r="AP89" i="16"/>
  <c r="AJ88" i="16"/>
  <c r="AI88" i="16"/>
  <c r="AH88" i="16"/>
  <c r="AG88" i="16"/>
  <c r="AF88" i="16"/>
  <c r="AE88" i="16"/>
  <c r="AD88" i="16"/>
  <c r="AC88" i="16"/>
  <c r="AB88" i="16"/>
  <c r="AA88" i="16"/>
  <c r="Z88" i="16"/>
  <c r="Y88" i="16"/>
  <c r="X88" i="16"/>
  <c r="AP87" i="16"/>
  <c r="AP86" i="16"/>
  <c r="AJ85" i="16"/>
  <c r="AI85" i="16"/>
  <c r="AH85" i="16"/>
  <c r="AG85" i="16"/>
  <c r="AF85" i="16"/>
  <c r="AE85" i="16"/>
  <c r="AD85" i="16"/>
  <c r="AC85" i="16"/>
  <c r="AB85" i="16"/>
  <c r="AA85" i="16"/>
  <c r="Z85" i="16"/>
  <c r="Y85" i="16"/>
  <c r="X85" i="16"/>
  <c r="AP83" i="16"/>
  <c r="AJ80" i="16"/>
  <c r="AJ79" i="16" s="1"/>
  <c r="AI80" i="16"/>
  <c r="AH80" i="16"/>
  <c r="AH79" i="16" s="1"/>
  <c r="AG80" i="16"/>
  <c r="AG79" i="16" s="1"/>
  <c r="AF80" i="16"/>
  <c r="AF79" i="16" s="1"/>
  <c r="AE80" i="16"/>
  <c r="AE79" i="16" s="1"/>
  <c r="AD80" i="16"/>
  <c r="AD79" i="16" s="1"/>
  <c r="AC80" i="16"/>
  <c r="AC79" i="16" s="1"/>
  <c r="AB80" i="16"/>
  <c r="AB79" i="16" s="1"/>
  <c r="AA80" i="16"/>
  <c r="AA79" i="16" s="1"/>
  <c r="Z80" i="16"/>
  <c r="Z79" i="16" s="1"/>
  <c r="Y80" i="16"/>
  <c r="Y79" i="16" s="1"/>
  <c r="X80" i="16"/>
  <c r="X79" i="16" s="1"/>
  <c r="AI79" i="16"/>
  <c r="AP78" i="16"/>
  <c r="AO78" i="16"/>
  <c r="AP77" i="16"/>
  <c r="AO77" i="16"/>
  <c r="AJ76" i="16"/>
  <c r="AI76" i="16"/>
  <c r="AH76" i="16"/>
  <c r="AG76" i="16"/>
  <c r="AF76" i="16"/>
  <c r="AE76" i="16"/>
  <c r="AD76" i="16"/>
  <c r="AC76" i="16"/>
  <c r="AB76" i="16"/>
  <c r="AA76" i="16"/>
  <c r="Z76" i="16"/>
  <c r="Y76" i="16"/>
  <c r="X76" i="16"/>
  <c r="AP75" i="16"/>
  <c r="AO75" i="16"/>
  <c r="AP74" i="16"/>
  <c r="AO74" i="16"/>
  <c r="AJ73" i="16"/>
  <c r="AI73" i="16"/>
  <c r="AH73" i="16"/>
  <c r="AG73" i="16"/>
  <c r="AF73" i="16"/>
  <c r="AE73" i="16"/>
  <c r="AD73" i="16"/>
  <c r="AC73" i="16"/>
  <c r="AB73" i="16"/>
  <c r="AA73" i="16"/>
  <c r="Z73" i="16"/>
  <c r="Y73" i="16"/>
  <c r="X73" i="16"/>
  <c r="AP71" i="16"/>
  <c r="AO71" i="16"/>
  <c r="AP70" i="16"/>
  <c r="AO70" i="16"/>
  <c r="AJ69" i="16"/>
  <c r="AI69" i="16"/>
  <c r="AH69" i="16"/>
  <c r="AG69" i="16"/>
  <c r="AF69" i="16"/>
  <c r="AE69" i="16"/>
  <c r="AD69" i="16"/>
  <c r="AC69" i="16"/>
  <c r="AB69" i="16"/>
  <c r="AA69" i="16"/>
  <c r="Z69" i="16"/>
  <c r="Y69" i="16"/>
  <c r="X69" i="16"/>
  <c r="AP68" i="16"/>
  <c r="AO68" i="16"/>
  <c r="AP67" i="16"/>
  <c r="AO67" i="16"/>
  <c r="AJ66" i="16"/>
  <c r="AI66" i="16"/>
  <c r="AH66" i="16"/>
  <c r="AG66" i="16"/>
  <c r="AF66" i="16"/>
  <c r="AE66" i="16"/>
  <c r="AD66" i="16"/>
  <c r="AC66" i="16"/>
  <c r="AB66" i="16"/>
  <c r="AA66" i="16"/>
  <c r="Z66" i="16"/>
  <c r="Y66" i="16"/>
  <c r="X66" i="16"/>
  <c r="AP65" i="16"/>
  <c r="AO65" i="16"/>
  <c r="AJ62" i="16"/>
  <c r="AI62" i="16"/>
  <c r="AH62" i="16"/>
  <c r="AG62" i="16"/>
  <c r="AF62" i="16"/>
  <c r="AE62" i="16"/>
  <c r="AD62" i="16"/>
  <c r="AC62" i="16"/>
  <c r="AB62" i="16"/>
  <c r="AA62" i="16"/>
  <c r="Z62" i="16"/>
  <c r="Y62" i="16"/>
  <c r="X62" i="16"/>
  <c r="AP61" i="16"/>
  <c r="AO61" i="16"/>
  <c r="AP60" i="16"/>
  <c r="AO60" i="16"/>
  <c r="AJ59" i="16"/>
  <c r="AI59" i="16"/>
  <c r="AH59" i="16"/>
  <c r="AG59" i="16"/>
  <c r="AF59" i="16"/>
  <c r="AE59" i="16"/>
  <c r="AD59" i="16"/>
  <c r="AC59" i="16"/>
  <c r="AB59" i="16"/>
  <c r="AA59" i="16"/>
  <c r="Z59" i="16"/>
  <c r="Y59" i="16"/>
  <c r="X59" i="16"/>
  <c r="AP58" i="16"/>
  <c r="AO58" i="16"/>
  <c r="AP57" i="16"/>
  <c r="AO57" i="16"/>
  <c r="AJ56" i="16"/>
  <c r="AI56" i="16"/>
  <c r="AH56" i="16"/>
  <c r="AG56" i="16"/>
  <c r="AF56" i="16"/>
  <c r="AE56" i="16"/>
  <c r="AD56" i="16"/>
  <c r="AC56" i="16"/>
  <c r="AB56" i="16"/>
  <c r="AA56" i="16"/>
  <c r="Z56" i="16"/>
  <c r="Y56" i="16"/>
  <c r="X56" i="16"/>
  <c r="AP54" i="16"/>
  <c r="AO54" i="16"/>
  <c r="AP53" i="16"/>
  <c r="AO53" i="16"/>
  <c r="AJ52" i="16"/>
  <c r="AJ51" i="16" s="1"/>
  <c r="AI52" i="16"/>
  <c r="AI51" i="16" s="1"/>
  <c r="AH52" i="16"/>
  <c r="AH51" i="16" s="1"/>
  <c r="AG52" i="16"/>
  <c r="AG51" i="16" s="1"/>
  <c r="AF52" i="16"/>
  <c r="AF51" i="16" s="1"/>
  <c r="AE52" i="16"/>
  <c r="AE51" i="16" s="1"/>
  <c r="AD52" i="16"/>
  <c r="AD51" i="16" s="1"/>
  <c r="AC52" i="16"/>
  <c r="AC51" i="16" s="1"/>
  <c r="AB52" i="16"/>
  <c r="AB51" i="16" s="1"/>
  <c r="AA52" i="16"/>
  <c r="Z52" i="16"/>
  <c r="Z51" i="16" s="1"/>
  <c r="Y52" i="16"/>
  <c r="Y51" i="16" s="1"/>
  <c r="X52" i="16"/>
  <c r="X51" i="16" s="1"/>
  <c r="AP50" i="16"/>
  <c r="AO50" i="16"/>
  <c r="AP49" i="16"/>
  <c r="AO49" i="16"/>
  <c r="AJ48" i="16"/>
  <c r="AI48" i="16"/>
  <c r="AH48" i="16"/>
  <c r="AG48" i="16"/>
  <c r="AF48" i="16"/>
  <c r="AE48" i="16"/>
  <c r="AD48" i="16"/>
  <c r="AC48" i="16"/>
  <c r="AB48" i="16"/>
  <c r="AA48" i="16"/>
  <c r="Z48" i="16"/>
  <c r="Y48" i="16"/>
  <c r="X48" i="16"/>
  <c r="AP47" i="16"/>
  <c r="AO47" i="16"/>
  <c r="AP46" i="16"/>
  <c r="AO46" i="16"/>
  <c r="AJ45" i="16"/>
  <c r="AI45" i="16"/>
  <c r="AH45" i="16"/>
  <c r="AG45" i="16"/>
  <c r="AF45" i="16"/>
  <c r="AE45" i="16"/>
  <c r="AD45" i="16"/>
  <c r="AC45" i="16"/>
  <c r="AB45" i="16"/>
  <c r="AA45" i="16"/>
  <c r="Z45" i="16"/>
  <c r="Y45" i="16"/>
  <c r="X45" i="16"/>
  <c r="AP43" i="16"/>
  <c r="AO43" i="16"/>
  <c r="AP42" i="16"/>
  <c r="AO42" i="16"/>
  <c r="AJ41" i="16"/>
  <c r="AI41" i="16"/>
  <c r="AH41" i="16"/>
  <c r="AG41" i="16"/>
  <c r="AF41" i="16"/>
  <c r="AE41" i="16"/>
  <c r="AD41" i="16"/>
  <c r="AC41" i="16"/>
  <c r="AB41" i="16"/>
  <c r="AA41" i="16"/>
  <c r="Z41" i="16"/>
  <c r="Y41" i="16"/>
  <c r="X41" i="16"/>
  <c r="AP40" i="16"/>
  <c r="AO40" i="16"/>
  <c r="AP38" i="16"/>
  <c r="AO38" i="16"/>
  <c r="AJ37" i="16"/>
  <c r="AI37" i="16"/>
  <c r="AH37" i="16"/>
  <c r="AG37" i="16"/>
  <c r="AF37" i="16"/>
  <c r="AE37" i="16"/>
  <c r="AD37" i="16"/>
  <c r="AC37" i="16"/>
  <c r="AB37" i="16"/>
  <c r="AA37" i="16"/>
  <c r="Z37" i="16"/>
  <c r="Y37" i="16"/>
  <c r="X37" i="16"/>
  <c r="AP36" i="16"/>
  <c r="AO36" i="16"/>
  <c r="AP34" i="16"/>
  <c r="AO34" i="16"/>
  <c r="AD33" i="16"/>
  <c r="AJ33" i="16"/>
  <c r="AI33" i="16"/>
  <c r="AH33" i="16"/>
  <c r="AG33" i="16"/>
  <c r="AF33" i="16"/>
  <c r="AE33" i="16"/>
  <c r="AC33" i="16"/>
  <c r="AB33" i="16"/>
  <c r="AA33" i="16"/>
  <c r="Z33" i="16"/>
  <c r="Y33" i="16"/>
  <c r="X33" i="16"/>
  <c r="AP32" i="16"/>
  <c r="AO32" i="16"/>
  <c r="AP31" i="16"/>
  <c r="AO31" i="16"/>
  <c r="AJ30" i="16"/>
  <c r="AI30" i="16"/>
  <c r="AH30" i="16"/>
  <c r="AG30" i="16"/>
  <c r="AF30" i="16"/>
  <c r="AE30" i="16"/>
  <c r="AD30" i="16"/>
  <c r="AC30" i="16"/>
  <c r="AB30" i="16"/>
  <c r="AA30" i="16"/>
  <c r="Z30" i="16"/>
  <c r="Y30" i="16"/>
  <c r="X30" i="16"/>
  <c r="AP28" i="16"/>
  <c r="AO28" i="16"/>
  <c r="AJ26" i="16"/>
  <c r="AI26" i="16"/>
  <c r="AH26" i="16"/>
  <c r="AG26" i="16"/>
  <c r="AF26" i="16"/>
  <c r="AE26" i="16"/>
  <c r="AD26" i="16"/>
  <c r="AC26" i="16"/>
  <c r="AB26" i="16"/>
  <c r="AA26" i="16"/>
  <c r="Z26" i="16"/>
  <c r="Y26" i="16"/>
  <c r="X26" i="16"/>
  <c r="AP25" i="16"/>
  <c r="AO25" i="16"/>
  <c r="AJ22" i="16"/>
  <c r="AI22" i="16"/>
  <c r="AH22" i="16"/>
  <c r="AG22" i="16"/>
  <c r="AF22" i="16"/>
  <c r="AE22" i="16"/>
  <c r="AD22" i="16"/>
  <c r="AC22" i="16"/>
  <c r="AB22" i="16"/>
  <c r="AA22" i="16"/>
  <c r="Z22" i="16"/>
  <c r="Y22" i="16"/>
  <c r="X22" i="16"/>
  <c r="AP21" i="16"/>
  <c r="AO21" i="16"/>
  <c r="AP16" i="16"/>
  <c r="AO16" i="16"/>
  <c r="AP15" i="16"/>
  <c r="AO15" i="16"/>
  <c r="AJ14" i="16"/>
  <c r="AI14" i="16"/>
  <c r="AH14" i="16"/>
  <c r="AG14" i="16"/>
  <c r="AF14" i="16"/>
  <c r="AE14" i="16"/>
  <c r="AD14" i="16"/>
  <c r="AC14" i="16"/>
  <c r="AB14" i="16"/>
  <c r="AA14" i="16"/>
  <c r="Z14" i="16"/>
  <c r="Y14" i="16"/>
  <c r="X14" i="16"/>
  <c r="AJ11" i="16"/>
  <c r="AI11" i="16"/>
  <c r="AH11" i="16"/>
  <c r="AG11" i="16"/>
  <c r="AF11" i="16"/>
  <c r="AE11" i="16"/>
  <c r="AD11" i="16"/>
  <c r="AC11" i="16"/>
  <c r="AB11" i="16"/>
  <c r="AA11" i="16"/>
  <c r="Z11" i="16"/>
  <c r="Y11" i="16"/>
  <c r="X11" i="16"/>
  <c r="AD182" i="13" l="1"/>
  <c r="AP402" i="13"/>
  <c r="AO279" i="13"/>
  <c r="AO327" i="13"/>
  <c r="AP327" i="13"/>
  <c r="AP287" i="13"/>
  <c r="AO316" i="13"/>
  <c r="AP316" i="13"/>
  <c r="AA306" i="13"/>
  <c r="AP363" i="13"/>
  <c r="AP182" i="13"/>
  <c r="AP279" i="13"/>
  <c r="AH72" i="16"/>
  <c r="X84" i="16"/>
  <c r="Z84" i="16"/>
  <c r="AB84" i="16"/>
  <c r="AD84" i="16"/>
  <c r="AF84" i="16"/>
  <c r="AH84" i="16"/>
  <c r="AJ84" i="16"/>
  <c r="AC29" i="16"/>
  <c r="AC44" i="16"/>
  <c r="AB10" i="16"/>
  <c r="AJ10" i="16"/>
  <c r="AP380" i="13"/>
  <c r="AD10" i="13"/>
  <c r="Z72" i="16"/>
  <c r="AD72" i="16"/>
  <c r="AC84" i="16"/>
  <c r="X44" i="16"/>
  <c r="Z44" i="16"/>
  <c r="AB44" i="16"/>
  <c r="AD44" i="16"/>
  <c r="AF44" i="16"/>
  <c r="AH44" i="16"/>
  <c r="AJ44" i="16"/>
  <c r="Z55" i="16"/>
  <c r="AH55" i="16"/>
  <c r="AO287" i="13"/>
  <c r="AP339" i="13"/>
  <c r="AO339" i="13"/>
  <c r="AO262" i="13"/>
  <c r="AP430" i="13"/>
  <c r="Y44" i="16"/>
  <c r="AA44" i="16"/>
  <c r="AE44" i="16"/>
  <c r="AG44" i="16"/>
  <c r="AI44" i="16"/>
  <c r="Y84" i="16"/>
  <c r="AA84" i="16"/>
  <c r="AE84" i="16"/>
  <c r="AG84" i="16"/>
  <c r="AI84" i="16"/>
  <c r="AP10" i="13"/>
  <c r="AO10" i="13"/>
  <c r="AO182" i="13"/>
  <c r="X10" i="16"/>
  <c r="Z10" i="16"/>
  <c r="AD10" i="16"/>
  <c r="AF10" i="16"/>
  <c r="AH10" i="16"/>
  <c r="AO22" i="16"/>
  <c r="X29" i="16"/>
  <c r="Z29" i="16"/>
  <c r="AB29" i="16"/>
  <c r="AD29" i="16"/>
  <c r="AF29" i="16"/>
  <c r="AH29" i="16"/>
  <c r="AJ29" i="16"/>
  <c r="Y29" i="16"/>
  <c r="AG29" i="16"/>
  <c r="AD55" i="16"/>
  <c r="AO62" i="16"/>
  <c r="Y10" i="16"/>
  <c r="AC10" i="16"/>
  <c r="AE10" i="16"/>
  <c r="AG10" i="16"/>
  <c r="AI10" i="16"/>
  <c r="AE29" i="16"/>
  <c r="AI29" i="16"/>
  <c r="AO37" i="16"/>
  <c r="X55" i="16"/>
  <c r="AB55" i="16"/>
  <c r="AF55" i="16"/>
  <c r="AJ55" i="16"/>
  <c r="AO59" i="16"/>
  <c r="X72" i="16"/>
  <c r="AB72" i="16"/>
  <c r="AF72" i="16"/>
  <c r="AJ72" i="16"/>
  <c r="AO76" i="16"/>
  <c r="AP59" i="16"/>
  <c r="AP76" i="16"/>
  <c r="AP79" i="16"/>
  <c r="AP88" i="16"/>
  <c r="AP94" i="16"/>
  <c r="AP11" i="16"/>
  <c r="AO14" i="16"/>
  <c r="AO26" i="16"/>
  <c r="AP26" i="16"/>
  <c r="AA29" i="16"/>
  <c r="AO30" i="16"/>
  <c r="AP30" i="16"/>
  <c r="AO33" i="16"/>
  <c r="AO41" i="16"/>
  <c r="AP41" i="16"/>
  <c r="AO45" i="16"/>
  <c r="AP45" i="16"/>
  <c r="AO48" i="16"/>
  <c r="AO52" i="16"/>
  <c r="Y55" i="16"/>
  <c r="AO56" i="16"/>
  <c r="AC55" i="16"/>
  <c r="AE55" i="16"/>
  <c r="AG55" i="16"/>
  <c r="AI55" i="16"/>
  <c r="AO66" i="16"/>
  <c r="AP66" i="16"/>
  <c r="AO69" i="16"/>
  <c r="Y72" i="16"/>
  <c r="AO73" i="16"/>
  <c r="AC72" i="16"/>
  <c r="AE72" i="16"/>
  <c r="AG72" i="16"/>
  <c r="AI72" i="16"/>
  <c r="AP80" i="16"/>
  <c r="AP85" i="16"/>
  <c r="AP91" i="16"/>
  <c r="AP14" i="16"/>
  <c r="AO11" i="16"/>
  <c r="AA10" i="16"/>
  <c r="AP22" i="16"/>
  <c r="AP33" i="16"/>
  <c r="AP37" i="16"/>
  <c r="AP48" i="16"/>
  <c r="AA51" i="16"/>
  <c r="AP52" i="16"/>
  <c r="AA55" i="16"/>
  <c r="AP56" i="16"/>
  <c r="AP62" i="16"/>
  <c r="AP69" i="16"/>
  <c r="AA72" i="16"/>
  <c r="AP73" i="16"/>
  <c r="K192" i="13"/>
  <c r="K156" i="13"/>
  <c r="AO44" i="16" l="1"/>
  <c r="AA295" i="13"/>
  <c r="AO306" i="13"/>
  <c r="AP306" i="13"/>
  <c r="AP84" i="16"/>
  <c r="AP44" i="16"/>
  <c r="AO29" i="16"/>
  <c r="AP29" i="16"/>
  <c r="AP72" i="16"/>
  <c r="AO72" i="16"/>
  <c r="AP51" i="16"/>
  <c r="AO51" i="16"/>
  <c r="AO10" i="16"/>
  <c r="AP10" i="16"/>
  <c r="AP55" i="16"/>
  <c r="AO55" i="16"/>
  <c r="AP295" i="13" l="1"/>
  <c r="AO295" i="13"/>
  <c r="K186" i="13"/>
  <c r="K284" i="13"/>
  <c r="K227" i="13"/>
  <c r="K185" i="13"/>
  <c r="K149" i="13"/>
  <c r="K263" i="13"/>
  <c r="K386" i="13" l="1"/>
  <c r="W413" i="13" l="1"/>
  <c r="J321" i="13" l="1"/>
  <c r="J307" i="13"/>
  <c r="E263" i="13"/>
  <c r="Q389" i="13" l="1"/>
  <c r="P389" i="13"/>
  <c r="O389" i="13"/>
  <c r="N389" i="13"/>
  <c r="M389" i="13"/>
  <c r="L389" i="13"/>
  <c r="K389" i="13"/>
  <c r="J389" i="13"/>
  <c r="I389" i="13"/>
  <c r="H389" i="13"/>
  <c r="G389" i="13"/>
  <c r="F389" i="13"/>
  <c r="E389" i="13"/>
  <c r="Q381" i="13" l="1"/>
  <c r="P381" i="13"/>
  <c r="O381" i="13"/>
  <c r="N381" i="13"/>
  <c r="M381" i="13"/>
  <c r="L381" i="13"/>
  <c r="K381" i="13"/>
  <c r="J381" i="13"/>
  <c r="I381" i="13"/>
  <c r="H381" i="13"/>
  <c r="G381" i="13"/>
  <c r="F381" i="13"/>
  <c r="E381" i="13"/>
  <c r="Q354" i="13"/>
  <c r="P354" i="13"/>
  <c r="O354" i="13"/>
  <c r="N354" i="13"/>
  <c r="M354" i="13"/>
  <c r="L354" i="13"/>
  <c r="K354" i="13"/>
  <c r="J354" i="13"/>
  <c r="I354" i="13"/>
  <c r="H354" i="13"/>
  <c r="G354" i="13"/>
  <c r="F354" i="13"/>
  <c r="E354" i="13"/>
  <c r="W31" i="16"/>
  <c r="V31" i="16"/>
  <c r="Q396" i="13"/>
  <c r="P396" i="13"/>
  <c r="O396" i="13"/>
  <c r="N396" i="13"/>
  <c r="M396" i="13"/>
  <c r="L396" i="13"/>
  <c r="K396" i="13"/>
  <c r="J396" i="13"/>
  <c r="I396" i="13"/>
  <c r="H396" i="13"/>
  <c r="G396" i="13"/>
  <c r="F396" i="13"/>
  <c r="E396" i="13"/>
  <c r="Q393" i="13"/>
  <c r="P393" i="13"/>
  <c r="O393" i="13"/>
  <c r="N393" i="13"/>
  <c r="M393" i="13"/>
  <c r="L393" i="13"/>
  <c r="K393" i="13"/>
  <c r="J393" i="13"/>
  <c r="I393" i="13"/>
  <c r="H393" i="13"/>
  <c r="G393" i="13"/>
  <c r="F393" i="13"/>
  <c r="E393" i="13"/>
  <c r="E350" i="13" l="1"/>
  <c r="E348" i="13" s="1"/>
  <c r="E347" i="13" s="1"/>
  <c r="G350" i="13"/>
  <c r="G348" i="13" s="1"/>
  <c r="G347" i="13" s="1"/>
  <c r="I350" i="13"/>
  <c r="I348" i="13" s="1"/>
  <c r="I347" i="13" s="1"/>
  <c r="K350" i="13"/>
  <c r="K348" i="13" s="1"/>
  <c r="K347" i="13" s="1"/>
  <c r="M350" i="13"/>
  <c r="M348" i="13" s="1"/>
  <c r="M347" i="13" s="1"/>
  <c r="O350" i="13"/>
  <c r="O348" i="13" s="1"/>
  <c r="O347" i="13" s="1"/>
  <c r="Q350" i="13"/>
  <c r="Q348" i="13" s="1"/>
  <c r="Q347" i="13" s="1"/>
  <c r="F350" i="13"/>
  <c r="F348" i="13" s="1"/>
  <c r="F347" i="13" s="1"/>
  <c r="H350" i="13"/>
  <c r="J350" i="13"/>
  <c r="J348" i="13" s="1"/>
  <c r="J347" i="13" s="1"/>
  <c r="L350" i="13"/>
  <c r="L348" i="13" s="1"/>
  <c r="L347" i="13" s="1"/>
  <c r="N350" i="13"/>
  <c r="N348" i="13" s="1"/>
  <c r="N347" i="13" s="1"/>
  <c r="P350" i="13"/>
  <c r="P348" i="13" s="1"/>
  <c r="P347" i="13" s="1"/>
  <c r="W354" i="13"/>
  <c r="V354" i="13"/>
  <c r="V350" i="13" l="1"/>
  <c r="W350" i="13"/>
  <c r="H348" i="13"/>
  <c r="H347" i="13" s="1"/>
  <c r="W373" i="13" l="1"/>
  <c r="W75" i="16" l="1"/>
  <c r="V75" i="16"/>
  <c r="V65" i="16"/>
  <c r="W65" i="16"/>
  <c r="E66" i="16"/>
  <c r="F66" i="16"/>
  <c r="G66" i="16"/>
  <c r="H66" i="16"/>
  <c r="I66" i="16"/>
  <c r="J66" i="16"/>
  <c r="K66" i="16"/>
  <c r="L66" i="16"/>
  <c r="M66" i="16"/>
  <c r="N66" i="16"/>
  <c r="O66" i="16"/>
  <c r="P66" i="16"/>
  <c r="Q66" i="16"/>
  <c r="W66" i="16"/>
  <c r="V67" i="16"/>
  <c r="W67" i="16"/>
  <c r="W53" i="16"/>
  <c r="V53" i="16"/>
  <c r="W49" i="16"/>
  <c r="V49" i="16"/>
  <c r="W50" i="16"/>
  <c r="V50" i="16"/>
  <c r="W449" i="13"/>
  <c r="W444" i="13"/>
  <c r="W442" i="13"/>
  <c r="W433" i="13"/>
  <c r="W437" i="13"/>
  <c r="Q443" i="13"/>
  <c r="P443" i="13"/>
  <c r="O443" i="13"/>
  <c r="N443" i="13"/>
  <c r="M443" i="13"/>
  <c r="L443" i="13"/>
  <c r="K443" i="13"/>
  <c r="J443" i="13"/>
  <c r="I443" i="13"/>
  <c r="H443" i="13"/>
  <c r="G443" i="13"/>
  <c r="F443" i="13"/>
  <c r="E443" i="13"/>
  <c r="Q438" i="13"/>
  <c r="P438" i="13"/>
  <c r="O438" i="13"/>
  <c r="N438" i="13"/>
  <c r="M438" i="13"/>
  <c r="L438" i="13"/>
  <c r="K438" i="13"/>
  <c r="J438" i="13"/>
  <c r="I438" i="13"/>
  <c r="H438" i="13"/>
  <c r="G438" i="13"/>
  <c r="F438" i="13"/>
  <c r="E438" i="13"/>
  <c r="Q431" i="13"/>
  <c r="P431" i="13"/>
  <c r="O431" i="13"/>
  <c r="N431" i="13"/>
  <c r="M431" i="13"/>
  <c r="L431" i="13"/>
  <c r="K431" i="13"/>
  <c r="J431" i="13"/>
  <c r="I431" i="13"/>
  <c r="H431" i="13"/>
  <c r="G431" i="13"/>
  <c r="F431" i="13"/>
  <c r="E431" i="13"/>
  <c r="Q428" i="13"/>
  <c r="Q427" i="13" s="1"/>
  <c r="P428" i="13"/>
  <c r="P427" i="13" s="1"/>
  <c r="O428" i="13"/>
  <c r="O427" i="13" s="1"/>
  <c r="N428" i="13"/>
  <c r="N427" i="13" s="1"/>
  <c r="M428" i="13"/>
  <c r="M427" i="13" s="1"/>
  <c r="L428" i="13"/>
  <c r="L427" i="13" s="1"/>
  <c r="K428" i="13"/>
  <c r="K427" i="13" s="1"/>
  <c r="J428" i="13"/>
  <c r="J427" i="13" s="1"/>
  <c r="I428" i="13"/>
  <c r="I427" i="13" s="1"/>
  <c r="H428" i="13"/>
  <c r="H427" i="13" s="1"/>
  <c r="G428" i="13"/>
  <c r="G427" i="13" s="1"/>
  <c r="F428" i="13"/>
  <c r="F427" i="13" s="1"/>
  <c r="E428" i="13"/>
  <c r="E427" i="13" s="1"/>
  <c r="W421" i="13"/>
  <c r="W426" i="13"/>
  <c r="Q412" i="13"/>
  <c r="P412" i="13"/>
  <c r="O412" i="13"/>
  <c r="N412" i="13"/>
  <c r="M412" i="13"/>
  <c r="L412" i="13"/>
  <c r="K412" i="13"/>
  <c r="J412" i="13"/>
  <c r="I412" i="13"/>
  <c r="H412" i="13"/>
  <c r="G412" i="13"/>
  <c r="F412" i="13"/>
  <c r="E412" i="13"/>
  <c r="Q407" i="13"/>
  <c r="P407" i="13"/>
  <c r="O407" i="13"/>
  <c r="N407" i="13"/>
  <c r="M407" i="13"/>
  <c r="L407" i="13"/>
  <c r="K407" i="13"/>
  <c r="J407" i="13"/>
  <c r="I407" i="13"/>
  <c r="H407" i="13"/>
  <c r="G407" i="13"/>
  <c r="F407" i="13"/>
  <c r="E407" i="13"/>
  <c r="Q403" i="13"/>
  <c r="P403" i="13"/>
  <c r="O403" i="13"/>
  <c r="N403" i="13"/>
  <c r="M403" i="13"/>
  <c r="L403" i="13"/>
  <c r="K403" i="13"/>
  <c r="J403" i="13"/>
  <c r="I403" i="13"/>
  <c r="H403" i="13"/>
  <c r="G403" i="13"/>
  <c r="F403" i="13"/>
  <c r="E403" i="13"/>
  <c r="W432" i="13"/>
  <c r="W418" i="13"/>
  <c r="W411" i="13"/>
  <c r="W406" i="13"/>
  <c r="W401" i="13"/>
  <c r="W398" i="13"/>
  <c r="W397" i="13"/>
  <c r="W395" i="13"/>
  <c r="W392" i="13"/>
  <c r="W388" i="13"/>
  <c r="W387" i="13"/>
  <c r="W385" i="13"/>
  <c r="W379" i="13"/>
  <c r="W371" i="13"/>
  <c r="Q372" i="13"/>
  <c r="Q368" i="13" s="1"/>
  <c r="Q364" i="13" s="1"/>
  <c r="P372" i="13"/>
  <c r="P368" i="13" s="1"/>
  <c r="O372" i="13"/>
  <c r="O368" i="13" s="1"/>
  <c r="O364" i="13" s="1"/>
  <c r="N372" i="13"/>
  <c r="N368" i="13" s="1"/>
  <c r="N364" i="13" s="1"/>
  <c r="M372" i="13"/>
  <c r="M368" i="13" s="1"/>
  <c r="M364" i="13" s="1"/>
  <c r="L372" i="13"/>
  <c r="L368" i="13" s="1"/>
  <c r="L364" i="13" s="1"/>
  <c r="K372" i="13"/>
  <c r="K368" i="13" s="1"/>
  <c r="K364" i="13" s="1"/>
  <c r="J372" i="13"/>
  <c r="J368" i="13" s="1"/>
  <c r="J364" i="13" s="1"/>
  <c r="I372" i="13"/>
  <c r="I368" i="13" s="1"/>
  <c r="I364" i="13" s="1"/>
  <c r="H372" i="13"/>
  <c r="H368" i="13" s="1"/>
  <c r="H364" i="13" s="1"/>
  <c r="G372" i="13"/>
  <c r="G368" i="13" s="1"/>
  <c r="G364" i="13" s="1"/>
  <c r="F372" i="13"/>
  <c r="F368" i="13" s="1"/>
  <c r="F364" i="13" s="1"/>
  <c r="E372" i="13"/>
  <c r="E368" i="13" s="1"/>
  <c r="E364" i="13" s="1"/>
  <c r="P364" i="13"/>
  <c r="V362" i="13"/>
  <c r="W362" i="13"/>
  <c r="V346" i="13"/>
  <c r="W346" i="13"/>
  <c r="V342" i="13"/>
  <c r="W342" i="13"/>
  <c r="V338" i="13"/>
  <c r="W338" i="13"/>
  <c r="V321" i="13"/>
  <c r="W321" i="13"/>
  <c r="V322" i="13"/>
  <c r="W322" i="13"/>
  <c r="V326" i="13"/>
  <c r="W326" i="13"/>
  <c r="V307" i="13"/>
  <c r="W307" i="13"/>
  <c r="V308" i="13"/>
  <c r="W308" i="13"/>
  <c r="V319" i="13"/>
  <c r="W319" i="13"/>
  <c r="V297" i="13"/>
  <c r="W297" i="13"/>
  <c r="V298" i="13"/>
  <c r="W298" i="13"/>
  <c r="V299" i="13"/>
  <c r="W299" i="13"/>
  <c r="V305" i="13"/>
  <c r="W305" i="13"/>
  <c r="V286" i="13"/>
  <c r="W286" i="13"/>
  <c r="V263" i="13"/>
  <c r="W263" i="13"/>
  <c r="V264" i="13"/>
  <c r="W264" i="13"/>
  <c r="V265" i="13"/>
  <c r="W265" i="13"/>
  <c r="V266" i="13"/>
  <c r="W266" i="13"/>
  <c r="V278" i="13"/>
  <c r="W278" i="13"/>
  <c r="V261" i="13"/>
  <c r="W261" i="13"/>
  <c r="V226" i="13"/>
  <c r="W226" i="13"/>
  <c r="V227" i="13"/>
  <c r="W227" i="13"/>
  <c r="V228" i="13"/>
  <c r="W228" i="13"/>
  <c r="V229" i="13"/>
  <c r="W229" i="13"/>
  <c r="V230" i="13"/>
  <c r="W230" i="13"/>
  <c r="V231" i="13"/>
  <c r="W231" i="13"/>
  <c r="V257" i="13"/>
  <c r="W257" i="13"/>
  <c r="V184" i="13"/>
  <c r="W184" i="13"/>
  <c r="V185" i="13"/>
  <c r="W185" i="13"/>
  <c r="V186" i="13"/>
  <c r="W186" i="13"/>
  <c r="V187" i="13"/>
  <c r="W187" i="13"/>
  <c r="V188" i="13"/>
  <c r="W188" i="13"/>
  <c r="V189" i="13"/>
  <c r="W189" i="13"/>
  <c r="V190" i="13"/>
  <c r="W190" i="13"/>
  <c r="V191" i="13"/>
  <c r="W191" i="13"/>
  <c r="V192" i="13"/>
  <c r="W192" i="13"/>
  <c r="V224" i="13"/>
  <c r="W224" i="13"/>
  <c r="V147" i="13"/>
  <c r="W147" i="13"/>
  <c r="V148" i="13"/>
  <c r="W148" i="13"/>
  <c r="V149" i="13"/>
  <c r="W149" i="13"/>
  <c r="V150" i="13"/>
  <c r="W150" i="13"/>
  <c r="V151" i="13"/>
  <c r="W151" i="13"/>
  <c r="V152" i="13"/>
  <c r="W152" i="13"/>
  <c r="V153" i="13"/>
  <c r="W153" i="13"/>
  <c r="V154" i="13"/>
  <c r="W154" i="13"/>
  <c r="V155" i="13"/>
  <c r="W155" i="13"/>
  <c r="V156" i="13"/>
  <c r="W156" i="13"/>
  <c r="V157" i="13"/>
  <c r="W157" i="13"/>
  <c r="V181" i="13"/>
  <c r="W181" i="13"/>
  <c r="V102" i="13"/>
  <c r="W102" i="13"/>
  <c r="V103" i="13"/>
  <c r="W103" i="13"/>
  <c r="V104" i="13"/>
  <c r="W104" i="13"/>
  <c r="V105" i="13"/>
  <c r="W105" i="13"/>
  <c r="V106" i="13"/>
  <c r="W106" i="13"/>
  <c r="V107" i="13"/>
  <c r="W107" i="13"/>
  <c r="V108" i="13"/>
  <c r="W108" i="13"/>
  <c r="V109" i="13"/>
  <c r="W109" i="13"/>
  <c r="V110" i="13"/>
  <c r="W110" i="13"/>
  <c r="V111" i="13"/>
  <c r="W111" i="13"/>
  <c r="V112" i="13"/>
  <c r="W112" i="13"/>
  <c r="V113" i="13"/>
  <c r="W113" i="13"/>
  <c r="V114" i="13"/>
  <c r="W114" i="13"/>
  <c r="V115" i="13"/>
  <c r="W115" i="13"/>
  <c r="V145" i="13"/>
  <c r="W145" i="13"/>
  <c r="V73" i="13"/>
  <c r="W73" i="13"/>
  <c r="V74" i="13"/>
  <c r="W74" i="13"/>
  <c r="V75" i="13"/>
  <c r="W75" i="13"/>
  <c r="V76" i="13"/>
  <c r="W76" i="13"/>
  <c r="V77" i="13"/>
  <c r="W77" i="13"/>
  <c r="V100" i="13"/>
  <c r="W100" i="13"/>
  <c r="V24" i="13"/>
  <c r="W24" i="13"/>
  <c r="V25" i="13"/>
  <c r="W25" i="13"/>
  <c r="V26" i="13"/>
  <c r="W26" i="13"/>
  <c r="V27" i="13"/>
  <c r="W27" i="13"/>
  <c r="V28" i="13"/>
  <c r="W28" i="13"/>
  <c r="V29" i="13"/>
  <c r="W29" i="13"/>
  <c r="V30" i="13"/>
  <c r="W30" i="13"/>
  <c r="V31" i="13"/>
  <c r="W31" i="13"/>
  <c r="V32" i="13"/>
  <c r="W32" i="13"/>
  <c r="V33" i="13"/>
  <c r="W33" i="13"/>
  <c r="V34" i="13"/>
  <c r="W34" i="13"/>
  <c r="V35" i="13"/>
  <c r="W35" i="13"/>
  <c r="V36" i="13"/>
  <c r="W36" i="13"/>
  <c r="V37" i="13"/>
  <c r="W37" i="13"/>
  <c r="V38" i="13"/>
  <c r="W38" i="13"/>
  <c r="V71" i="13"/>
  <c r="W71" i="13"/>
  <c r="V12" i="13"/>
  <c r="W12" i="13"/>
  <c r="V13" i="13"/>
  <c r="W13" i="13"/>
  <c r="V14" i="13"/>
  <c r="W14" i="13"/>
  <c r="V22" i="13"/>
  <c r="W22" i="13"/>
  <c r="W368" i="13" l="1"/>
  <c r="Q402" i="13"/>
  <c r="F402" i="13"/>
  <c r="H402" i="13"/>
  <c r="J402" i="13"/>
  <c r="N402" i="13"/>
  <c r="L402" i="13"/>
  <c r="E430" i="13"/>
  <c r="H430" i="13"/>
  <c r="L430" i="13"/>
  <c r="P430" i="13"/>
  <c r="P402" i="13"/>
  <c r="F430" i="13"/>
  <c r="J430" i="13"/>
  <c r="N430" i="13"/>
  <c r="G430" i="13"/>
  <c r="I430" i="13"/>
  <c r="K430" i="13"/>
  <c r="M430" i="13"/>
  <c r="O430" i="13"/>
  <c r="Q430" i="13"/>
  <c r="V66" i="16"/>
  <c r="E402" i="13"/>
  <c r="G402" i="13"/>
  <c r="I402" i="13"/>
  <c r="K402" i="13"/>
  <c r="M402" i="13"/>
  <c r="E363" i="13"/>
  <c r="G363" i="13"/>
  <c r="I363" i="13"/>
  <c r="O402" i="13"/>
  <c r="K363" i="13"/>
  <c r="M363" i="13"/>
  <c r="O363" i="13"/>
  <c r="Q363" i="13"/>
  <c r="F363" i="13"/>
  <c r="H363" i="13"/>
  <c r="J363" i="13"/>
  <c r="L363" i="13"/>
  <c r="N363" i="13"/>
  <c r="P363" i="13"/>
  <c r="V16" i="16"/>
  <c r="W16" i="16"/>
  <c r="V15" i="16"/>
  <c r="W15" i="16"/>
  <c r="W328" i="13" l="1"/>
  <c r="V328" i="13"/>
  <c r="K191" i="13"/>
  <c r="K114" i="13"/>
  <c r="I343" i="13"/>
  <c r="J343" i="13"/>
  <c r="K343" i="13"/>
  <c r="L343" i="13"/>
  <c r="M343" i="13"/>
  <c r="N343" i="13"/>
  <c r="O343" i="13"/>
  <c r="P343" i="13"/>
  <c r="Q343" i="13"/>
  <c r="H343" i="13"/>
  <c r="F343" i="13"/>
  <c r="G343" i="13"/>
  <c r="E343" i="13"/>
  <c r="W347" i="13" l="1"/>
  <c r="V347" i="13"/>
  <c r="K230" i="13" l="1"/>
  <c r="K75" i="13"/>
  <c r="K154" i="13"/>
  <c r="K113" i="13"/>
  <c r="W382" i="13"/>
  <c r="W381" i="13" l="1"/>
  <c r="K189" i="13"/>
  <c r="K188" i="13"/>
  <c r="K34" i="16"/>
  <c r="W34" i="16"/>
  <c r="V34" i="16"/>
  <c r="K13" i="13"/>
  <c r="K106" i="13"/>
  <c r="I386" i="13"/>
  <c r="J386" i="13"/>
  <c r="L386" i="13"/>
  <c r="M386" i="13"/>
  <c r="N386" i="13"/>
  <c r="O386" i="13"/>
  <c r="P386" i="13"/>
  <c r="Q386" i="13"/>
  <c r="H386" i="13"/>
  <c r="F386" i="13"/>
  <c r="G386" i="13"/>
  <c r="E386" i="13"/>
  <c r="K104" i="13"/>
  <c r="K148" i="13"/>
  <c r="K226" i="13"/>
  <c r="W408" i="13"/>
  <c r="W386" i="13" l="1"/>
  <c r="W396" i="13"/>
  <c r="W407" i="13"/>
  <c r="K25" i="13" l="1"/>
  <c r="K24" i="13"/>
  <c r="W96" i="16" l="1"/>
  <c r="W95" i="16"/>
  <c r="Q94" i="16"/>
  <c r="P94" i="16"/>
  <c r="O94" i="16"/>
  <c r="N94" i="16"/>
  <c r="M94" i="16"/>
  <c r="L94" i="16"/>
  <c r="K94" i="16"/>
  <c r="J94" i="16"/>
  <c r="I94" i="16"/>
  <c r="H94" i="16"/>
  <c r="G94" i="16"/>
  <c r="F94" i="16"/>
  <c r="E94" i="16"/>
  <c r="W93" i="16"/>
  <c r="W92" i="16"/>
  <c r="Q91" i="16"/>
  <c r="P91" i="16"/>
  <c r="O91" i="16"/>
  <c r="N91" i="16"/>
  <c r="M91" i="16"/>
  <c r="L91" i="16"/>
  <c r="K91" i="16"/>
  <c r="J91" i="16"/>
  <c r="I91" i="16"/>
  <c r="H91" i="16"/>
  <c r="G91" i="16"/>
  <c r="F91" i="16"/>
  <c r="E91" i="16"/>
  <c r="W90" i="16"/>
  <c r="W89" i="16"/>
  <c r="Q88" i="16"/>
  <c r="P88" i="16"/>
  <c r="O88" i="16"/>
  <c r="N88" i="16"/>
  <c r="M88" i="16"/>
  <c r="L88" i="16"/>
  <c r="K88" i="16"/>
  <c r="J88" i="16"/>
  <c r="I88" i="16"/>
  <c r="H88" i="16"/>
  <c r="G88" i="16"/>
  <c r="F88" i="16"/>
  <c r="E88" i="16"/>
  <c r="W87" i="16"/>
  <c r="W86" i="16"/>
  <c r="Q85" i="16"/>
  <c r="P85" i="16"/>
  <c r="O85" i="16"/>
  <c r="N85" i="16"/>
  <c r="M85" i="16"/>
  <c r="L85" i="16"/>
  <c r="K85" i="16"/>
  <c r="J85" i="16"/>
  <c r="I85" i="16"/>
  <c r="H85" i="16"/>
  <c r="G85" i="16"/>
  <c r="F85" i="16"/>
  <c r="E85" i="16"/>
  <c r="W83" i="16"/>
  <c r="Q80" i="16"/>
  <c r="Q79" i="16" s="1"/>
  <c r="P80" i="16"/>
  <c r="O80" i="16"/>
  <c r="O79" i="16" s="1"/>
  <c r="N80" i="16"/>
  <c r="N79" i="16" s="1"/>
  <c r="M80" i="16"/>
  <c r="M79" i="16" s="1"/>
  <c r="L80" i="16"/>
  <c r="L79" i="16" s="1"/>
  <c r="K80" i="16"/>
  <c r="K79" i="16" s="1"/>
  <c r="J80" i="16"/>
  <c r="J79" i="16" s="1"/>
  <c r="I80" i="16"/>
  <c r="I79" i="16" s="1"/>
  <c r="H80" i="16"/>
  <c r="H79" i="16" s="1"/>
  <c r="G80" i="16"/>
  <c r="G79" i="16" s="1"/>
  <c r="F80" i="16"/>
  <c r="F79" i="16" s="1"/>
  <c r="E80" i="16"/>
  <c r="E79" i="16" s="1"/>
  <c r="P79" i="16"/>
  <c r="W78" i="16"/>
  <c r="V78" i="16"/>
  <c r="W77" i="16"/>
  <c r="V77" i="16"/>
  <c r="Q76" i="16"/>
  <c r="P76" i="16"/>
  <c r="O76" i="16"/>
  <c r="N76" i="16"/>
  <c r="M76" i="16"/>
  <c r="L76" i="16"/>
  <c r="K76" i="16"/>
  <c r="J76" i="16"/>
  <c r="I76" i="16"/>
  <c r="H76" i="16"/>
  <c r="G76" i="16"/>
  <c r="F76" i="16"/>
  <c r="E76" i="16"/>
  <c r="W74" i="16"/>
  <c r="V74" i="16"/>
  <c r="Q73" i="16"/>
  <c r="P73" i="16"/>
  <c r="O73" i="16"/>
  <c r="N73" i="16"/>
  <c r="M73" i="16"/>
  <c r="L73" i="16"/>
  <c r="K73" i="16"/>
  <c r="J73" i="16"/>
  <c r="I73" i="16"/>
  <c r="H73" i="16"/>
  <c r="G73" i="16"/>
  <c r="F73" i="16"/>
  <c r="E73" i="16"/>
  <c r="W71" i="16"/>
  <c r="V71" i="16"/>
  <c r="W70" i="16"/>
  <c r="V70" i="16"/>
  <c r="Q69" i="16"/>
  <c r="P69" i="16"/>
  <c r="O69" i="16"/>
  <c r="N69" i="16"/>
  <c r="M69" i="16"/>
  <c r="L69" i="16"/>
  <c r="K69" i="16"/>
  <c r="J69" i="16"/>
  <c r="I69" i="16"/>
  <c r="H69" i="16"/>
  <c r="G69" i="16"/>
  <c r="F69" i="16"/>
  <c r="E69" i="16"/>
  <c r="W68" i="16"/>
  <c r="V68" i="16"/>
  <c r="Q62" i="16"/>
  <c r="P62" i="16"/>
  <c r="O62" i="16"/>
  <c r="N62" i="16"/>
  <c r="M62" i="16"/>
  <c r="L62" i="16"/>
  <c r="K62" i="16"/>
  <c r="J62" i="16"/>
  <c r="I62" i="16"/>
  <c r="H62" i="16"/>
  <c r="G62" i="16"/>
  <c r="F62" i="16"/>
  <c r="E62" i="16"/>
  <c r="W61" i="16"/>
  <c r="V61" i="16"/>
  <c r="W60" i="16"/>
  <c r="V60" i="16"/>
  <c r="Q59" i="16"/>
  <c r="P59" i="16"/>
  <c r="O59" i="16"/>
  <c r="N59" i="16"/>
  <c r="M59" i="16"/>
  <c r="L59" i="16"/>
  <c r="K59" i="16"/>
  <c r="J59" i="16"/>
  <c r="I59" i="16"/>
  <c r="H59" i="16"/>
  <c r="G59" i="16"/>
  <c r="F59" i="16"/>
  <c r="E59" i="16"/>
  <c r="W58" i="16"/>
  <c r="V58" i="16"/>
  <c r="W57" i="16"/>
  <c r="V57" i="16"/>
  <c r="Q56" i="16"/>
  <c r="P56" i="16"/>
  <c r="O56" i="16"/>
  <c r="N56" i="16"/>
  <c r="M56" i="16"/>
  <c r="L56" i="16"/>
  <c r="K56" i="16"/>
  <c r="J56" i="16"/>
  <c r="I56" i="16"/>
  <c r="H56" i="16"/>
  <c r="G56" i="16"/>
  <c r="F56" i="16"/>
  <c r="E56" i="16"/>
  <c r="W54" i="16"/>
  <c r="V54" i="16"/>
  <c r="Q52" i="16"/>
  <c r="Q51" i="16" s="1"/>
  <c r="P52" i="16"/>
  <c r="O52" i="16"/>
  <c r="O51" i="16" s="1"/>
  <c r="N52" i="16"/>
  <c r="N51" i="16" s="1"/>
  <c r="M52" i="16"/>
  <c r="M51" i="16" s="1"/>
  <c r="L52" i="16"/>
  <c r="L51" i="16" s="1"/>
  <c r="K52" i="16"/>
  <c r="K51" i="16" s="1"/>
  <c r="J52" i="16"/>
  <c r="J51" i="16" s="1"/>
  <c r="I52" i="16"/>
  <c r="I51" i="16" s="1"/>
  <c r="H52" i="16"/>
  <c r="H51" i="16" s="1"/>
  <c r="G52" i="16"/>
  <c r="G51" i="16" s="1"/>
  <c r="F52" i="16"/>
  <c r="F51" i="16" s="1"/>
  <c r="E52" i="16"/>
  <c r="E51" i="16" s="1"/>
  <c r="P51" i="16"/>
  <c r="Q48" i="16"/>
  <c r="P48" i="16"/>
  <c r="O48" i="16"/>
  <c r="N48" i="16"/>
  <c r="M48" i="16"/>
  <c r="L48" i="16"/>
  <c r="K48" i="16"/>
  <c r="J48" i="16"/>
  <c r="I48" i="16"/>
  <c r="H48" i="16"/>
  <c r="G48" i="16"/>
  <c r="F48" i="16"/>
  <c r="E48" i="16"/>
  <c r="W47" i="16"/>
  <c r="V47" i="16"/>
  <c r="W46" i="16"/>
  <c r="V46" i="16"/>
  <c r="Q45" i="16"/>
  <c r="P45" i="16"/>
  <c r="O45" i="16"/>
  <c r="N45" i="16"/>
  <c r="M45" i="16"/>
  <c r="L45" i="16"/>
  <c r="K45" i="16"/>
  <c r="J45" i="16"/>
  <c r="I45" i="16"/>
  <c r="H45" i="16"/>
  <c r="G45" i="16"/>
  <c r="F45" i="16"/>
  <c r="E45" i="16"/>
  <c r="W43" i="16"/>
  <c r="V43" i="16"/>
  <c r="W42" i="16"/>
  <c r="V42" i="16"/>
  <c r="Q41" i="16"/>
  <c r="P41" i="16"/>
  <c r="O41" i="16"/>
  <c r="N41" i="16"/>
  <c r="M41" i="16"/>
  <c r="L41" i="16"/>
  <c r="K41" i="16"/>
  <c r="J41" i="16"/>
  <c r="I41" i="16"/>
  <c r="H41" i="16"/>
  <c r="G41" i="16"/>
  <c r="F41" i="16"/>
  <c r="E41" i="16"/>
  <c r="W40" i="16"/>
  <c r="V40" i="16"/>
  <c r="W38" i="16"/>
  <c r="V38" i="16"/>
  <c r="Q37" i="16"/>
  <c r="P37" i="16"/>
  <c r="O37" i="16"/>
  <c r="N37" i="16"/>
  <c r="M37" i="16"/>
  <c r="L37" i="16"/>
  <c r="K37" i="16"/>
  <c r="J37" i="16"/>
  <c r="I37" i="16"/>
  <c r="H37" i="16"/>
  <c r="G37" i="16"/>
  <c r="F37" i="16"/>
  <c r="E37" i="16"/>
  <c r="W36" i="16"/>
  <c r="V36" i="16"/>
  <c r="Q33" i="16"/>
  <c r="P33" i="16"/>
  <c r="O33" i="16"/>
  <c r="N33" i="16"/>
  <c r="M33" i="16"/>
  <c r="L33" i="16"/>
  <c r="J33" i="16"/>
  <c r="I33" i="16"/>
  <c r="H33" i="16"/>
  <c r="G33" i="16"/>
  <c r="F33" i="16"/>
  <c r="E33" i="16"/>
  <c r="W32" i="16"/>
  <c r="V32" i="16"/>
  <c r="Q30" i="16"/>
  <c r="P30" i="16"/>
  <c r="O30" i="16"/>
  <c r="N30" i="16"/>
  <c r="M30" i="16"/>
  <c r="L30" i="16"/>
  <c r="K30" i="16"/>
  <c r="J30" i="16"/>
  <c r="I30" i="16"/>
  <c r="H30" i="16"/>
  <c r="G30" i="16"/>
  <c r="F30" i="16"/>
  <c r="E30" i="16"/>
  <c r="W28" i="16"/>
  <c r="V28" i="16"/>
  <c r="Q26" i="16"/>
  <c r="P26" i="16"/>
  <c r="O26" i="16"/>
  <c r="N26" i="16"/>
  <c r="M26" i="16"/>
  <c r="L26" i="16"/>
  <c r="K26" i="16"/>
  <c r="J26" i="16"/>
  <c r="I26" i="16"/>
  <c r="H26" i="16"/>
  <c r="G26" i="16"/>
  <c r="F26" i="16"/>
  <c r="E26" i="16"/>
  <c r="W25" i="16"/>
  <c r="V25" i="16"/>
  <c r="Q22" i="16"/>
  <c r="P22" i="16"/>
  <c r="O22" i="16"/>
  <c r="N22" i="16"/>
  <c r="M22" i="16"/>
  <c r="L22" i="16"/>
  <c r="K22" i="16"/>
  <c r="J22" i="16"/>
  <c r="I22" i="16"/>
  <c r="H22" i="16"/>
  <c r="G22" i="16"/>
  <c r="F22" i="16"/>
  <c r="E22" i="16"/>
  <c r="W21" i="16"/>
  <c r="V21" i="16"/>
  <c r="K14" i="16"/>
  <c r="Q14" i="16"/>
  <c r="P14" i="16"/>
  <c r="O14" i="16"/>
  <c r="N14" i="16"/>
  <c r="M14" i="16"/>
  <c r="L14" i="16"/>
  <c r="J14" i="16"/>
  <c r="I14" i="16"/>
  <c r="H14" i="16"/>
  <c r="G14" i="16"/>
  <c r="F14" i="16"/>
  <c r="E14" i="16"/>
  <c r="Q11" i="16"/>
  <c r="P11" i="16"/>
  <c r="O11" i="16"/>
  <c r="N11" i="16"/>
  <c r="M11" i="16"/>
  <c r="L11" i="16"/>
  <c r="K11" i="16"/>
  <c r="J11" i="16"/>
  <c r="I11" i="16"/>
  <c r="H11" i="16"/>
  <c r="G11" i="16"/>
  <c r="F11" i="16"/>
  <c r="E11" i="16"/>
  <c r="E10" i="16" l="1"/>
  <c r="G10" i="16"/>
  <c r="I10" i="16"/>
  <c r="K10" i="16"/>
  <c r="M10" i="16"/>
  <c r="O10" i="16"/>
  <c r="Q10" i="16"/>
  <c r="L10" i="16"/>
  <c r="N10" i="16"/>
  <c r="P10" i="16"/>
  <c r="F10" i="16"/>
  <c r="H10" i="16"/>
  <c r="J10" i="16"/>
  <c r="N55" i="16"/>
  <c r="L29" i="16"/>
  <c r="Q44" i="16"/>
  <c r="J55" i="16"/>
  <c r="E29" i="16"/>
  <c r="G29" i="16"/>
  <c r="I29" i="16"/>
  <c r="M29" i="16"/>
  <c r="O29" i="16"/>
  <c r="Q29" i="16"/>
  <c r="H29" i="16"/>
  <c r="P29" i="16"/>
  <c r="N29" i="16"/>
  <c r="F44" i="16"/>
  <c r="J44" i="16"/>
  <c r="L44" i="16"/>
  <c r="N44" i="16"/>
  <c r="P44" i="16"/>
  <c r="I44" i="16"/>
  <c r="F29" i="16"/>
  <c r="J29" i="16"/>
  <c r="K33" i="16"/>
  <c r="K29" i="16" s="1"/>
  <c r="E55" i="16"/>
  <c r="G55" i="16"/>
  <c r="I55" i="16"/>
  <c r="K55" i="16"/>
  <c r="M55" i="16"/>
  <c r="O55" i="16"/>
  <c r="Q55" i="16"/>
  <c r="E84" i="16"/>
  <c r="G84" i="16"/>
  <c r="I84" i="16"/>
  <c r="K84" i="16"/>
  <c r="M84" i="16"/>
  <c r="O84" i="16"/>
  <c r="Q84" i="16"/>
  <c r="F84" i="16"/>
  <c r="F55" i="16"/>
  <c r="H55" i="16"/>
  <c r="L55" i="16"/>
  <c r="E44" i="16"/>
  <c r="G44" i="16"/>
  <c r="K44" i="16"/>
  <c r="M44" i="16"/>
  <c r="O44" i="16"/>
  <c r="H84" i="16"/>
  <c r="J84" i="16"/>
  <c r="L84" i="16"/>
  <c r="N84" i="16"/>
  <c r="P84" i="16"/>
  <c r="H72" i="16"/>
  <c r="L72" i="16"/>
  <c r="P72" i="16"/>
  <c r="P55" i="16"/>
  <c r="V41" i="16"/>
  <c r="V45" i="16"/>
  <c r="F72" i="16"/>
  <c r="J72" i="16"/>
  <c r="N72" i="16"/>
  <c r="E72" i="16"/>
  <c r="G72" i="16"/>
  <c r="I72" i="16"/>
  <c r="K72" i="16"/>
  <c r="M72" i="16"/>
  <c r="O72" i="16"/>
  <c r="Q72" i="16"/>
  <c r="V26" i="16"/>
  <c r="V33" i="16"/>
  <c r="V11" i="16"/>
  <c r="V59" i="16"/>
  <c r="W14" i="16"/>
  <c r="W22" i="16"/>
  <c r="W30" i="16"/>
  <c r="W37" i="16"/>
  <c r="H44" i="16"/>
  <c r="W48" i="16"/>
  <c r="W52" i="16"/>
  <c r="W56" i="16"/>
  <c r="W62" i="16"/>
  <c r="V69" i="16"/>
  <c r="W69" i="16"/>
  <c r="V73" i="16"/>
  <c r="W73" i="16"/>
  <c r="V76" i="16"/>
  <c r="W80" i="16"/>
  <c r="W85" i="16"/>
  <c r="V51" i="16"/>
  <c r="W79" i="16"/>
  <c r="W88" i="16"/>
  <c r="W91" i="16"/>
  <c r="W94" i="16"/>
  <c r="W11" i="16"/>
  <c r="V14" i="16"/>
  <c r="V22" i="16"/>
  <c r="W26" i="16"/>
  <c r="V30" i="16"/>
  <c r="W33" i="16"/>
  <c r="V37" i="16"/>
  <c r="W41" i="16"/>
  <c r="W45" i="16"/>
  <c r="V48" i="16"/>
  <c r="W51" i="16"/>
  <c r="V52" i="16"/>
  <c r="V56" i="16"/>
  <c r="W59" i="16"/>
  <c r="V62" i="16"/>
  <c r="W76" i="16"/>
  <c r="V282" i="13"/>
  <c r="W282" i="13"/>
  <c r="V289" i="13"/>
  <c r="W289" i="13"/>
  <c r="V335" i="13"/>
  <c r="W335" i="13"/>
  <c r="W429" i="13"/>
  <c r="Q446" i="13"/>
  <c r="Q445" i="13" s="1"/>
  <c r="P446" i="13"/>
  <c r="P445" i="13" s="1"/>
  <c r="O446" i="13"/>
  <c r="O445" i="13" s="1"/>
  <c r="N446" i="13"/>
  <c r="N445" i="13" s="1"/>
  <c r="M446" i="13"/>
  <c r="M445" i="13" s="1"/>
  <c r="L446" i="13"/>
  <c r="L445" i="13" s="1"/>
  <c r="K446" i="13"/>
  <c r="K445" i="13" s="1"/>
  <c r="J446" i="13"/>
  <c r="J445" i="13" s="1"/>
  <c r="I446" i="13"/>
  <c r="I445" i="13" s="1"/>
  <c r="H446" i="13"/>
  <c r="H445" i="13" s="1"/>
  <c r="G446" i="13"/>
  <c r="G445" i="13" s="1"/>
  <c r="F446" i="13"/>
  <c r="F445" i="13" s="1"/>
  <c r="E446" i="13"/>
  <c r="E445" i="13" s="1"/>
  <c r="Q420" i="13"/>
  <c r="Q419" i="13" s="1"/>
  <c r="P420" i="13"/>
  <c r="O420" i="13"/>
  <c r="O419" i="13" s="1"/>
  <c r="N420" i="13"/>
  <c r="N419" i="13" s="1"/>
  <c r="M420" i="13"/>
  <c r="M419" i="13" s="1"/>
  <c r="L420" i="13"/>
  <c r="L419" i="13" s="1"/>
  <c r="K420" i="13"/>
  <c r="K419" i="13" s="1"/>
  <c r="J420" i="13"/>
  <c r="J419" i="13" s="1"/>
  <c r="I420" i="13"/>
  <c r="I419" i="13" s="1"/>
  <c r="H420" i="13"/>
  <c r="H419" i="13" s="1"/>
  <c r="G420" i="13"/>
  <c r="G419" i="13" s="1"/>
  <c r="F420" i="13"/>
  <c r="F419" i="13" s="1"/>
  <c r="E420" i="13"/>
  <c r="E419" i="13" s="1"/>
  <c r="P419" i="13"/>
  <c r="Q380" i="13"/>
  <c r="P380" i="13"/>
  <c r="O380" i="13"/>
  <c r="N380" i="13"/>
  <c r="M380" i="13"/>
  <c r="L380" i="13"/>
  <c r="K380" i="13"/>
  <c r="J380" i="13"/>
  <c r="I380" i="13"/>
  <c r="H380" i="13"/>
  <c r="G380" i="13"/>
  <c r="F380" i="13"/>
  <c r="E380" i="13"/>
  <c r="Q340" i="13"/>
  <c r="P340" i="13"/>
  <c r="O340" i="13"/>
  <c r="O339" i="13" s="1"/>
  <c r="N340" i="13"/>
  <c r="M340" i="13"/>
  <c r="L340" i="13"/>
  <c r="K340" i="13"/>
  <c r="K339" i="13" s="1"/>
  <c r="J340" i="13"/>
  <c r="I340" i="13"/>
  <c r="H340" i="13"/>
  <c r="G340" i="13"/>
  <c r="F340" i="13"/>
  <c r="E340" i="13"/>
  <c r="Q336" i="13"/>
  <c r="P336" i="13"/>
  <c r="O336" i="13"/>
  <c r="N336" i="13"/>
  <c r="M336" i="13"/>
  <c r="L336" i="13"/>
  <c r="K336" i="13"/>
  <c r="J336" i="13"/>
  <c r="I336" i="13"/>
  <c r="H336" i="13"/>
  <c r="G336" i="13"/>
  <c r="F336" i="13"/>
  <c r="E336" i="13"/>
  <c r="Q327" i="13"/>
  <c r="P327" i="13"/>
  <c r="O327" i="13"/>
  <c r="N327" i="13"/>
  <c r="M327" i="13"/>
  <c r="L327" i="13"/>
  <c r="K327" i="13"/>
  <c r="J327" i="13"/>
  <c r="I327" i="13"/>
  <c r="H327" i="13"/>
  <c r="G327" i="13"/>
  <c r="F327" i="13"/>
  <c r="E327" i="13"/>
  <c r="Q320" i="13"/>
  <c r="P320" i="13"/>
  <c r="O320" i="13"/>
  <c r="N320" i="13"/>
  <c r="M320" i="13"/>
  <c r="L320" i="13"/>
  <c r="K320" i="13"/>
  <c r="J320" i="13"/>
  <c r="I320" i="13"/>
  <c r="H320" i="13"/>
  <c r="G320" i="13"/>
  <c r="F320" i="13"/>
  <c r="E320" i="13"/>
  <c r="Q296" i="13"/>
  <c r="P296" i="13"/>
  <c r="O296" i="13"/>
  <c r="N296" i="13"/>
  <c r="M296" i="13"/>
  <c r="L296" i="13"/>
  <c r="K296" i="13"/>
  <c r="J296" i="13"/>
  <c r="I296" i="13"/>
  <c r="H296" i="13"/>
  <c r="G296" i="13"/>
  <c r="F296" i="13"/>
  <c r="E296" i="13"/>
  <c r="W291" i="13"/>
  <c r="V291" i="13"/>
  <c r="Q290" i="13"/>
  <c r="P290" i="13"/>
  <c r="O290" i="13"/>
  <c r="N290" i="13"/>
  <c r="M290" i="13"/>
  <c r="L290" i="13"/>
  <c r="K290" i="13"/>
  <c r="J290" i="13"/>
  <c r="I290" i="13"/>
  <c r="H290" i="13"/>
  <c r="G290" i="13"/>
  <c r="F290" i="13"/>
  <c r="E290" i="13"/>
  <c r="Q288" i="13"/>
  <c r="P288" i="13"/>
  <c r="O288" i="13"/>
  <c r="N288" i="13"/>
  <c r="M288" i="13"/>
  <c r="L288" i="13"/>
  <c r="K288" i="13"/>
  <c r="J288" i="13"/>
  <c r="I288" i="13"/>
  <c r="H288" i="13"/>
  <c r="G288" i="13"/>
  <c r="F288" i="13"/>
  <c r="E288" i="13"/>
  <c r="W284" i="13"/>
  <c r="V284" i="13"/>
  <c r="Q283" i="13"/>
  <c r="P283" i="13"/>
  <c r="O283" i="13"/>
  <c r="N283" i="13"/>
  <c r="M283" i="13"/>
  <c r="L283" i="13"/>
  <c r="K283" i="13"/>
  <c r="J283" i="13"/>
  <c r="I283" i="13"/>
  <c r="H283" i="13"/>
  <c r="G283" i="13"/>
  <c r="F283" i="13"/>
  <c r="E283" i="13"/>
  <c r="W281" i="13"/>
  <c r="V281" i="13"/>
  <c r="Q280" i="13"/>
  <c r="P280" i="13"/>
  <c r="O280" i="13"/>
  <c r="N280" i="13"/>
  <c r="M280" i="13"/>
  <c r="L280" i="13"/>
  <c r="K280" i="13"/>
  <c r="J280" i="13"/>
  <c r="I280" i="13"/>
  <c r="H280" i="13"/>
  <c r="G280" i="13"/>
  <c r="F280" i="13"/>
  <c r="E280" i="13"/>
  <c r="Q262" i="13"/>
  <c r="P262" i="13"/>
  <c r="O262" i="13"/>
  <c r="N262" i="13"/>
  <c r="M262" i="13"/>
  <c r="L262" i="13"/>
  <c r="K262" i="13"/>
  <c r="J262" i="13"/>
  <c r="I262" i="13"/>
  <c r="H262" i="13"/>
  <c r="G262" i="13"/>
  <c r="F262" i="13"/>
  <c r="E262" i="13"/>
  <c r="Q258" i="13"/>
  <c r="P258" i="13"/>
  <c r="O258" i="13"/>
  <c r="N258" i="13"/>
  <c r="M258" i="13"/>
  <c r="L258" i="13"/>
  <c r="K258" i="13"/>
  <c r="J258" i="13"/>
  <c r="I258" i="13"/>
  <c r="H258" i="13"/>
  <c r="G258" i="13"/>
  <c r="F258" i="13"/>
  <c r="E258" i="13"/>
  <c r="Q225" i="13"/>
  <c r="P225" i="13"/>
  <c r="O225" i="13"/>
  <c r="N225" i="13"/>
  <c r="M225" i="13"/>
  <c r="L225" i="13"/>
  <c r="K225" i="13"/>
  <c r="J225" i="13"/>
  <c r="I225" i="13"/>
  <c r="H225" i="13"/>
  <c r="G225" i="13"/>
  <c r="F225" i="13"/>
  <c r="E225" i="13"/>
  <c r="Q183" i="13"/>
  <c r="P183" i="13"/>
  <c r="O183" i="13"/>
  <c r="N183" i="13"/>
  <c r="M183" i="13"/>
  <c r="L183" i="13"/>
  <c r="K183" i="13"/>
  <c r="J183" i="13"/>
  <c r="I183" i="13"/>
  <c r="H183" i="13"/>
  <c r="G183" i="13"/>
  <c r="F183" i="13"/>
  <c r="E183" i="13"/>
  <c r="Q146" i="13"/>
  <c r="P146" i="13"/>
  <c r="O146" i="13"/>
  <c r="N146" i="13"/>
  <c r="M146" i="13"/>
  <c r="L146" i="13"/>
  <c r="J146" i="13"/>
  <c r="I146" i="13"/>
  <c r="H146" i="13"/>
  <c r="G146" i="13"/>
  <c r="F146" i="13"/>
  <c r="E146" i="13"/>
  <c r="Q101" i="13"/>
  <c r="P101" i="13"/>
  <c r="O101" i="13"/>
  <c r="N101" i="13"/>
  <c r="M101" i="13"/>
  <c r="L101" i="13"/>
  <c r="K101" i="13"/>
  <c r="J101" i="13"/>
  <c r="I101" i="13"/>
  <c r="H101" i="13"/>
  <c r="G101" i="13"/>
  <c r="F101" i="13"/>
  <c r="E101" i="13"/>
  <c r="Q72" i="13"/>
  <c r="P72" i="13"/>
  <c r="O72" i="13"/>
  <c r="N72" i="13"/>
  <c r="M72" i="13"/>
  <c r="L72" i="13"/>
  <c r="K72" i="13"/>
  <c r="J72" i="13"/>
  <c r="I72" i="13"/>
  <c r="H72" i="13"/>
  <c r="G72" i="13"/>
  <c r="F72" i="13"/>
  <c r="E72" i="13"/>
  <c r="Q23" i="13"/>
  <c r="P23" i="13"/>
  <c r="O23" i="13"/>
  <c r="N23" i="13"/>
  <c r="M23" i="13"/>
  <c r="L23" i="13"/>
  <c r="K23" i="13"/>
  <c r="J23" i="13"/>
  <c r="H23" i="13"/>
  <c r="G23" i="13"/>
  <c r="F23" i="13"/>
  <c r="E23" i="13"/>
  <c r="Q11" i="13"/>
  <c r="P11" i="13"/>
  <c r="O11" i="13"/>
  <c r="N11" i="13"/>
  <c r="M11" i="13"/>
  <c r="L11" i="13"/>
  <c r="K11" i="13"/>
  <c r="J11" i="13"/>
  <c r="I11" i="13"/>
  <c r="H11" i="13"/>
  <c r="G11" i="13"/>
  <c r="F11" i="13"/>
  <c r="E11" i="13"/>
  <c r="E316" i="13" l="1"/>
  <c r="E306" i="13" s="1"/>
  <c r="G316" i="13"/>
  <c r="G306" i="13" s="1"/>
  <c r="G295" i="13" s="1"/>
  <c r="I316" i="13"/>
  <c r="I306" i="13" s="1"/>
  <c r="I295" i="13" s="1"/>
  <c r="K316" i="13"/>
  <c r="K306" i="13" s="1"/>
  <c r="K295" i="13" s="1"/>
  <c r="M316" i="13"/>
  <c r="M306" i="13" s="1"/>
  <c r="M295" i="13" s="1"/>
  <c r="O316" i="13"/>
  <c r="O306" i="13" s="1"/>
  <c r="O295" i="13" s="1"/>
  <c r="Q316" i="13"/>
  <c r="Q306" i="13" s="1"/>
  <c r="Q295" i="13" s="1"/>
  <c r="F316" i="13"/>
  <c r="F306" i="13" s="1"/>
  <c r="F295" i="13" s="1"/>
  <c r="H316" i="13"/>
  <c r="J316" i="13"/>
  <c r="J306" i="13" s="1"/>
  <c r="J295" i="13" s="1"/>
  <c r="L316" i="13"/>
  <c r="L306" i="13" s="1"/>
  <c r="L295" i="13" s="1"/>
  <c r="N316" i="13"/>
  <c r="N306" i="13" s="1"/>
  <c r="N295" i="13" s="1"/>
  <c r="P316" i="13"/>
  <c r="P306" i="13" s="1"/>
  <c r="P295" i="13" s="1"/>
  <c r="W29" i="16"/>
  <c r="W10" i="16"/>
  <c r="W84" i="16"/>
  <c r="V10" i="16"/>
  <c r="V29" i="16"/>
  <c r="W72" i="16"/>
  <c r="V55" i="16"/>
  <c r="V44" i="16"/>
  <c r="W55" i="16"/>
  <c r="V72" i="16"/>
  <c r="W44" i="16"/>
  <c r="W430" i="13"/>
  <c r="E10" i="13"/>
  <c r="G10" i="13"/>
  <c r="I10" i="13"/>
  <c r="M10" i="13"/>
  <c r="O10" i="13"/>
  <c r="Q10" i="13"/>
  <c r="H10" i="13"/>
  <c r="J10" i="13"/>
  <c r="L10" i="13"/>
  <c r="N10" i="13"/>
  <c r="P10" i="13"/>
  <c r="F10" i="13"/>
  <c r="L279" i="13"/>
  <c r="J287" i="13"/>
  <c r="P287" i="13"/>
  <c r="H279" i="13"/>
  <c r="P279" i="13"/>
  <c r="F279" i="13"/>
  <c r="J279" i="13"/>
  <c r="N279" i="13"/>
  <c r="F287" i="13"/>
  <c r="N287" i="13"/>
  <c r="P339" i="13"/>
  <c r="H339" i="13"/>
  <c r="E279" i="13"/>
  <c r="I279" i="13"/>
  <c r="K279" i="13"/>
  <c r="O279" i="13"/>
  <c r="Q279" i="13"/>
  <c r="E287" i="13"/>
  <c r="G287" i="13"/>
  <c r="I287" i="13"/>
  <c r="K287" i="13"/>
  <c r="M287" i="13"/>
  <c r="O287" i="13"/>
  <c r="Q287" i="13"/>
  <c r="W372" i="13"/>
  <c r="K182" i="13"/>
  <c r="O182" i="13"/>
  <c r="J339" i="13"/>
  <c r="L339" i="13"/>
  <c r="I339" i="13"/>
  <c r="M339" i="13"/>
  <c r="Q339" i="13"/>
  <c r="V11" i="13"/>
  <c r="N339" i="13"/>
  <c r="V290" i="13"/>
  <c r="L287" i="13"/>
  <c r="E295" i="13"/>
  <c r="M279" i="13"/>
  <c r="G279" i="13"/>
  <c r="M182" i="13"/>
  <c r="I182" i="13"/>
  <c r="G182" i="13"/>
  <c r="E182" i="13"/>
  <c r="J182" i="13"/>
  <c r="Q182" i="13"/>
  <c r="P182" i="13"/>
  <c r="N182" i="13"/>
  <c r="L182" i="13"/>
  <c r="F182" i="13"/>
  <c r="V183" i="13"/>
  <c r="V101" i="13"/>
  <c r="W283" i="13"/>
  <c r="W446" i="13"/>
  <c r="H182" i="13"/>
  <c r="V280" i="13"/>
  <c r="H287" i="13"/>
  <c r="V296" i="13"/>
  <c r="V320" i="13"/>
  <c r="V336" i="13"/>
  <c r="V340" i="13"/>
  <c r="E339" i="13"/>
  <c r="G339" i="13"/>
  <c r="W445" i="13"/>
  <c r="W443" i="13"/>
  <c r="W438" i="13"/>
  <c r="W431" i="13"/>
  <c r="W428" i="13"/>
  <c r="W427" i="13"/>
  <c r="W420" i="13"/>
  <c r="W419" i="13"/>
  <c r="W412" i="13"/>
  <c r="W403" i="13"/>
  <c r="W402" i="13"/>
  <c r="W393" i="13"/>
  <c r="W380" i="13"/>
  <c r="W389" i="13"/>
  <c r="F339" i="13"/>
  <c r="W364" i="13"/>
  <c r="W363" i="13"/>
  <c r="W348" i="13"/>
  <c r="W327" i="13"/>
  <c r="W288" i="13"/>
  <c r="V262" i="13"/>
  <c r="W258" i="13"/>
  <c r="W225" i="13"/>
  <c r="V146" i="13"/>
  <c r="W146" i="13"/>
  <c r="W101" i="13"/>
  <c r="V72" i="13"/>
  <c r="W72" i="13"/>
  <c r="W23" i="13"/>
  <c r="W11" i="13"/>
  <c r="V23" i="13"/>
  <c r="W183" i="13"/>
  <c r="V225" i="13"/>
  <c r="V258" i="13"/>
  <c r="W262" i="13"/>
  <c r="W280" i="13"/>
  <c r="V283" i="13"/>
  <c r="V288" i="13"/>
  <c r="W290" i="13"/>
  <c r="W296" i="13"/>
  <c r="W320" i="13"/>
  <c r="V327" i="13"/>
  <c r="W336" i="13"/>
  <c r="W340" i="13"/>
  <c r="V348" i="13"/>
  <c r="W316" i="13" l="1"/>
  <c r="V316" i="13"/>
  <c r="H306" i="13"/>
  <c r="V279" i="13"/>
  <c r="W287" i="13"/>
  <c r="W279" i="13"/>
  <c r="V287" i="13"/>
  <c r="V339" i="13"/>
  <c r="V343" i="13"/>
  <c r="W343" i="13"/>
  <c r="V182" i="13"/>
  <c r="W182" i="13"/>
  <c r="W10" i="13"/>
  <c r="W339" i="13"/>
  <c r="V10" i="13"/>
  <c r="W306" i="13" l="1"/>
  <c r="H295" i="13"/>
  <c r="V306" i="13"/>
  <c r="V295" i="13" l="1"/>
  <c r="W295" i="13"/>
  <c r="DT45" i="3"/>
  <c r="DV45" i="3" s="1"/>
  <c r="DR45" i="3"/>
  <c r="DQ45" i="3"/>
  <c r="DM45" i="3"/>
  <c r="DO45" i="3" s="1"/>
  <c r="DK45" i="3"/>
  <c r="DJ45" i="3"/>
  <c r="DT14" i="3"/>
  <c r="DR14" i="3"/>
  <c r="DQ14" i="3"/>
  <c r="DM14" i="3"/>
  <c r="DK14" i="3"/>
  <c r="DJ14" i="3"/>
  <c r="BU45" i="3"/>
  <c r="BT45" i="3"/>
  <c r="BR45" i="3"/>
  <c r="BQ45" i="3"/>
  <c r="BS45" i="3" s="1"/>
  <c r="BN45" i="3"/>
  <c r="BM45" i="3"/>
  <c r="BO45" i="3" s="1"/>
  <c r="BK45" i="3"/>
  <c r="BJ45" i="3"/>
  <c r="BU14" i="3"/>
  <c r="BT14" i="3"/>
  <c r="BR14" i="3"/>
  <c r="BQ14" i="3"/>
  <c r="BN14" i="3"/>
  <c r="BM14" i="3"/>
  <c r="BK14" i="3"/>
  <c r="BJ14" i="3"/>
  <c r="T45" i="3"/>
  <c r="V45" i="3" s="1"/>
  <c r="R45" i="3"/>
  <c r="Q45" i="3"/>
  <c r="M45" i="3"/>
  <c r="O45" i="3" s="1"/>
  <c r="K45" i="3"/>
  <c r="J45" i="3"/>
  <c r="T14" i="3"/>
  <c r="R14" i="3"/>
  <c r="Q14" i="3"/>
  <c r="M14" i="3"/>
  <c r="K14" i="3"/>
  <c r="J14" i="3"/>
  <c r="L14" i="3" s="1"/>
  <c r="W45" i="3"/>
  <c r="L45" i="3"/>
  <c r="S45" i="3" l="1"/>
  <c r="BV45" i="3"/>
  <c r="BP45" i="3"/>
  <c r="DL45" i="3"/>
  <c r="DS45" i="3"/>
  <c r="DP45" i="3"/>
  <c r="BL45" i="3"/>
  <c r="P45" i="3"/>
  <c r="BC14" i="3"/>
  <c r="BI14" i="3" s="1"/>
  <c r="R30" i="3"/>
  <c r="K30" i="3"/>
  <c r="D30" i="3"/>
  <c r="BY61" i="3"/>
  <c r="CA61" i="3"/>
  <c r="BX61" i="3"/>
  <c r="BY62" i="3"/>
  <c r="BV61" i="3"/>
  <c r="BI30" i="3"/>
  <c r="DW45" i="3"/>
  <c r="DW46" i="3"/>
  <c r="DW47" i="3"/>
  <c r="DW48" i="3"/>
  <c r="DW49" i="3"/>
  <c r="DW50" i="3"/>
  <c r="DW51" i="3"/>
  <c r="DW52" i="3"/>
  <c r="DW53" i="3"/>
  <c r="DW54" i="3"/>
  <c r="DW55" i="3"/>
  <c r="DW56" i="3"/>
  <c r="DW57" i="3"/>
  <c r="DW58" i="3"/>
  <c r="DW59" i="3"/>
  <c r="DW60" i="3"/>
  <c r="DW61" i="3"/>
  <c r="DW62" i="3"/>
  <c r="DW63" i="3"/>
  <c r="DW64" i="3"/>
  <c r="DW65" i="3"/>
  <c r="DW66" i="3"/>
  <c r="DW67" i="3"/>
  <c r="DW68" i="3"/>
  <c r="DW69" i="3"/>
  <c r="DW44" i="3"/>
  <c r="DW14" i="3"/>
  <c r="DW15" i="3"/>
  <c r="DW16" i="3"/>
  <c r="DW17" i="3"/>
  <c r="DW18" i="3"/>
  <c r="DW19" i="3"/>
  <c r="DW20" i="3"/>
  <c r="DW21" i="3"/>
  <c r="DW22" i="3"/>
  <c r="DW23" i="3"/>
  <c r="DW24" i="3"/>
  <c r="DW25" i="3"/>
  <c r="DW26" i="3"/>
  <c r="DW27" i="3"/>
  <c r="DW28" i="3"/>
  <c r="DW29" i="3"/>
  <c r="DW30" i="3"/>
  <c r="DW31" i="3"/>
  <c r="DW32" i="3"/>
  <c r="DW33" i="3"/>
  <c r="DW34" i="3"/>
  <c r="DW35" i="3"/>
  <c r="DW36" i="3"/>
  <c r="DW37" i="3"/>
  <c r="DW38" i="3"/>
  <c r="DW13" i="3"/>
  <c r="DP69" i="3"/>
  <c r="DP68" i="3"/>
  <c r="DP67" i="3"/>
  <c r="DP66" i="3"/>
  <c r="DP65" i="3"/>
  <c r="DP64" i="3"/>
  <c r="DP63" i="3"/>
  <c r="DP62" i="3"/>
  <c r="DP61" i="3"/>
  <c r="DP60" i="3"/>
  <c r="DP59" i="3"/>
  <c r="DP58" i="3"/>
  <c r="DP57" i="3"/>
  <c r="DP56" i="3"/>
  <c r="DP55" i="3"/>
  <c r="DP54" i="3"/>
  <c r="DP53" i="3"/>
  <c r="DP52" i="3"/>
  <c r="DP51" i="3"/>
  <c r="DP50" i="3"/>
  <c r="DP49" i="3"/>
  <c r="DP48" i="3"/>
  <c r="DP47" i="3"/>
  <c r="DP46" i="3"/>
  <c r="DP44" i="3"/>
  <c r="DP38" i="3"/>
  <c r="DP37" i="3"/>
  <c r="DP36" i="3"/>
  <c r="DP35" i="3"/>
  <c r="DP34" i="3"/>
  <c r="DP33" i="3"/>
  <c r="DP32" i="3"/>
  <c r="DP31" i="3"/>
  <c r="DP30" i="3"/>
  <c r="DP29" i="3"/>
  <c r="DP28" i="3"/>
  <c r="DP27" i="3"/>
  <c r="DP26" i="3"/>
  <c r="DP25" i="3"/>
  <c r="DP24" i="3"/>
  <c r="DP23" i="3"/>
  <c r="DP22" i="3"/>
  <c r="DP21" i="3"/>
  <c r="DP20" i="3"/>
  <c r="DP19" i="3"/>
  <c r="DP18" i="3"/>
  <c r="DP17" i="3"/>
  <c r="DP16" i="3"/>
  <c r="DP15" i="3"/>
  <c r="DP14" i="3"/>
  <c r="DP13" i="3"/>
  <c r="DI69" i="3"/>
  <c r="ED69" i="3" s="1"/>
  <c r="DI68" i="3"/>
  <c r="DI67" i="3"/>
  <c r="DI66" i="3"/>
  <c r="ED66" i="3" s="1"/>
  <c r="DI65" i="3"/>
  <c r="DI64" i="3"/>
  <c r="ED64" i="3" s="1"/>
  <c r="DI63" i="3"/>
  <c r="ED63" i="3" s="1"/>
  <c r="DI62" i="3"/>
  <c r="ED62" i="3" s="1"/>
  <c r="DI61" i="3"/>
  <c r="ED61" i="3" s="1"/>
  <c r="DI60" i="3"/>
  <c r="ED60" i="3" s="1"/>
  <c r="DI59" i="3"/>
  <c r="ED59" i="3" s="1"/>
  <c r="DI58" i="3"/>
  <c r="ED58" i="3" s="1"/>
  <c r="DI57" i="3"/>
  <c r="ED57" i="3" s="1"/>
  <c r="DI56" i="3"/>
  <c r="ED56" i="3" s="1"/>
  <c r="DI55" i="3"/>
  <c r="ED55" i="3" s="1"/>
  <c r="DI54" i="3"/>
  <c r="ED54" i="3" s="1"/>
  <c r="DI53" i="3"/>
  <c r="ED53" i="3" s="1"/>
  <c r="DI52" i="3"/>
  <c r="ED52" i="3" s="1"/>
  <c r="DI51" i="3"/>
  <c r="ED51" i="3" s="1"/>
  <c r="DI50" i="3"/>
  <c r="ED50" i="3" s="1"/>
  <c r="DI49" i="3"/>
  <c r="ED49" i="3" s="1"/>
  <c r="DI48" i="3"/>
  <c r="ED48" i="3" s="1"/>
  <c r="DI47" i="3"/>
  <c r="ED47" i="3" s="1"/>
  <c r="DI46" i="3"/>
  <c r="ED46" i="3" s="1"/>
  <c r="DI45" i="3"/>
  <c r="DI44" i="3"/>
  <c r="ED44" i="3" s="1"/>
  <c r="DI14" i="3"/>
  <c r="DI15" i="3"/>
  <c r="ED15" i="3" s="1"/>
  <c r="DI16" i="3"/>
  <c r="ED16" i="3" s="1"/>
  <c r="DI17" i="3"/>
  <c r="ED17" i="3" s="1"/>
  <c r="DI18" i="3"/>
  <c r="ED18" i="3" s="1"/>
  <c r="DI19" i="3"/>
  <c r="ED19" i="3" s="1"/>
  <c r="DI20" i="3"/>
  <c r="ED20" i="3" s="1"/>
  <c r="DI21" i="3"/>
  <c r="ED21" i="3" s="1"/>
  <c r="DI22" i="3"/>
  <c r="ED22" i="3" s="1"/>
  <c r="DI23" i="3"/>
  <c r="ED23" i="3" s="1"/>
  <c r="DI24" i="3"/>
  <c r="ED24" i="3" s="1"/>
  <c r="DI25" i="3"/>
  <c r="ED25" i="3" s="1"/>
  <c r="DI26" i="3"/>
  <c r="ED26" i="3" s="1"/>
  <c r="DI27" i="3"/>
  <c r="ED27" i="3" s="1"/>
  <c r="DI28" i="3"/>
  <c r="ED28" i="3" s="1"/>
  <c r="DI29" i="3"/>
  <c r="ED29" i="3" s="1"/>
  <c r="DI30" i="3"/>
  <c r="ED30" i="3" s="1"/>
  <c r="DI31" i="3"/>
  <c r="ED31" i="3" s="1"/>
  <c r="DI32" i="3"/>
  <c r="ED32" i="3" s="1"/>
  <c r="DI33" i="3"/>
  <c r="ED33" i="3" s="1"/>
  <c r="DI34" i="3"/>
  <c r="DI35" i="3"/>
  <c r="ED35" i="3" s="1"/>
  <c r="DI36" i="3"/>
  <c r="DI37" i="3"/>
  <c r="DI38" i="3"/>
  <c r="ED38" i="3" s="1"/>
  <c r="DI13" i="3"/>
  <c r="DI39" i="3" s="1"/>
  <c r="BW69" i="3"/>
  <c r="BW68" i="3"/>
  <c r="BW67" i="3"/>
  <c r="BW66" i="3"/>
  <c r="BW65" i="3"/>
  <c r="BW64" i="3"/>
  <c r="BW63" i="3"/>
  <c r="BW62" i="3"/>
  <c r="BW61" i="3"/>
  <c r="BW60" i="3"/>
  <c r="BW59" i="3"/>
  <c r="BW58" i="3"/>
  <c r="BW57" i="3"/>
  <c r="BW56" i="3"/>
  <c r="BW55" i="3"/>
  <c r="BW54" i="3"/>
  <c r="BW53" i="3"/>
  <c r="BW52" i="3"/>
  <c r="BW51" i="3"/>
  <c r="BW50" i="3"/>
  <c r="BW49" i="3"/>
  <c r="BW48" i="3"/>
  <c r="BW47" i="3"/>
  <c r="BW46" i="3"/>
  <c r="BW45" i="3"/>
  <c r="BW44" i="3"/>
  <c r="BW70" i="3" s="1"/>
  <c r="BP69" i="3"/>
  <c r="BP68" i="3"/>
  <c r="BP67" i="3"/>
  <c r="BP66" i="3"/>
  <c r="BP65" i="3"/>
  <c r="BP64" i="3"/>
  <c r="BP63" i="3"/>
  <c r="BP62" i="3"/>
  <c r="BP61" i="3"/>
  <c r="BP60" i="3"/>
  <c r="BP59" i="3"/>
  <c r="BP58" i="3"/>
  <c r="BP57" i="3"/>
  <c r="BP56" i="3"/>
  <c r="BP55" i="3"/>
  <c r="BP54" i="3"/>
  <c r="BP53" i="3"/>
  <c r="BP52" i="3"/>
  <c r="BP51" i="3"/>
  <c r="BP50" i="3"/>
  <c r="BP49" i="3"/>
  <c r="BP48" i="3"/>
  <c r="BP47" i="3"/>
  <c r="BP46" i="3"/>
  <c r="BP44" i="3"/>
  <c r="BI69" i="3"/>
  <c r="BI68" i="3"/>
  <c r="BI67" i="3"/>
  <c r="BI66" i="3"/>
  <c r="BI65" i="3"/>
  <c r="BI64" i="3"/>
  <c r="BI63" i="3"/>
  <c r="BI62" i="3"/>
  <c r="CD62" i="3" s="1"/>
  <c r="BI61" i="3"/>
  <c r="CD61" i="3" s="1"/>
  <c r="BI60" i="3"/>
  <c r="CD60" i="3" s="1"/>
  <c r="BI59" i="3"/>
  <c r="CD59" i="3" s="1"/>
  <c r="BI58" i="3"/>
  <c r="CD58" i="3" s="1"/>
  <c r="BI57" i="3"/>
  <c r="CD57" i="3" s="1"/>
  <c r="BI56" i="3"/>
  <c r="CD56" i="3" s="1"/>
  <c r="BI55" i="3"/>
  <c r="CD55" i="3" s="1"/>
  <c r="BI54" i="3"/>
  <c r="CD54" i="3" s="1"/>
  <c r="BI53" i="3"/>
  <c r="CD53" i="3" s="1"/>
  <c r="BI52" i="3"/>
  <c r="CD52" i="3" s="1"/>
  <c r="BI51" i="3"/>
  <c r="CD51" i="3" s="1"/>
  <c r="BI50" i="3"/>
  <c r="CD50" i="3" s="1"/>
  <c r="BI49" i="3"/>
  <c r="CD49" i="3" s="1"/>
  <c r="BI48" i="3"/>
  <c r="CD48" i="3" s="1"/>
  <c r="BI47" i="3"/>
  <c r="CD47" i="3" s="1"/>
  <c r="BI46" i="3"/>
  <c r="CD46" i="3" s="1"/>
  <c r="BI45" i="3"/>
  <c r="CD45" i="3" s="1"/>
  <c r="BI44" i="3"/>
  <c r="BW38" i="3"/>
  <c r="BW37" i="3"/>
  <c r="BW36" i="3"/>
  <c r="BW35" i="3"/>
  <c r="BW34" i="3"/>
  <c r="BW33" i="3"/>
  <c r="BW32" i="3"/>
  <c r="BW31" i="3"/>
  <c r="BW30" i="3"/>
  <c r="BW29" i="3"/>
  <c r="BW28" i="3"/>
  <c r="BW27" i="3"/>
  <c r="BW26" i="3"/>
  <c r="BW25" i="3"/>
  <c r="BW24" i="3"/>
  <c r="BW23" i="3"/>
  <c r="BW22" i="3"/>
  <c r="BW21" i="3"/>
  <c r="BW20" i="3"/>
  <c r="BW19" i="3"/>
  <c r="BW18" i="3"/>
  <c r="BW17" i="3"/>
  <c r="BW16" i="3"/>
  <c r="BW15" i="3"/>
  <c r="BW14" i="3"/>
  <c r="BW13" i="3"/>
  <c r="BP38" i="3"/>
  <c r="BP37" i="3"/>
  <c r="BP36" i="3"/>
  <c r="BP35" i="3"/>
  <c r="BP34" i="3"/>
  <c r="BP33" i="3"/>
  <c r="BP32" i="3"/>
  <c r="BP31" i="3"/>
  <c r="BP30" i="3"/>
  <c r="CD30" i="3" s="1"/>
  <c r="BP29" i="3"/>
  <c r="BP28" i="3"/>
  <c r="BP27" i="3"/>
  <c r="BP26" i="3"/>
  <c r="BP25" i="3"/>
  <c r="BP24" i="3"/>
  <c r="BP23" i="3"/>
  <c r="BP22" i="3"/>
  <c r="BP21" i="3"/>
  <c r="BP20" i="3"/>
  <c r="BP19" i="3"/>
  <c r="BP18" i="3"/>
  <c r="BP17" i="3"/>
  <c r="BP16" i="3"/>
  <c r="BP15" i="3"/>
  <c r="BP14" i="3"/>
  <c r="BP13" i="3"/>
  <c r="BI15" i="3"/>
  <c r="CD15" i="3" s="1"/>
  <c r="BI16" i="3"/>
  <c r="BI17" i="3"/>
  <c r="CD17" i="3" s="1"/>
  <c r="BI18" i="3"/>
  <c r="BI19" i="3"/>
  <c r="CD19" i="3" s="1"/>
  <c r="BI20" i="3"/>
  <c r="BI21" i="3"/>
  <c r="CD21" i="3" s="1"/>
  <c r="BI22" i="3"/>
  <c r="CD22" i="3" s="1"/>
  <c r="BI23" i="3"/>
  <c r="CD23" i="3" s="1"/>
  <c r="BI24" i="3"/>
  <c r="CD24" i="3" s="1"/>
  <c r="BI25" i="3"/>
  <c r="CD25" i="3" s="1"/>
  <c r="BI26" i="3"/>
  <c r="CD26" i="3" s="1"/>
  <c r="BI27" i="3"/>
  <c r="CD27" i="3" s="1"/>
  <c r="BI28" i="3"/>
  <c r="CD28" i="3" s="1"/>
  <c r="BI29" i="3"/>
  <c r="CD29" i="3" s="1"/>
  <c r="BI31" i="3"/>
  <c r="CD31" i="3" s="1"/>
  <c r="BI32" i="3"/>
  <c r="BI33" i="3"/>
  <c r="CD33" i="3" s="1"/>
  <c r="BI34" i="3"/>
  <c r="BI35" i="3"/>
  <c r="CD35" i="3" s="1"/>
  <c r="BI36" i="3"/>
  <c r="BI37" i="3"/>
  <c r="BI38" i="3"/>
  <c r="BI13" i="3"/>
  <c r="W69" i="3"/>
  <c r="W68" i="3"/>
  <c r="W67" i="3"/>
  <c r="W66" i="3"/>
  <c r="W65" i="3"/>
  <c r="W64" i="3"/>
  <c r="W63" i="3"/>
  <c r="W62" i="3"/>
  <c r="W61" i="3"/>
  <c r="W60" i="3"/>
  <c r="W59" i="3"/>
  <c r="W58" i="3"/>
  <c r="W57" i="3"/>
  <c r="W56" i="3"/>
  <c r="W55" i="3"/>
  <c r="W54" i="3"/>
  <c r="W53" i="3"/>
  <c r="W52" i="3"/>
  <c r="W51" i="3"/>
  <c r="W50" i="3"/>
  <c r="W49" i="3"/>
  <c r="W48" i="3"/>
  <c r="W47" i="3"/>
  <c r="W46" i="3"/>
  <c r="W44" i="3"/>
  <c r="W38" i="3"/>
  <c r="W37" i="3"/>
  <c r="W36" i="3"/>
  <c r="W35" i="3"/>
  <c r="W34" i="3"/>
  <c r="W33" i="3"/>
  <c r="W32" i="3"/>
  <c r="W31" i="3"/>
  <c r="W30" i="3"/>
  <c r="W29" i="3"/>
  <c r="W28" i="3"/>
  <c r="W27" i="3"/>
  <c r="W26" i="3"/>
  <c r="W25" i="3"/>
  <c r="W24" i="3"/>
  <c r="W23" i="3"/>
  <c r="W22" i="3"/>
  <c r="W21" i="3"/>
  <c r="W20" i="3"/>
  <c r="W19" i="3"/>
  <c r="W18" i="3"/>
  <c r="W17" i="3"/>
  <c r="W16" i="3"/>
  <c r="W15" i="3"/>
  <c r="W14" i="3"/>
  <c r="W13" i="3"/>
  <c r="P69" i="3"/>
  <c r="P68" i="3"/>
  <c r="P67" i="3"/>
  <c r="P66" i="3"/>
  <c r="P65" i="3"/>
  <c r="P64" i="3"/>
  <c r="P63" i="3"/>
  <c r="P62" i="3"/>
  <c r="P61" i="3"/>
  <c r="P60" i="3"/>
  <c r="P59" i="3"/>
  <c r="P58" i="3"/>
  <c r="P57" i="3"/>
  <c r="P56" i="3"/>
  <c r="P55" i="3"/>
  <c r="P54" i="3"/>
  <c r="P53" i="3"/>
  <c r="P52" i="3"/>
  <c r="P51" i="3"/>
  <c r="P50" i="3"/>
  <c r="P49" i="3"/>
  <c r="P48" i="3"/>
  <c r="P47" i="3"/>
  <c r="P46" i="3"/>
  <c r="P44" i="3"/>
  <c r="P38" i="3"/>
  <c r="P37" i="3"/>
  <c r="P36" i="3"/>
  <c r="P35" i="3"/>
  <c r="P34" i="3"/>
  <c r="P33" i="3"/>
  <c r="P32" i="3"/>
  <c r="P31" i="3"/>
  <c r="P30" i="3"/>
  <c r="P29" i="3"/>
  <c r="P28" i="3"/>
  <c r="P27" i="3"/>
  <c r="P26" i="3"/>
  <c r="P25" i="3"/>
  <c r="P24" i="3"/>
  <c r="P23" i="3"/>
  <c r="P22" i="3"/>
  <c r="P21" i="3"/>
  <c r="P20" i="3"/>
  <c r="P19" i="3"/>
  <c r="P18" i="3"/>
  <c r="P17" i="3"/>
  <c r="P16" i="3"/>
  <c r="P15" i="3"/>
  <c r="P14" i="3"/>
  <c r="P13" i="3"/>
  <c r="I44" i="3"/>
  <c r="AD44" i="3" s="1"/>
  <c r="I69" i="3"/>
  <c r="AD69" i="3" s="1"/>
  <c r="I68" i="3"/>
  <c r="I67" i="3"/>
  <c r="AD67" i="3" s="1"/>
  <c r="I66" i="3"/>
  <c r="I65" i="3"/>
  <c r="I64" i="3"/>
  <c r="AD64" i="3" s="1"/>
  <c r="I63" i="3"/>
  <c r="I62" i="3"/>
  <c r="AD62" i="3" s="1"/>
  <c r="I61" i="3"/>
  <c r="I60" i="3"/>
  <c r="AD60" i="3" s="1"/>
  <c r="I59" i="3"/>
  <c r="AD59" i="3" s="1"/>
  <c r="I58" i="3"/>
  <c r="AD58" i="3" s="1"/>
  <c r="I57" i="3"/>
  <c r="AD57" i="3" s="1"/>
  <c r="I56" i="3"/>
  <c r="AD56" i="3" s="1"/>
  <c r="I55" i="3"/>
  <c r="AD55" i="3" s="1"/>
  <c r="I54" i="3"/>
  <c r="AD54" i="3" s="1"/>
  <c r="I53" i="3"/>
  <c r="AD53" i="3" s="1"/>
  <c r="I52" i="3"/>
  <c r="AD52" i="3" s="1"/>
  <c r="I51" i="3"/>
  <c r="AD51" i="3" s="1"/>
  <c r="I50" i="3"/>
  <c r="AD50" i="3" s="1"/>
  <c r="I49" i="3"/>
  <c r="AD49" i="3" s="1"/>
  <c r="I48" i="3"/>
  <c r="AD48" i="3" s="1"/>
  <c r="I47" i="3"/>
  <c r="AD47" i="3" s="1"/>
  <c r="I46" i="3"/>
  <c r="AD46" i="3" s="1"/>
  <c r="I45" i="3"/>
  <c r="AD45" i="3" s="1"/>
  <c r="I14" i="3"/>
  <c r="I15" i="3"/>
  <c r="AD15" i="3" s="1"/>
  <c r="I16" i="3"/>
  <c r="AD16" i="3" s="1"/>
  <c r="I17" i="3"/>
  <c r="AD17" i="3" s="1"/>
  <c r="I18" i="3"/>
  <c r="AD18" i="3" s="1"/>
  <c r="I19" i="3"/>
  <c r="AD19" i="3" s="1"/>
  <c r="I20" i="3"/>
  <c r="AD20" i="3" s="1"/>
  <c r="I21" i="3"/>
  <c r="AD21" i="3" s="1"/>
  <c r="I22" i="3"/>
  <c r="AD22" i="3" s="1"/>
  <c r="I23" i="3"/>
  <c r="AD23" i="3" s="1"/>
  <c r="I24" i="3"/>
  <c r="AD24" i="3" s="1"/>
  <c r="I25" i="3"/>
  <c r="AD25" i="3" s="1"/>
  <c r="I26" i="3"/>
  <c r="AD26" i="3" s="1"/>
  <c r="I27" i="3"/>
  <c r="AD27" i="3" s="1"/>
  <c r="I28" i="3"/>
  <c r="AD28" i="3" s="1"/>
  <c r="I29" i="3"/>
  <c r="AD29" i="3" s="1"/>
  <c r="I30" i="3"/>
  <c r="I31" i="3"/>
  <c r="AD31" i="3" s="1"/>
  <c r="I32" i="3"/>
  <c r="I33" i="3"/>
  <c r="AD33" i="3" s="1"/>
  <c r="I34" i="3"/>
  <c r="I35" i="3"/>
  <c r="I36" i="3"/>
  <c r="AD36" i="3" s="1"/>
  <c r="I37" i="3"/>
  <c r="I38" i="3"/>
  <c r="AD38" i="3" s="1"/>
  <c r="I13" i="3"/>
  <c r="AD13" i="3" s="1"/>
  <c r="DY60" i="3"/>
  <c r="DX60" i="3"/>
  <c r="DY29" i="3"/>
  <c r="DX29" i="3"/>
  <c r="DV29" i="3"/>
  <c r="BY29" i="3"/>
  <c r="BX29" i="3"/>
  <c r="BX60" i="3"/>
  <c r="BH60" i="3"/>
  <c r="DY54" i="3"/>
  <c r="EA54" i="3"/>
  <c r="DX54" i="3"/>
  <c r="DV54" i="3"/>
  <c r="DL54" i="3"/>
  <c r="DY23" i="3"/>
  <c r="EA23" i="3"/>
  <c r="DX23" i="3"/>
  <c r="BY23" i="3"/>
  <c r="CA23" i="3"/>
  <c r="BY54" i="3"/>
  <c r="CA54" i="3"/>
  <c r="BX54" i="3"/>
  <c r="BV54" i="3"/>
  <c r="BE54" i="3"/>
  <c r="BE23" i="3"/>
  <c r="P70" i="3" l="1"/>
  <c r="BI39" i="3"/>
  <c r="CD20" i="3"/>
  <c r="CD18" i="3"/>
  <c r="CD16" i="3"/>
  <c r="BP39" i="3"/>
  <c r="BW39" i="3"/>
  <c r="BI70" i="3"/>
  <c r="CD64" i="3"/>
  <c r="CD66" i="3"/>
  <c r="DW39" i="3"/>
  <c r="DW70" i="3"/>
  <c r="BP72" i="3"/>
  <c r="BP41" i="3"/>
  <c r="DP39" i="3"/>
  <c r="DP70" i="3"/>
  <c r="I39" i="3"/>
  <c r="AD14" i="3"/>
  <c r="W70" i="3"/>
  <c r="BW41" i="3"/>
  <c r="CD13" i="3"/>
  <c r="BW72" i="3"/>
  <c r="DW41" i="3"/>
  <c r="DW72" i="3"/>
  <c r="DI70" i="3"/>
  <c r="I70" i="3"/>
  <c r="P72" i="3"/>
  <c r="CD44" i="3"/>
  <c r="BP70" i="3"/>
  <c r="ED14" i="3"/>
  <c r="ED13" i="3"/>
  <c r="ED45" i="3"/>
  <c r="DP72" i="3"/>
  <c r="DP41" i="3"/>
  <c r="EL13" i="3"/>
  <c r="CL44" i="3"/>
  <c r="CD14" i="3"/>
  <c r="CL13" i="3" s="1"/>
  <c r="W41" i="3"/>
  <c r="P41" i="3"/>
  <c r="P39" i="3"/>
  <c r="W72" i="3"/>
  <c r="AD61" i="3"/>
  <c r="AL44" i="3" s="1"/>
  <c r="W39" i="3"/>
  <c r="AD30" i="3"/>
  <c r="AH13" i="3" s="1"/>
  <c r="EL44" i="3"/>
  <c r="EH13" i="3"/>
  <c r="EH44" i="3"/>
  <c r="CH13" i="3"/>
  <c r="CH44" i="3"/>
  <c r="AA64" i="3"/>
  <c r="X64" i="3"/>
  <c r="AA33" i="3"/>
  <c r="X33" i="3"/>
  <c r="AA67" i="3"/>
  <c r="V67" i="3"/>
  <c r="O67" i="3"/>
  <c r="AA36" i="3"/>
  <c r="V36" i="3"/>
  <c r="O36" i="3"/>
  <c r="L36" i="3"/>
  <c r="E36" i="3"/>
  <c r="E67" i="3"/>
  <c r="H67" i="3"/>
  <c r="H36" i="3"/>
  <c r="AL13" i="3" l="1"/>
  <c r="AT13" i="3" s="1"/>
  <c r="AH44" i="3"/>
  <c r="AT44" i="3" s="1"/>
  <c r="ET13" i="3"/>
  <c r="EP13" i="3"/>
  <c r="ET44" i="3"/>
  <c r="EP44" i="3"/>
  <c r="CT44" i="3"/>
  <c r="CP44" i="3"/>
  <c r="CP13" i="3"/>
  <c r="CT13" i="3"/>
  <c r="AC67" i="3"/>
  <c r="AC36" i="3"/>
  <c r="Y54" i="3"/>
  <c r="AA54" i="3"/>
  <c r="X54" i="3"/>
  <c r="Y23" i="3"/>
  <c r="AA23" i="3"/>
  <c r="X23" i="3"/>
  <c r="E23" i="3"/>
  <c r="AP13" i="3" l="1"/>
  <c r="AX13" i="3" s="1"/>
  <c r="BB13" i="3" s="1"/>
  <c r="AP44" i="3"/>
  <c r="AX63" i="3" s="1"/>
  <c r="BB63" i="3" s="1"/>
  <c r="EX68" i="3"/>
  <c r="FB68" i="3" s="1"/>
  <c r="EX65" i="3"/>
  <c r="FB65" i="3" s="1"/>
  <c r="EX46" i="3"/>
  <c r="FB46" i="3" s="1"/>
  <c r="EX66" i="3"/>
  <c r="FB66" i="3" s="1"/>
  <c r="EX44" i="3"/>
  <c r="FB44" i="3" s="1"/>
  <c r="EX47" i="3"/>
  <c r="FB47" i="3" s="1"/>
  <c r="EX63" i="3"/>
  <c r="FB63" i="3" s="1"/>
  <c r="EX51" i="3"/>
  <c r="FB51" i="3" s="1"/>
  <c r="EX67" i="3"/>
  <c r="FB67" i="3" s="1"/>
  <c r="EX49" i="3"/>
  <c r="FB49" i="3" s="1"/>
  <c r="EX56" i="3"/>
  <c r="FB56" i="3" s="1"/>
  <c r="EX62" i="3"/>
  <c r="FB62" i="3" s="1"/>
  <c r="EX61" i="3"/>
  <c r="FB61" i="3" s="1"/>
  <c r="EX52" i="3"/>
  <c r="FB52" i="3" s="1"/>
  <c r="EX58" i="3"/>
  <c r="FB58" i="3" s="1"/>
  <c r="EX45" i="3"/>
  <c r="FB45" i="3" s="1"/>
  <c r="EX59" i="3"/>
  <c r="FB59" i="3" s="1"/>
  <c r="EX57" i="3"/>
  <c r="FB57" i="3" s="1"/>
  <c r="EX64" i="3"/>
  <c r="FB64" i="3" s="1"/>
  <c r="EX48" i="3"/>
  <c r="FB48" i="3" s="1"/>
  <c r="EX54" i="3"/>
  <c r="FB54" i="3" s="1"/>
  <c r="EX55" i="3"/>
  <c r="FB55" i="3" s="1"/>
  <c r="EX53" i="3"/>
  <c r="FB53" i="3" s="1"/>
  <c r="EX60" i="3"/>
  <c r="FB60" i="3" s="1"/>
  <c r="EX69" i="3"/>
  <c r="FB69" i="3" s="1"/>
  <c r="EX50" i="3"/>
  <c r="FB50" i="3" s="1"/>
  <c r="EX36" i="3"/>
  <c r="FB36" i="3" s="1"/>
  <c r="EX14" i="3"/>
  <c r="FB14" i="3" s="1"/>
  <c r="EX18" i="3"/>
  <c r="FB18" i="3" s="1"/>
  <c r="EX26" i="3"/>
  <c r="FB26" i="3" s="1"/>
  <c r="EX34" i="3"/>
  <c r="FB34" i="3" s="1"/>
  <c r="EX21" i="3"/>
  <c r="FB21" i="3" s="1"/>
  <c r="EX29" i="3"/>
  <c r="FB29" i="3" s="1"/>
  <c r="EX37" i="3"/>
  <c r="FB37" i="3" s="1"/>
  <c r="EX22" i="3"/>
  <c r="FB22" i="3" s="1"/>
  <c r="EX30" i="3"/>
  <c r="FB30" i="3" s="1"/>
  <c r="EX38" i="3"/>
  <c r="FB38" i="3" s="1"/>
  <c r="EX33" i="3"/>
  <c r="FB33" i="3" s="1"/>
  <c r="EX31" i="3"/>
  <c r="FB31" i="3" s="1"/>
  <c r="EX15" i="3"/>
  <c r="FB15" i="3" s="1"/>
  <c r="EX13" i="3"/>
  <c r="FB13" i="3" s="1"/>
  <c r="EX24" i="3"/>
  <c r="FB24" i="3" s="1"/>
  <c r="EX25" i="3"/>
  <c r="FB25" i="3" s="1"/>
  <c r="EX27" i="3"/>
  <c r="FB27" i="3" s="1"/>
  <c r="EX35" i="3"/>
  <c r="FB35" i="3" s="1"/>
  <c r="EX20" i="3"/>
  <c r="FB20" i="3" s="1"/>
  <c r="EX23" i="3"/>
  <c r="FB23" i="3" s="1"/>
  <c r="EX32" i="3"/>
  <c r="FB32" i="3" s="1"/>
  <c r="EX16" i="3"/>
  <c r="FB16" i="3" s="1"/>
  <c r="EX19" i="3"/>
  <c r="FB19" i="3" s="1"/>
  <c r="EX17" i="3"/>
  <c r="FB17" i="3" s="1"/>
  <c r="EX28" i="3"/>
  <c r="FB28" i="3" s="1"/>
  <c r="CX37" i="3"/>
  <c r="DB37" i="3" s="1"/>
  <c r="CX38" i="3"/>
  <c r="DB38" i="3" s="1"/>
  <c r="CX19" i="3"/>
  <c r="DB19" i="3" s="1"/>
  <c r="CX28" i="3"/>
  <c r="DB28" i="3" s="1"/>
  <c r="CX34" i="3"/>
  <c r="DB34" i="3" s="1"/>
  <c r="CX36" i="3"/>
  <c r="DB36" i="3" s="1"/>
  <c r="CX13" i="3"/>
  <c r="DB13" i="3" s="1"/>
  <c r="CX15" i="3"/>
  <c r="DB15" i="3" s="1"/>
  <c r="CX32" i="3"/>
  <c r="DB32" i="3" s="1"/>
  <c r="CX22" i="3"/>
  <c r="DB22" i="3" s="1"/>
  <c r="CX31" i="3"/>
  <c r="DB31" i="3" s="1"/>
  <c r="CX30" i="3"/>
  <c r="DB30" i="3" s="1"/>
  <c r="CX35" i="3"/>
  <c r="DB35" i="3" s="1"/>
  <c r="CX16" i="3"/>
  <c r="DB16" i="3" s="1"/>
  <c r="CX33" i="3"/>
  <c r="DB33" i="3" s="1"/>
  <c r="CX27" i="3"/>
  <c r="DB27" i="3" s="1"/>
  <c r="CX26" i="3"/>
  <c r="DB26" i="3" s="1"/>
  <c r="CX29" i="3"/>
  <c r="DB29" i="3" s="1"/>
  <c r="CX24" i="3"/>
  <c r="DB24" i="3" s="1"/>
  <c r="CX23" i="3"/>
  <c r="DB23" i="3" s="1"/>
  <c r="CX17" i="3"/>
  <c r="DB17" i="3" s="1"/>
  <c r="CX25" i="3"/>
  <c r="DB25" i="3" s="1"/>
  <c r="CX20" i="3"/>
  <c r="DB20" i="3" s="1"/>
  <c r="CX18" i="3"/>
  <c r="DB18" i="3" s="1"/>
  <c r="CX21" i="3"/>
  <c r="DB21" i="3" s="1"/>
  <c r="CX14" i="3"/>
  <c r="DB14" i="3" s="1"/>
  <c r="CX63" i="3"/>
  <c r="DB63" i="3" s="1"/>
  <c r="CX67" i="3"/>
  <c r="DB67" i="3" s="1"/>
  <c r="CX68" i="3"/>
  <c r="DB68" i="3" s="1"/>
  <c r="CX66" i="3"/>
  <c r="DB66" i="3" s="1"/>
  <c r="CX64" i="3"/>
  <c r="DB64" i="3" s="1"/>
  <c r="CX44" i="3"/>
  <c r="DB44" i="3" s="1"/>
  <c r="CX65" i="3"/>
  <c r="DB65" i="3" s="1"/>
  <c r="CX69" i="3"/>
  <c r="DB69" i="3" s="1"/>
  <c r="CX59" i="3"/>
  <c r="DB59" i="3" s="1"/>
  <c r="CX62" i="3"/>
  <c r="DB62" i="3" s="1"/>
  <c r="CX57" i="3"/>
  <c r="DB57" i="3" s="1"/>
  <c r="CX48" i="3"/>
  <c r="DB48" i="3" s="1"/>
  <c r="CX46" i="3"/>
  <c r="DB46" i="3" s="1"/>
  <c r="CX55" i="3"/>
  <c r="DB55" i="3" s="1"/>
  <c r="CX58" i="3"/>
  <c r="DB58" i="3" s="1"/>
  <c r="CX53" i="3"/>
  <c r="DB53" i="3" s="1"/>
  <c r="CX60" i="3"/>
  <c r="DB60" i="3" s="1"/>
  <c r="CX51" i="3"/>
  <c r="DB51" i="3" s="1"/>
  <c r="CX54" i="3"/>
  <c r="DB54" i="3" s="1"/>
  <c r="CX49" i="3"/>
  <c r="DB49" i="3" s="1"/>
  <c r="CX56" i="3"/>
  <c r="DB56" i="3" s="1"/>
  <c r="CX47" i="3"/>
  <c r="DB47" i="3" s="1"/>
  <c r="CX50" i="3"/>
  <c r="DB50" i="3" s="1"/>
  <c r="CX61" i="3"/>
  <c r="DB61" i="3" s="1"/>
  <c r="CX45" i="3"/>
  <c r="DB45" i="3" s="1"/>
  <c r="CX52" i="3"/>
  <c r="DB52" i="3" s="1"/>
  <c r="BL23" i="3"/>
  <c r="BZ23" i="3" s="1"/>
  <c r="DQ41" i="3"/>
  <c r="DJ41" i="3"/>
  <c r="DQ72" i="3"/>
  <c r="DJ72" i="3"/>
  <c r="BQ72" i="3"/>
  <c r="BJ72" i="3"/>
  <c r="BQ41" i="3"/>
  <c r="BJ41" i="3"/>
  <c r="J72" i="3"/>
  <c r="Q72" i="3"/>
  <c r="Q41" i="3"/>
  <c r="J41" i="3"/>
  <c r="AX51" i="3" l="1"/>
  <c r="BB51" i="3" s="1"/>
  <c r="AX67" i="3"/>
  <c r="BB67" i="3" s="1"/>
  <c r="AX45" i="3"/>
  <c r="BB45" i="3" s="1"/>
  <c r="AX50" i="3"/>
  <c r="BB50" i="3" s="1"/>
  <c r="AX35" i="3"/>
  <c r="BB35" i="3" s="1"/>
  <c r="AX49" i="3"/>
  <c r="BB49" i="3" s="1"/>
  <c r="AX37" i="3"/>
  <c r="BB37" i="3" s="1"/>
  <c r="AX31" i="3"/>
  <c r="BB31" i="3" s="1"/>
  <c r="AX33" i="3"/>
  <c r="BB33" i="3" s="1"/>
  <c r="AX18" i="3"/>
  <c r="BB18" i="3" s="1"/>
  <c r="AX38" i="3"/>
  <c r="BB38" i="3" s="1"/>
  <c r="AX17" i="3"/>
  <c r="BB17" i="3" s="1"/>
  <c r="AX26" i="3"/>
  <c r="BB26" i="3" s="1"/>
  <c r="AX36" i="3"/>
  <c r="BB36" i="3" s="1"/>
  <c r="AX27" i="3"/>
  <c r="BB27" i="3" s="1"/>
  <c r="AX32" i="3"/>
  <c r="BB32" i="3" s="1"/>
  <c r="AX19" i="3"/>
  <c r="BB19" i="3" s="1"/>
  <c r="AX29" i="3"/>
  <c r="BB29" i="3" s="1"/>
  <c r="AX30" i="3"/>
  <c r="BB30" i="3" s="1"/>
  <c r="AX21" i="3"/>
  <c r="BB21" i="3" s="1"/>
  <c r="AX28" i="3"/>
  <c r="BB28" i="3" s="1"/>
  <c r="AX23" i="3"/>
  <c r="BB23" i="3" s="1"/>
  <c r="AX24" i="3"/>
  <c r="BB24" i="3" s="1"/>
  <c r="AX34" i="3"/>
  <c r="BB34" i="3" s="1"/>
  <c r="AX22" i="3"/>
  <c r="BB22" i="3" s="1"/>
  <c r="AX25" i="3"/>
  <c r="BB25" i="3" s="1"/>
  <c r="AX14" i="3"/>
  <c r="BB14" i="3" s="1"/>
  <c r="AX16" i="3"/>
  <c r="BB16" i="3" s="1"/>
  <c r="AX15" i="3"/>
  <c r="BB15" i="3" s="1"/>
  <c r="AX20" i="3"/>
  <c r="BB20" i="3" s="1"/>
  <c r="AX52" i="3"/>
  <c r="BB52" i="3" s="1"/>
  <c r="AX55" i="3"/>
  <c r="BB55" i="3" s="1"/>
  <c r="AX54" i="3"/>
  <c r="BB54" i="3" s="1"/>
  <c r="AX64" i="3"/>
  <c r="BB64" i="3" s="1"/>
  <c r="AX68" i="3"/>
  <c r="BB68" i="3" s="1"/>
  <c r="AX47" i="3"/>
  <c r="BB47" i="3" s="1"/>
  <c r="AX58" i="3"/>
  <c r="BB58" i="3" s="1"/>
  <c r="AX59" i="3"/>
  <c r="BB59" i="3" s="1"/>
  <c r="AX66" i="3"/>
  <c r="BB66" i="3" s="1"/>
  <c r="AX56" i="3"/>
  <c r="BB56" i="3" s="1"/>
  <c r="AX60" i="3"/>
  <c r="BB60" i="3" s="1"/>
  <c r="AX69" i="3"/>
  <c r="BB69" i="3" s="1"/>
  <c r="AX65" i="3"/>
  <c r="BB65" i="3" s="1"/>
  <c r="AX53" i="3"/>
  <c r="BB53" i="3" s="1"/>
  <c r="AX46" i="3"/>
  <c r="BB46" i="3" s="1"/>
  <c r="AX44" i="3"/>
  <c r="BB44" i="3" s="1"/>
  <c r="AX62" i="3"/>
  <c r="BB62" i="3" s="1"/>
  <c r="AX48" i="3"/>
  <c r="BB48" i="3" s="1"/>
  <c r="AX57" i="3"/>
  <c r="BB57" i="3" s="1"/>
  <c r="AX61" i="3"/>
  <c r="BB61" i="3" s="1"/>
  <c r="FB39" i="3"/>
  <c r="FB70" i="3"/>
  <c r="DB70" i="3"/>
  <c r="DB39" i="3"/>
  <c r="DQ70" i="3"/>
  <c r="DJ70" i="3"/>
  <c r="DC70" i="3"/>
  <c r="DQ39" i="3"/>
  <c r="DJ39" i="3"/>
  <c r="DC39" i="3"/>
  <c r="BQ70" i="3"/>
  <c r="BJ70" i="3"/>
  <c r="BC70" i="3"/>
  <c r="BQ39" i="3"/>
  <c r="BJ39" i="3"/>
  <c r="BC39" i="3"/>
  <c r="Q70" i="3"/>
  <c r="J70" i="3"/>
  <c r="C70" i="3"/>
  <c r="BB39" i="3" l="1"/>
  <c r="BB41" i="3" s="1"/>
  <c r="BB70" i="3"/>
  <c r="BB73" i="3" s="1"/>
  <c r="FB42" i="3"/>
  <c r="FB41" i="3"/>
  <c r="FB73" i="3"/>
  <c r="FB72" i="3"/>
  <c r="DB41" i="3"/>
  <c r="DB42" i="3"/>
  <c r="DB73" i="3"/>
  <c r="DB72" i="3"/>
  <c r="J39" i="3"/>
  <c r="Q39" i="3"/>
  <c r="C39" i="3"/>
  <c r="BX45" i="3"/>
  <c r="BY45" i="3"/>
  <c r="CA45" i="3"/>
  <c r="CB45" i="3"/>
  <c r="BX46" i="3"/>
  <c r="BY46" i="3"/>
  <c r="CA46" i="3"/>
  <c r="BX47" i="3"/>
  <c r="BY47" i="3"/>
  <c r="CA47" i="3"/>
  <c r="BX48" i="3"/>
  <c r="BX49" i="3"/>
  <c r="BX50" i="3"/>
  <c r="BY50" i="3"/>
  <c r="CA50" i="3"/>
  <c r="BX51" i="3"/>
  <c r="BY51" i="3"/>
  <c r="BX52" i="3"/>
  <c r="CA52" i="3"/>
  <c r="BX53" i="3"/>
  <c r="BX55" i="3"/>
  <c r="CA55" i="3"/>
  <c r="BX56" i="3"/>
  <c r="BY56" i="3"/>
  <c r="CA56" i="3"/>
  <c r="BX57" i="3"/>
  <c r="BY57" i="3"/>
  <c r="CA57" i="3"/>
  <c r="BX58" i="3"/>
  <c r="BY58" i="3"/>
  <c r="CA58" i="3"/>
  <c r="BX59" i="3"/>
  <c r="BX62" i="3"/>
  <c r="BY64" i="3"/>
  <c r="CA64" i="3"/>
  <c r="BX66" i="3"/>
  <c r="BY44" i="3"/>
  <c r="CA44" i="3"/>
  <c r="CB44" i="3"/>
  <c r="BX44" i="3"/>
  <c r="DX66" i="3"/>
  <c r="DY44" i="3"/>
  <c r="EA44" i="3"/>
  <c r="EB44" i="3"/>
  <c r="DY45" i="3"/>
  <c r="EA45" i="3"/>
  <c r="EB45" i="3"/>
  <c r="DY46" i="3"/>
  <c r="DY47" i="3"/>
  <c r="EA47" i="3"/>
  <c r="DY50" i="3"/>
  <c r="EA50" i="3"/>
  <c r="DY51" i="3"/>
  <c r="DY56" i="3"/>
  <c r="EA56" i="3"/>
  <c r="DY58" i="3"/>
  <c r="EA58" i="3"/>
  <c r="DY61" i="3"/>
  <c r="EA61" i="3"/>
  <c r="EB61" i="3"/>
  <c r="DY62" i="3"/>
  <c r="DY64" i="3"/>
  <c r="DX45" i="3"/>
  <c r="DX46" i="3"/>
  <c r="DX47" i="3"/>
  <c r="DX48" i="3"/>
  <c r="DX49" i="3"/>
  <c r="DX50" i="3"/>
  <c r="DX51" i="3"/>
  <c r="DX52" i="3"/>
  <c r="DX53" i="3"/>
  <c r="DX55" i="3"/>
  <c r="DX56" i="3"/>
  <c r="DX57" i="3"/>
  <c r="DX58" i="3"/>
  <c r="DX59" i="3"/>
  <c r="DX61" i="3"/>
  <c r="DX62" i="3"/>
  <c r="DX63" i="3"/>
  <c r="DX64" i="3"/>
  <c r="DX69" i="3"/>
  <c r="DX44" i="3"/>
  <c r="DY15" i="3"/>
  <c r="DX14" i="3"/>
  <c r="DY14" i="3"/>
  <c r="EA14" i="3"/>
  <c r="EB14" i="3"/>
  <c r="DX15" i="3"/>
  <c r="DX16" i="3"/>
  <c r="DY16" i="3"/>
  <c r="EA16" i="3"/>
  <c r="DX17" i="3"/>
  <c r="DX18" i="3"/>
  <c r="DX19" i="3"/>
  <c r="DY19" i="3"/>
  <c r="EA19" i="3"/>
  <c r="DX20" i="3"/>
  <c r="DY20" i="3"/>
  <c r="DX21" i="3"/>
  <c r="DX22" i="3"/>
  <c r="DX24" i="3"/>
  <c r="DX25" i="3"/>
  <c r="DY25" i="3"/>
  <c r="EA25" i="3"/>
  <c r="DX26" i="3"/>
  <c r="DX27" i="3"/>
  <c r="DY27" i="3"/>
  <c r="EA27" i="3"/>
  <c r="DX28" i="3"/>
  <c r="DX30" i="3"/>
  <c r="DY30" i="3"/>
  <c r="EA30" i="3"/>
  <c r="EB30" i="3"/>
  <c r="DX31" i="3"/>
  <c r="DY31" i="3"/>
  <c r="DX32" i="3"/>
  <c r="DX33" i="3"/>
  <c r="DY33" i="3"/>
  <c r="DX35" i="3"/>
  <c r="DX38" i="3"/>
  <c r="EB13" i="3"/>
  <c r="EA13" i="3"/>
  <c r="DY13" i="3"/>
  <c r="DX13" i="3"/>
  <c r="CA13" i="3"/>
  <c r="DV49" i="3"/>
  <c r="DS47" i="3"/>
  <c r="DV30" i="3"/>
  <c r="DS30" i="3"/>
  <c r="DS16" i="3"/>
  <c r="DV64" i="3"/>
  <c r="DV63" i="3"/>
  <c r="DV62" i="3"/>
  <c r="DV61" i="3"/>
  <c r="DV60" i="3"/>
  <c r="DV59" i="3"/>
  <c r="DV58" i="3"/>
  <c r="DV57" i="3"/>
  <c r="DV56" i="3"/>
  <c r="DV55" i="3"/>
  <c r="DV53" i="3"/>
  <c r="DV52" i="3"/>
  <c r="DV51" i="3"/>
  <c r="DV50" i="3"/>
  <c r="DV48" i="3"/>
  <c r="DV47" i="3"/>
  <c r="DV46" i="3"/>
  <c r="DV44" i="3"/>
  <c r="DS64" i="3"/>
  <c r="DS63" i="3"/>
  <c r="DS62" i="3"/>
  <c r="DS61" i="3"/>
  <c r="DS60" i="3"/>
  <c r="DS59" i="3"/>
  <c r="DS58" i="3"/>
  <c r="DS57" i="3"/>
  <c r="DS56" i="3"/>
  <c r="DS55" i="3"/>
  <c r="DS54" i="3"/>
  <c r="DS53" i="3"/>
  <c r="DS52" i="3"/>
  <c r="DS51" i="3"/>
  <c r="DS50" i="3"/>
  <c r="DS49" i="3"/>
  <c r="DS48" i="3"/>
  <c r="DS46" i="3"/>
  <c r="DS44" i="3"/>
  <c r="DV38" i="3"/>
  <c r="DV35" i="3"/>
  <c r="DV34" i="3"/>
  <c r="DV33" i="3"/>
  <c r="DV32" i="3"/>
  <c r="DV31" i="3"/>
  <c r="DV28" i="3"/>
  <c r="DV27" i="3"/>
  <c r="DV26" i="3"/>
  <c r="DV25" i="3"/>
  <c r="DV24" i="3"/>
  <c r="DV23" i="3"/>
  <c r="DV22" i="3"/>
  <c r="DV21" i="3"/>
  <c r="DV20" i="3"/>
  <c r="DV19" i="3"/>
  <c r="DV18" i="3"/>
  <c r="DV17" i="3"/>
  <c r="DV16" i="3"/>
  <c r="DS38" i="3"/>
  <c r="DS35" i="3"/>
  <c r="DS34" i="3"/>
  <c r="DS33" i="3"/>
  <c r="DS32" i="3"/>
  <c r="DS31" i="3"/>
  <c r="DS29" i="3"/>
  <c r="DS28" i="3"/>
  <c r="DS27" i="3"/>
  <c r="DS26" i="3"/>
  <c r="DS25" i="3"/>
  <c r="DS24" i="3"/>
  <c r="DS23" i="3"/>
  <c r="DS22" i="3"/>
  <c r="DS21" i="3"/>
  <c r="DS20" i="3"/>
  <c r="DS19" i="3"/>
  <c r="DS18" i="3"/>
  <c r="DS17" i="3"/>
  <c r="DO69" i="3"/>
  <c r="DO66" i="3"/>
  <c r="DO65" i="3"/>
  <c r="DO64" i="3"/>
  <c r="DO63" i="3"/>
  <c r="DO62" i="3"/>
  <c r="DO61" i="3"/>
  <c r="DO60" i="3"/>
  <c r="DO59" i="3"/>
  <c r="DO58" i="3"/>
  <c r="DO57" i="3"/>
  <c r="DO56" i="3"/>
  <c r="DO55" i="3"/>
  <c r="DO54" i="3"/>
  <c r="DO53" i="3"/>
  <c r="DO52" i="3"/>
  <c r="DO51" i="3"/>
  <c r="DO50" i="3"/>
  <c r="DO49" i="3"/>
  <c r="DO48" i="3"/>
  <c r="DO47" i="3"/>
  <c r="DO46" i="3"/>
  <c r="DO44" i="3"/>
  <c r="DL69" i="3"/>
  <c r="DL66" i="3"/>
  <c r="DL65" i="3"/>
  <c r="DL64" i="3"/>
  <c r="DL63" i="3"/>
  <c r="DL62" i="3"/>
  <c r="DL61" i="3"/>
  <c r="DL60" i="3"/>
  <c r="DL59" i="3"/>
  <c r="DL58" i="3"/>
  <c r="DL57" i="3"/>
  <c r="DL56" i="3"/>
  <c r="DL55" i="3"/>
  <c r="DL53" i="3"/>
  <c r="DL52" i="3"/>
  <c r="DL51" i="3"/>
  <c r="DL50" i="3"/>
  <c r="DL49" i="3"/>
  <c r="DL48" i="3"/>
  <c r="DL47" i="3"/>
  <c r="DL46" i="3"/>
  <c r="DL44" i="3"/>
  <c r="DO38" i="3"/>
  <c r="DO35" i="3"/>
  <c r="DO34" i="3"/>
  <c r="DO33" i="3"/>
  <c r="DO32" i="3"/>
  <c r="DO31" i="3"/>
  <c r="DO30" i="3"/>
  <c r="DO29" i="3"/>
  <c r="DO28" i="3"/>
  <c r="DO27" i="3"/>
  <c r="DO26" i="3"/>
  <c r="DO25" i="3"/>
  <c r="DO24" i="3"/>
  <c r="DO23" i="3"/>
  <c r="DO22" i="3"/>
  <c r="DO21" i="3"/>
  <c r="DO20" i="3"/>
  <c r="DO19" i="3"/>
  <c r="DO18" i="3"/>
  <c r="DO17" i="3"/>
  <c r="DO16" i="3"/>
  <c r="DO15" i="3"/>
  <c r="DO14" i="3"/>
  <c r="DO13" i="3"/>
  <c r="DL38" i="3"/>
  <c r="DL35" i="3"/>
  <c r="DL34" i="3"/>
  <c r="DL33" i="3"/>
  <c r="DL32" i="3"/>
  <c r="DL31" i="3"/>
  <c r="DL30" i="3"/>
  <c r="DL29" i="3"/>
  <c r="DL28" i="3"/>
  <c r="DL27" i="3"/>
  <c r="DL26" i="3"/>
  <c r="DL25" i="3"/>
  <c r="DL24" i="3"/>
  <c r="DL23" i="3"/>
  <c r="DL22" i="3"/>
  <c r="DL21" i="3"/>
  <c r="DL20" i="3"/>
  <c r="DL19" i="3"/>
  <c r="DL18" i="3"/>
  <c r="DL17" i="3"/>
  <c r="DL16" i="3"/>
  <c r="DL15" i="3"/>
  <c r="DL14" i="3"/>
  <c r="DL13" i="3"/>
  <c r="DE64" i="3"/>
  <c r="DH69" i="3"/>
  <c r="DH66" i="3"/>
  <c r="DH65" i="3"/>
  <c r="DH64" i="3"/>
  <c r="DH63" i="3"/>
  <c r="DH62" i="3"/>
  <c r="DH61" i="3"/>
  <c r="DH60" i="3"/>
  <c r="DH59" i="3"/>
  <c r="DH58" i="3"/>
  <c r="DH57" i="3"/>
  <c r="DH56" i="3"/>
  <c r="DH55" i="3"/>
  <c r="DH54" i="3"/>
  <c r="EC54" i="3" s="1"/>
  <c r="DH53" i="3"/>
  <c r="DH52" i="3"/>
  <c r="DH51" i="3"/>
  <c r="DH50" i="3"/>
  <c r="DH49" i="3"/>
  <c r="DH48" i="3"/>
  <c r="DH47" i="3"/>
  <c r="DH46" i="3"/>
  <c r="DH45" i="3"/>
  <c r="DH70" i="3" s="1"/>
  <c r="DH44" i="3"/>
  <c r="DE69" i="3"/>
  <c r="DE66" i="3"/>
  <c r="DE65" i="3"/>
  <c r="DE63" i="3"/>
  <c r="DE62" i="3"/>
  <c r="DE61" i="3"/>
  <c r="DE60" i="3"/>
  <c r="DE59" i="3"/>
  <c r="DE58" i="3"/>
  <c r="DE57" i="3"/>
  <c r="DE56" i="3"/>
  <c r="DE55" i="3"/>
  <c r="DE54" i="3"/>
  <c r="DZ54" i="3" s="1"/>
  <c r="DE53" i="3"/>
  <c r="DZ53" i="3" s="1"/>
  <c r="DE52" i="3"/>
  <c r="DZ52" i="3" s="1"/>
  <c r="DE51" i="3"/>
  <c r="DZ51" i="3" s="1"/>
  <c r="DE50" i="3"/>
  <c r="DZ50" i="3" s="1"/>
  <c r="DE49" i="3"/>
  <c r="DZ49" i="3" s="1"/>
  <c r="DE48" i="3"/>
  <c r="DE47" i="3"/>
  <c r="DZ47" i="3" s="1"/>
  <c r="DE46" i="3"/>
  <c r="DZ46" i="3" s="1"/>
  <c r="DE45" i="3"/>
  <c r="DZ45" i="3" s="1"/>
  <c r="DE44" i="3"/>
  <c r="DZ44" i="3" s="1"/>
  <c r="DH38" i="3"/>
  <c r="DH35" i="3"/>
  <c r="DH34" i="3"/>
  <c r="DH33" i="3"/>
  <c r="DH32" i="3"/>
  <c r="DH31" i="3"/>
  <c r="DH30" i="3"/>
  <c r="EC30" i="3" s="1"/>
  <c r="DH29" i="3"/>
  <c r="DH28" i="3"/>
  <c r="DH27" i="3"/>
  <c r="EC27" i="3" s="1"/>
  <c r="DH26" i="3"/>
  <c r="DH25" i="3"/>
  <c r="EC25" i="3" s="1"/>
  <c r="DH24" i="3"/>
  <c r="DH23" i="3"/>
  <c r="EC23" i="3" s="1"/>
  <c r="DH22" i="3"/>
  <c r="DH21" i="3"/>
  <c r="DH20" i="3"/>
  <c r="DH19" i="3"/>
  <c r="EC19" i="3" s="1"/>
  <c r="DH18" i="3"/>
  <c r="DH17" i="3"/>
  <c r="DH16" i="3"/>
  <c r="EC16" i="3" s="1"/>
  <c r="DH15" i="3"/>
  <c r="DH14" i="3"/>
  <c r="DH13" i="3"/>
  <c r="EC13" i="3" s="1"/>
  <c r="DE14" i="3"/>
  <c r="DE15" i="3"/>
  <c r="DZ15" i="3" s="1"/>
  <c r="DE16" i="3"/>
  <c r="DE17" i="3"/>
  <c r="DZ17" i="3" s="1"/>
  <c r="DE18" i="3"/>
  <c r="DE19" i="3"/>
  <c r="DZ19" i="3" s="1"/>
  <c r="DE20" i="3"/>
  <c r="DE21" i="3"/>
  <c r="DZ21" i="3" s="1"/>
  <c r="DE22" i="3"/>
  <c r="DE23" i="3"/>
  <c r="DZ23" i="3" s="1"/>
  <c r="DE24" i="3"/>
  <c r="DE25" i="3"/>
  <c r="DZ25" i="3" s="1"/>
  <c r="DE26" i="3"/>
  <c r="DE27" i="3"/>
  <c r="DZ27" i="3" s="1"/>
  <c r="DE28" i="3"/>
  <c r="DE29" i="3"/>
  <c r="DZ29" i="3" s="1"/>
  <c r="DE30" i="3"/>
  <c r="DE31" i="3"/>
  <c r="DZ31" i="3" s="1"/>
  <c r="DE32" i="3"/>
  <c r="DE33" i="3"/>
  <c r="DZ33" i="3" s="1"/>
  <c r="DE34" i="3"/>
  <c r="DE35" i="3"/>
  <c r="DZ35" i="3" s="1"/>
  <c r="DE38" i="3"/>
  <c r="DE13" i="3"/>
  <c r="DZ13" i="3" s="1"/>
  <c r="BX14" i="3"/>
  <c r="BY14" i="3"/>
  <c r="CA14" i="3"/>
  <c r="CB14" i="3"/>
  <c r="BX15" i="3"/>
  <c r="BY15" i="3"/>
  <c r="CA15" i="3"/>
  <c r="BX16" i="3"/>
  <c r="BY16" i="3"/>
  <c r="CA16" i="3"/>
  <c r="BX17" i="3"/>
  <c r="BX18" i="3"/>
  <c r="BX19" i="3"/>
  <c r="BY19" i="3"/>
  <c r="CA19" i="3"/>
  <c r="BX20" i="3"/>
  <c r="BY20" i="3"/>
  <c r="BX21" i="3"/>
  <c r="CA21" i="3"/>
  <c r="BX22" i="3"/>
  <c r="BX23" i="3"/>
  <c r="BX24" i="3"/>
  <c r="CA24" i="3"/>
  <c r="BX25" i="3"/>
  <c r="BY25" i="3"/>
  <c r="CA25" i="3"/>
  <c r="BX26" i="3"/>
  <c r="BY26" i="3"/>
  <c r="CA26" i="3"/>
  <c r="BX27" i="3"/>
  <c r="BY27" i="3"/>
  <c r="CA27" i="3"/>
  <c r="BX28" i="3"/>
  <c r="BX30" i="3"/>
  <c r="BY30" i="3"/>
  <c r="CA30" i="3"/>
  <c r="BX31" i="3"/>
  <c r="BY31" i="3"/>
  <c r="BY33" i="3"/>
  <c r="CA33" i="3"/>
  <c r="BX35" i="3"/>
  <c r="BY13" i="3"/>
  <c r="CB13" i="3"/>
  <c r="BX13" i="3"/>
  <c r="BV46" i="3"/>
  <c r="BV47" i="3"/>
  <c r="BV48" i="3"/>
  <c r="BV49" i="3"/>
  <c r="BV50" i="3"/>
  <c r="BV51" i="3"/>
  <c r="BV52" i="3"/>
  <c r="BV53" i="3"/>
  <c r="BV55" i="3"/>
  <c r="BV56" i="3"/>
  <c r="BV57" i="3"/>
  <c r="BV58" i="3"/>
  <c r="BV59" i="3"/>
  <c r="BV60" i="3"/>
  <c r="BV62" i="3"/>
  <c r="BV63" i="3"/>
  <c r="BV64" i="3"/>
  <c r="BV65" i="3"/>
  <c r="BV66" i="3"/>
  <c r="BV69" i="3"/>
  <c r="BV44" i="3"/>
  <c r="BS46" i="3"/>
  <c r="BS47" i="3"/>
  <c r="BS48" i="3"/>
  <c r="BS49" i="3"/>
  <c r="BS50" i="3"/>
  <c r="BS51" i="3"/>
  <c r="BS52" i="3"/>
  <c r="BS53" i="3"/>
  <c r="BS54" i="3"/>
  <c r="BS55" i="3"/>
  <c r="BS56" i="3"/>
  <c r="BS57" i="3"/>
  <c r="BS58" i="3"/>
  <c r="BS59" i="3"/>
  <c r="BS60" i="3"/>
  <c r="BS61" i="3"/>
  <c r="BS62" i="3"/>
  <c r="BS63" i="3"/>
  <c r="BS64" i="3"/>
  <c r="BS65" i="3"/>
  <c r="BS66" i="3"/>
  <c r="BS69" i="3"/>
  <c r="BS44" i="3"/>
  <c r="BV14" i="3"/>
  <c r="BV15" i="3"/>
  <c r="BV16" i="3"/>
  <c r="BV17" i="3"/>
  <c r="BV18" i="3"/>
  <c r="BV19" i="3"/>
  <c r="BV20" i="3"/>
  <c r="BV21" i="3"/>
  <c r="BV22" i="3"/>
  <c r="BV23" i="3"/>
  <c r="BV24" i="3"/>
  <c r="BV25" i="3"/>
  <c r="BV26" i="3"/>
  <c r="BV27" i="3"/>
  <c r="BV28" i="3"/>
  <c r="BV29" i="3"/>
  <c r="BV30" i="3"/>
  <c r="BV31" i="3"/>
  <c r="BV32" i="3"/>
  <c r="BV33" i="3"/>
  <c r="BV34" i="3"/>
  <c r="BV35" i="3"/>
  <c r="BV38" i="3"/>
  <c r="BV13" i="3"/>
  <c r="BS14" i="3"/>
  <c r="BS15" i="3"/>
  <c r="BS16" i="3"/>
  <c r="BS17" i="3"/>
  <c r="BS18" i="3"/>
  <c r="BS19" i="3"/>
  <c r="BS20" i="3"/>
  <c r="BS21" i="3"/>
  <c r="BS22" i="3"/>
  <c r="BS23" i="3"/>
  <c r="BS24" i="3"/>
  <c r="BS25" i="3"/>
  <c r="BS26" i="3"/>
  <c r="BS27" i="3"/>
  <c r="BS28" i="3"/>
  <c r="BS29" i="3"/>
  <c r="BS30" i="3"/>
  <c r="BS31" i="3"/>
  <c r="BS32" i="3"/>
  <c r="BS33" i="3"/>
  <c r="BS34" i="3"/>
  <c r="BS35" i="3"/>
  <c r="BS38" i="3"/>
  <c r="BS13" i="3"/>
  <c r="BO46" i="3"/>
  <c r="BO47" i="3"/>
  <c r="BO48" i="3"/>
  <c r="BO49" i="3"/>
  <c r="BO50" i="3"/>
  <c r="BO51" i="3"/>
  <c r="BO52" i="3"/>
  <c r="BO53" i="3"/>
  <c r="BO54" i="3"/>
  <c r="BO55" i="3"/>
  <c r="BO56" i="3"/>
  <c r="BO57" i="3"/>
  <c r="BO58" i="3"/>
  <c r="BO59" i="3"/>
  <c r="BO60" i="3"/>
  <c r="BO61" i="3"/>
  <c r="BO62" i="3"/>
  <c r="BO63" i="3"/>
  <c r="BO64" i="3"/>
  <c r="BO65" i="3"/>
  <c r="BO66" i="3"/>
  <c r="BO69" i="3"/>
  <c r="BO44" i="3"/>
  <c r="BL46" i="3"/>
  <c r="BL47" i="3"/>
  <c r="BL48" i="3"/>
  <c r="BL49" i="3"/>
  <c r="BL50" i="3"/>
  <c r="BL51" i="3"/>
  <c r="BL52" i="3"/>
  <c r="BL53" i="3"/>
  <c r="BL54" i="3"/>
  <c r="BZ54" i="3" s="1"/>
  <c r="BL55" i="3"/>
  <c r="BL56" i="3"/>
  <c r="BL57" i="3"/>
  <c r="BL58" i="3"/>
  <c r="BL59" i="3"/>
  <c r="BL60" i="3"/>
  <c r="BL61" i="3"/>
  <c r="BL62" i="3"/>
  <c r="BL63" i="3"/>
  <c r="BL64" i="3"/>
  <c r="BL65" i="3"/>
  <c r="BL66" i="3"/>
  <c r="BL69" i="3"/>
  <c r="BL44" i="3"/>
  <c r="BO14" i="3"/>
  <c r="BO15" i="3"/>
  <c r="BO16" i="3"/>
  <c r="BO17" i="3"/>
  <c r="BO18" i="3"/>
  <c r="BO19" i="3"/>
  <c r="BO20" i="3"/>
  <c r="BO21" i="3"/>
  <c r="BO22" i="3"/>
  <c r="BO23" i="3"/>
  <c r="BO24" i="3"/>
  <c r="BO25" i="3"/>
  <c r="BO26" i="3"/>
  <c r="BO27" i="3"/>
  <c r="BO28" i="3"/>
  <c r="BO29" i="3"/>
  <c r="BO30" i="3"/>
  <c r="BO31" i="3"/>
  <c r="BO32" i="3"/>
  <c r="BO33" i="3"/>
  <c r="BO34" i="3"/>
  <c r="BO35" i="3"/>
  <c r="BO38" i="3"/>
  <c r="BO13" i="3"/>
  <c r="BL14" i="3"/>
  <c r="BL15" i="3"/>
  <c r="BL16" i="3"/>
  <c r="BL17" i="3"/>
  <c r="BL18" i="3"/>
  <c r="BL19" i="3"/>
  <c r="BL20" i="3"/>
  <c r="BL21" i="3"/>
  <c r="BL22" i="3"/>
  <c r="BL24" i="3"/>
  <c r="BL25" i="3"/>
  <c r="BL26" i="3"/>
  <c r="BL27" i="3"/>
  <c r="BL28" i="3"/>
  <c r="BL29" i="3"/>
  <c r="BL30" i="3"/>
  <c r="BL31" i="3"/>
  <c r="BL32" i="3"/>
  <c r="BL33" i="3"/>
  <c r="BL34" i="3"/>
  <c r="BL35" i="3"/>
  <c r="BL38" i="3"/>
  <c r="BL13" i="3"/>
  <c r="BH45" i="3"/>
  <c r="BH46" i="3"/>
  <c r="BH47" i="3"/>
  <c r="BH48" i="3"/>
  <c r="BH49" i="3"/>
  <c r="BH50" i="3"/>
  <c r="BH51" i="3"/>
  <c r="BH52" i="3"/>
  <c r="BH53" i="3"/>
  <c r="BH54" i="3"/>
  <c r="CC54" i="3" s="1"/>
  <c r="BH55" i="3"/>
  <c r="BH56" i="3"/>
  <c r="BH57" i="3"/>
  <c r="BH58" i="3"/>
  <c r="BH59" i="3"/>
  <c r="BH61" i="3"/>
  <c r="BH62" i="3"/>
  <c r="BH63" i="3"/>
  <c r="BH64" i="3"/>
  <c r="BH65" i="3"/>
  <c r="BH66" i="3"/>
  <c r="BH69" i="3"/>
  <c r="BH44" i="3"/>
  <c r="BH14" i="3"/>
  <c r="BH15" i="3"/>
  <c r="BH16" i="3"/>
  <c r="BH17" i="3"/>
  <c r="BH18" i="3"/>
  <c r="BH19" i="3"/>
  <c r="BH20" i="3"/>
  <c r="BH21" i="3"/>
  <c r="BH22" i="3"/>
  <c r="BH23" i="3"/>
  <c r="BH24" i="3"/>
  <c r="BH25" i="3"/>
  <c r="BH26" i="3"/>
  <c r="BH27" i="3"/>
  <c r="BH28" i="3"/>
  <c r="BH29" i="3"/>
  <c r="BH30" i="3"/>
  <c r="BH31" i="3"/>
  <c r="BH32" i="3"/>
  <c r="BH33" i="3"/>
  <c r="BH34" i="3"/>
  <c r="BH35" i="3"/>
  <c r="BH38" i="3"/>
  <c r="BH13" i="3"/>
  <c r="BE45" i="3"/>
  <c r="BE46" i="3"/>
  <c r="BE47" i="3"/>
  <c r="BE48" i="3"/>
  <c r="BE49" i="3"/>
  <c r="BE50" i="3"/>
  <c r="BE51" i="3"/>
  <c r="BE52" i="3"/>
  <c r="BE53" i="3"/>
  <c r="BE55" i="3"/>
  <c r="BE56" i="3"/>
  <c r="BE57" i="3"/>
  <c r="BE58" i="3"/>
  <c r="BE59" i="3"/>
  <c r="BE60" i="3"/>
  <c r="BE61" i="3"/>
  <c r="BZ61" i="3" s="1"/>
  <c r="BE62" i="3"/>
  <c r="BE63" i="3"/>
  <c r="BE64" i="3"/>
  <c r="BE65" i="3"/>
  <c r="BE66" i="3"/>
  <c r="BE69" i="3"/>
  <c r="BE44" i="3"/>
  <c r="BE14" i="3"/>
  <c r="BE15" i="3"/>
  <c r="BE16" i="3"/>
  <c r="BE17" i="3"/>
  <c r="BE18" i="3"/>
  <c r="BE19" i="3"/>
  <c r="BE20" i="3"/>
  <c r="BE21" i="3"/>
  <c r="BE22" i="3"/>
  <c r="BE24" i="3"/>
  <c r="BE25" i="3"/>
  <c r="BZ25" i="3" s="1"/>
  <c r="BE26" i="3"/>
  <c r="BE27" i="3"/>
  <c r="BE28" i="3"/>
  <c r="BE29" i="3"/>
  <c r="BZ29" i="3" s="1"/>
  <c r="BE30" i="3"/>
  <c r="BE31" i="3"/>
  <c r="BE32" i="3"/>
  <c r="BE33" i="3"/>
  <c r="BZ33" i="3" s="1"/>
  <c r="BE34" i="3"/>
  <c r="BE35" i="3"/>
  <c r="BE38" i="3"/>
  <c r="BE13" i="3"/>
  <c r="BZ13" i="3" s="1"/>
  <c r="AB44" i="3"/>
  <c r="AA44" i="3"/>
  <c r="Y44" i="3"/>
  <c r="X44" i="3"/>
  <c r="V44" i="3"/>
  <c r="V13" i="3"/>
  <c r="S44" i="3"/>
  <c r="S13" i="3"/>
  <c r="O44" i="3"/>
  <c r="L44" i="3"/>
  <c r="H44" i="3"/>
  <c r="E66" i="3"/>
  <c r="E13" i="3"/>
  <c r="V46" i="3"/>
  <c r="V47" i="3"/>
  <c r="V48" i="3"/>
  <c r="V49" i="3"/>
  <c r="V50" i="3"/>
  <c r="V51" i="3"/>
  <c r="V52" i="3"/>
  <c r="V53" i="3"/>
  <c r="V54" i="3"/>
  <c r="V55" i="3"/>
  <c r="V56" i="3"/>
  <c r="V57" i="3"/>
  <c r="V58" i="3"/>
  <c r="V59" i="3"/>
  <c r="V60" i="3"/>
  <c r="V61" i="3"/>
  <c r="V62" i="3"/>
  <c r="V63" i="3"/>
  <c r="V64" i="3"/>
  <c r="V65" i="3"/>
  <c r="V66" i="3"/>
  <c r="V69" i="3"/>
  <c r="S46" i="3"/>
  <c r="S47" i="3"/>
  <c r="S48" i="3"/>
  <c r="S49" i="3"/>
  <c r="S50" i="3"/>
  <c r="S51" i="3"/>
  <c r="S52" i="3"/>
  <c r="S53" i="3"/>
  <c r="S54" i="3"/>
  <c r="S55" i="3"/>
  <c r="S56" i="3"/>
  <c r="S57" i="3"/>
  <c r="S58" i="3"/>
  <c r="S59" i="3"/>
  <c r="S60" i="3"/>
  <c r="S61" i="3"/>
  <c r="S62" i="3"/>
  <c r="S63" i="3"/>
  <c r="S64" i="3"/>
  <c r="S65" i="3"/>
  <c r="S66" i="3"/>
  <c r="S69" i="3"/>
  <c r="O46" i="3"/>
  <c r="O47" i="3"/>
  <c r="O48" i="3"/>
  <c r="O49" i="3"/>
  <c r="O50" i="3"/>
  <c r="O51" i="3"/>
  <c r="O52" i="3"/>
  <c r="O53" i="3"/>
  <c r="O54" i="3"/>
  <c r="O55" i="3"/>
  <c r="O56" i="3"/>
  <c r="O57" i="3"/>
  <c r="O58" i="3"/>
  <c r="O59" i="3"/>
  <c r="O60" i="3"/>
  <c r="O61" i="3"/>
  <c r="O62" i="3"/>
  <c r="O63" i="3"/>
  <c r="O64" i="3"/>
  <c r="O65" i="3"/>
  <c r="O66" i="3"/>
  <c r="O69" i="3"/>
  <c r="L46" i="3"/>
  <c r="L47" i="3"/>
  <c r="L48" i="3"/>
  <c r="L49" i="3"/>
  <c r="L50" i="3"/>
  <c r="L51" i="3"/>
  <c r="L52" i="3"/>
  <c r="L53" i="3"/>
  <c r="L54" i="3"/>
  <c r="L55" i="3"/>
  <c r="L56" i="3"/>
  <c r="L57" i="3"/>
  <c r="L58" i="3"/>
  <c r="L59" i="3"/>
  <c r="L60" i="3"/>
  <c r="L61" i="3"/>
  <c r="L62" i="3"/>
  <c r="L63" i="3"/>
  <c r="L64" i="3"/>
  <c r="L65" i="3"/>
  <c r="L66" i="3"/>
  <c r="L69" i="3"/>
  <c r="H45" i="3"/>
  <c r="H46" i="3"/>
  <c r="H47" i="3"/>
  <c r="H48" i="3"/>
  <c r="H49" i="3"/>
  <c r="H50" i="3"/>
  <c r="H51" i="3"/>
  <c r="H52" i="3"/>
  <c r="H53" i="3"/>
  <c r="H54" i="3"/>
  <c r="H55" i="3"/>
  <c r="H56" i="3"/>
  <c r="H57" i="3"/>
  <c r="H58" i="3"/>
  <c r="H59" i="3"/>
  <c r="H60" i="3"/>
  <c r="H61" i="3"/>
  <c r="H62" i="3"/>
  <c r="H63" i="3"/>
  <c r="H64" i="3"/>
  <c r="H65" i="3"/>
  <c r="H66" i="3"/>
  <c r="H69" i="3"/>
  <c r="E45" i="3"/>
  <c r="E46" i="3"/>
  <c r="E47" i="3"/>
  <c r="E48" i="3"/>
  <c r="E49" i="3"/>
  <c r="E50" i="3"/>
  <c r="E51" i="3"/>
  <c r="E52" i="3"/>
  <c r="E53" i="3"/>
  <c r="E54" i="3"/>
  <c r="E55" i="3"/>
  <c r="E56" i="3"/>
  <c r="E57" i="3"/>
  <c r="E58" i="3"/>
  <c r="E59" i="3"/>
  <c r="E60" i="3"/>
  <c r="E61" i="3"/>
  <c r="E62" i="3"/>
  <c r="E63" i="3"/>
  <c r="E64" i="3"/>
  <c r="E65" i="3"/>
  <c r="E69" i="3"/>
  <c r="E44" i="3"/>
  <c r="AA16" i="3"/>
  <c r="BZ30" i="3" l="1"/>
  <c r="BZ26" i="3"/>
  <c r="BZ44" i="3"/>
  <c r="BZ62" i="3"/>
  <c r="BZ60" i="3"/>
  <c r="CC61" i="3"/>
  <c r="AC64" i="3"/>
  <c r="O72" i="3"/>
  <c r="FF41" i="3"/>
  <c r="FJ41" i="3" s="1"/>
  <c r="BB72" i="3"/>
  <c r="FF72" i="3" s="1"/>
  <c r="BB42" i="3"/>
  <c r="CC13" i="3"/>
  <c r="CC44" i="3"/>
  <c r="CC23" i="3"/>
  <c r="CC57" i="3"/>
  <c r="DZ57" i="3"/>
  <c r="DZ61" i="3"/>
  <c r="BZ28" i="3"/>
  <c r="BZ24" i="3"/>
  <c r="BZ53" i="3"/>
  <c r="BZ49" i="3"/>
  <c r="BZ45" i="3"/>
  <c r="DZ58" i="3"/>
  <c r="DZ62" i="3"/>
  <c r="BZ31" i="3"/>
  <c r="BZ27" i="3"/>
  <c r="BZ57" i="3"/>
  <c r="DZ60" i="3"/>
  <c r="DZ59" i="3"/>
  <c r="DZ55" i="3"/>
  <c r="DZ63" i="3"/>
  <c r="DZ56" i="3"/>
  <c r="DL70" i="3"/>
  <c r="BZ20" i="3"/>
  <c r="BZ16" i="3"/>
  <c r="BZ59" i="3"/>
  <c r="BZ55" i="3"/>
  <c r="BZ51" i="3"/>
  <c r="BZ47" i="3"/>
  <c r="CC24" i="3"/>
  <c r="CC16" i="3"/>
  <c r="CC55" i="3"/>
  <c r="CC47" i="3"/>
  <c r="BZ66" i="3"/>
  <c r="BZ58" i="3"/>
  <c r="BZ50" i="3"/>
  <c r="BZ46" i="3"/>
  <c r="CC58" i="3"/>
  <c r="CC50" i="3"/>
  <c r="CC46" i="3"/>
  <c r="H70" i="3"/>
  <c r="AC54" i="3"/>
  <c r="CC45" i="3"/>
  <c r="BH70" i="3"/>
  <c r="BS70" i="3"/>
  <c r="E70" i="3"/>
  <c r="Z54" i="3"/>
  <c r="BL72" i="3"/>
  <c r="BO72" i="3"/>
  <c r="BO70" i="3"/>
  <c r="BS72" i="3"/>
  <c r="BV72" i="3"/>
  <c r="BV70" i="3"/>
  <c r="DV70" i="3"/>
  <c r="BL70" i="3"/>
  <c r="DZ48" i="3"/>
  <c r="DE70" i="3"/>
  <c r="BZ64" i="3"/>
  <c r="BZ56" i="3"/>
  <c r="BZ52" i="3"/>
  <c r="BZ48" i="3"/>
  <c r="BE70" i="3"/>
  <c r="CC64" i="3"/>
  <c r="CC56" i="3"/>
  <c r="CC52" i="3"/>
  <c r="DL72" i="3"/>
  <c r="DO72" i="3"/>
  <c r="DO70" i="3"/>
  <c r="BZ19" i="3"/>
  <c r="BZ15" i="3"/>
  <c r="CC27" i="3"/>
  <c r="CC19" i="3"/>
  <c r="CC15" i="3"/>
  <c r="BL41" i="3"/>
  <c r="BO41" i="3"/>
  <c r="BO39" i="3"/>
  <c r="BS41" i="3"/>
  <c r="BV41" i="3"/>
  <c r="BV39" i="3"/>
  <c r="DL39" i="3"/>
  <c r="BZ22" i="3"/>
  <c r="BZ18" i="3"/>
  <c r="BZ14" i="3"/>
  <c r="CC30" i="3"/>
  <c r="CC26" i="3"/>
  <c r="CC14" i="3"/>
  <c r="BH39" i="3"/>
  <c r="BL39" i="3"/>
  <c r="BS39" i="3"/>
  <c r="BZ21" i="3"/>
  <c r="BZ17" i="3"/>
  <c r="BE39" i="3"/>
  <c r="CC33" i="3"/>
  <c r="CC25" i="3"/>
  <c r="CC21" i="3"/>
  <c r="DE39" i="3"/>
  <c r="EC14" i="3"/>
  <c r="EG13" i="3" s="1"/>
  <c r="DH39" i="3"/>
  <c r="DL41" i="3"/>
  <c r="DO41" i="3"/>
  <c r="DO39" i="3"/>
  <c r="V72" i="3"/>
  <c r="V70" i="3"/>
  <c r="S72" i="3"/>
  <c r="S70" i="3"/>
  <c r="O70" i="3"/>
  <c r="L72" i="3"/>
  <c r="L70" i="3"/>
  <c r="DZ66" i="3"/>
  <c r="EC50" i="3"/>
  <c r="EC58" i="3"/>
  <c r="Z59" i="3"/>
  <c r="Z55" i="3"/>
  <c r="Z51" i="3"/>
  <c r="Z69" i="3"/>
  <c r="EC45" i="3"/>
  <c r="EC61" i="3"/>
  <c r="Z62" i="3"/>
  <c r="DZ30" i="3"/>
  <c r="DZ26" i="3"/>
  <c r="DZ22" i="3"/>
  <c r="DZ18" i="3"/>
  <c r="DZ14" i="3"/>
  <c r="EC44" i="3"/>
  <c r="EC56" i="3"/>
  <c r="DZ64" i="3"/>
  <c r="DZ16" i="3"/>
  <c r="DZ20" i="3"/>
  <c r="DZ32" i="3"/>
  <c r="DZ69" i="3"/>
  <c r="EC47" i="3"/>
  <c r="Z58" i="3"/>
  <c r="Z50" i="3"/>
  <c r="Z46" i="3"/>
  <c r="AC61" i="3"/>
  <c r="AC45" i="3"/>
  <c r="CE13" i="3"/>
  <c r="Z44" i="3"/>
  <c r="CI13" i="3"/>
  <c r="DZ28" i="3"/>
  <c r="DZ24" i="3"/>
  <c r="EE13" i="3"/>
  <c r="EI13" i="3"/>
  <c r="DZ38" i="3"/>
  <c r="Z47" i="3"/>
  <c r="AC58" i="3"/>
  <c r="AC50" i="3"/>
  <c r="AC44" i="3"/>
  <c r="EI44" i="3"/>
  <c r="EE44" i="3"/>
  <c r="CI44" i="3"/>
  <c r="CE44" i="3"/>
  <c r="Z61" i="3"/>
  <c r="Z57" i="3"/>
  <c r="Z53" i="3"/>
  <c r="Z49" i="3"/>
  <c r="Z45" i="3"/>
  <c r="AC56" i="3"/>
  <c r="Z64" i="3"/>
  <c r="Z60" i="3"/>
  <c r="Z56" i="3"/>
  <c r="Z52" i="3"/>
  <c r="Z48" i="3"/>
  <c r="AC47" i="3"/>
  <c r="O14" i="3"/>
  <c r="O15" i="3"/>
  <c r="O16" i="3"/>
  <c r="O17" i="3"/>
  <c r="O18" i="3"/>
  <c r="O19" i="3"/>
  <c r="O20" i="3"/>
  <c r="O21" i="3"/>
  <c r="O22" i="3"/>
  <c r="O23" i="3"/>
  <c r="O24" i="3"/>
  <c r="O25" i="3"/>
  <c r="O26" i="3"/>
  <c r="O27" i="3"/>
  <c r="O28" i="3"/>
  <c r="O29" i="3"/>
  <c r="O30" i="3"/>
  <c r="O31" i="3"/>
  <c r="O32" i="3"/>
  <c r="O33" i="3"/>
  <c r="O34" i="3"/>
  <c r="O35" i="3"/>
  <c r="O13" i="3"/>
  <c r="L15" i="3"/>
  <c r="L16" i="3"/>
  <c r="L17" i="3"/>
  <c r="L18" i="3"/>
  <c r="L19" i="3"/>
  <c r="L20" i="3"/>
  <c r="L21" i="3"/>
  <c r="L22" i="3"/>
  <c r="L23" i="3"/>
  <c r="Z23" i="3" s="1"/>
  <c r="L24" i="3"/>
  <c r="L25" i="3"/>
  <c r="L26" i="3"/>
  <c r="L27" i="3"/>
  <c r="L28" i="3"/>
  <c r="L29" i="3"/>
  <c r="L30" i="3"/>
  <c r="L31" i="3"/>
  <c r="L32" i="3"/>
  <c r="L33" i="3"/>
  <c r="L34" i="3"/>
  <c r="L35" i="3"/>
  <c r="L38" i="3"/>
  <c r="L13" i="3"/>
  <c r="Z13" i="3" s="1"/>
  <c r="H14" i="3"/>
  <c r="H15" i="3"/>
  <c r="H16" i="3"/>
  <c r="H17" i="3"/>
  <c r="H18" i="3"/>
  <c r="H19" i="3"/>
  <c r="H20" i="3"/>
  <c r="H21" i="3"/>
  <c r="H22" i="3"/>
  <c r="H23" i="3"/>
  <c r="H24" i="3"/>
  <c r="H25" i="3"/>
  <c r="H26" i="3"/>
  <c r="H27" i="3"/>
  <c r="H28" i="3"/>
  <c r="H29" i="3"/>
  <c r="H30" i="3"/>
  <c r="H31" i="3"/>
  <c r="H32" i="3"/>
  <c r="H33" i="3"/>
  <c r="H34" i="3"/>
  <c r="H35" i="3"/>
  <c r="H38" i="3"/>
  <c r="H13" i="3"/>
  <c r="E14" i="3"/>
  <c r="E15" i="3"/>
  <c r="Z15" i="3" s="1"/>
  <c r="E16" i="3"/>
  <c r="E17" i="3"/>
  <c r="Z17" i="3" s="1"/>
  <c r="E18" i="3"/>
  <c r="Z18" i="3" s="1"/>
  <c r="E19" i="3"/>
  <c r="Z19" i="3" s="1"/>
  <c r="E20" i="3"/>
  <c r="Z20" i="3" s="1"/>
  <c r="E21" i="3"/>
  <c r="Z21" i="3" s="1"/>
  <c r="E22" i="3"/>
  <c r="Z22" i="3" s="1"/>
  <c r="E24" i="3"/>
  <c r="E25" i="3"/>
  <c r="E26" i="3"/>
  <c r="E27" i="3"/>
  <c r="E28" i="3"/>
  <c r="E29" i="3"/>
  <c r="E30" i="3"/>
  <c r="E31" i="3"/>
  <c r="E32" i="3"/>
  <c r="E33" i="3"/>
  <c r="E34" i="3"/>
  <c r="E35" i="3"/>
  <c r="E38" i="3"/>
  <c r="V23" i="3"/>
  <c r="AA19" i="3"/>
  <c r="V14" i="3"/>
  <c r="V15" i="3"/>
  <c r="V16" i="3"/>
  <c r="V17" i="3"/>
  <c r="V18" i="3"/>
  <c r="V19" i="3"/>
  <c r="V20" i="3"/>
  <c r="V21" i="3"/>
  <c r="V22" i="3"/>
  <c r="V24" i="3"/>
  <c r="V25" i="3"/>
  <c r="V26" i="3"/>
  <c r="V27" i="3"/>
  <c r="V28" i="3"/>
  <c r="V29" i="3"/>
  <c r="V30" i="3"/>
  <c r="V31" i="3"/>
  <c r="V32" i="3"/>
  <c r="V33" i="3"/>
  <c r="V34" i="3"/>
  <c r="V35" i="3"/>
  <c r="V38" i="3"/>
  <c r="S23" i="3"/>
  <c r="FF74" i="3" l="1"/>
  <c r="Z14" i="3"/>
  <c r="FJ72" i="3"/>
  <c r="FJ74" i="3" s="1"/>
  <c r="AK44" i="3"/>
  <c r="AG44" i="3"/>
  <c r="EK13" i="3"/>
  <c r="ES13" i="3" s="1"/>
  <c r="CK44" i="3"/>
  <c r="CG44" i="3"/>
  <c r="CK13" i="3"/>
  <c r="Z33" i="3"/>
  <c r="CF44" i="3"/>
  <c r="AC33" i="3"/>
  <c r="CJ13" i="3"/>
  <c r="CJ44" i="3"/>
  <c r="CG13" i="3"/>
  <c r="Z29" i="3"/>
  <c r="Z25" i="3"/>
  <c r="Z38" i="3"/>
  <c r="Z28" i="3"/>
  <c r="Z24" i="3"/>
  <c r="AC23" i="3"/>
  <c r="O41" i="3"/>
  <c r="V41" i="3"/>
  <c r="Z31" i="3"/>
  <c r="Z27" i="3"/>
  <c r="L41" i="3"/>
  <c r="CF13" i="3"/>
  <c r="Z30" i="3"/>
  <c r="Z26" i="3"/>
  <c r="AC13" i="3"/>
  <c r="H39" i="3"/>
  <c r="Z16" i="3"/>
  <c r="E39" i="3"/>
  <c r="L39" i="3"/>
  <c r="O39" i="3"/>
  <c r="V39" i="3"/>
  <c r="EG44" i="3"/>
  <c r="EK44" i="3"/>
  <c r="EF44" i="3"/>
  <c r="EJ44" i="3"/>
  <c r="AF44" i="3"/>
  <c r="CM13" i="3"/>
  <c r="CQ13" i="3"/>
  <c r="EF13" i="3"/>
  <c r="EM13" i="3"/>
  <c r="EQ13" i="3"/>
  <c r="EJ13" i="3"/>
  <c r="EM44" i="3"/>
  <c r="EQ44" i="3"/>
  <c r="CM44" i="3"/>
  <c r="CQ44" i="3"/>
  <c r="AJ44" i="3"/>
  <c r="AC19" i="3"/>
  <c r="AC14" i="3"/>
  <c r="AC30" i="3"/>
  <c r="AC25" i="3"/>
  <c r="AC16" i="3"/>
  <c r="AC27" i="3"/>
  <c r="AK13" i="3" l="1"/>
  <c r="AG13" i="3"/>
  <c r="CO44" i="3"/>
  <c r="EO13" i="3"/>
  <c r="EW20" i="3" s="1"/>
  <c r="FA20" i="3" s="1"/>
  <c r="CR44" i="3"/>
  <c r="CS44" i="3"/>
  <c r="CN13" i="3"/>
  <c r="CO13" i="3"/>
  <c r="CS13" i="3"/>
  <c r="CN44" i="3"/>
  <c r="ES44" i="3"/>
  <c r="CR13" i="3"/>
  <c r="AJ13" i="3"/>
  <c r="AF13" i="3"/>
  <c r="EO44" i="3"/>
  <c r="ER44" i="3"/>
  <c r="AO44" i="3"/>
  <c r="AN44" i="3"/>
  <c r="AS44" i="3"/>
  <c r="EN44" i="3"/>
  <c r="AR44" i="3"/>
  <c r="CU34" i="3"/>
  <c r="CY34" i="3" s="1"/>
  <c r="CU38" i="3"/>
  <c r="CY38" i="3" s="1"/>
  <c r="CU21" i="3"/>
  <c r="CY21" i="3" s="1"/>
  <c r="CU32" i="3"/>
  <c r="CY32" i="3" s="1"/>
  <c r="CU23" i="3"/>
  <c r="CY23" i="3" s="1"/>
  <c r="CU33" i="3"/>
  <c r="CY33" i="3" s="1"/>
  <c r="CU17" i="3"/>
  <c r="CY17" i="3" s="1"/>
  <c r="CU24" i="3"/>
  <c r="CY24" i="3" s="1"/>
  <c r="CU35" i="3"/>
  <c r="CY35" i="3" s="1"/>
  <c r="CU28" i="3"/>
  <c r="CY28" i="3" s="1"/>
  <c r="CU19" i="3"/>
  <c r="CY19" i="3" s="1"/>
  <c r="CU29" i="3"/>
  <c r="CY29" i="3" s="1"/>
  <c r="CU14" i="3"/>
  <c r="CY14" i="3" s="1"/>
  <c r="CU22" i="3"/>
  <c r="CY22" i="3" s="1"/>
  <c r="CU31" i="3"/>
  <c r="CY31" i="3" s="1"/>
  <c r="CU13" i="3"/>
  <c r="CY13" i="3" s="1"/>
  <c r="CU18" i="3"/>
  <c r="CY18" i="3" s="1"/>
  <c r="CU27" i="3"/>
  <c r="CY27" i="3" s="1"/>
  <c r="CU25" i="3"/>
  <c r="CY25" i="3" s="1"/>
  <c r="CU20" i="3"/>
  <c r="CY20" i="3" s="1"/>
  <c r="CU30" i="3"/>
  <c r="CY30" i="3" s="1"/>
  <c r="CU26" i="3"/>
  <c r="CY26" i="3" s="1"/>
  <c r="CU15" i="3"/>
  <c r="CY15" i="3" s="1"/>
  <c r="CU16" i="3"/>
  <c r="CY16" i="3" s="1"/>
  <c r="EU24" i="3"/>
  <c r="EY24" i="3" s="1"/>
  <c r="EU20" i="3"/>
  <c r="EY20" i="3" s="1"/>
  <c r="EU16" i="3"/>
  <c r="EY16" i="3" s="1"/>
  <c r="EU22" i="3"/>
  <c r="EY22" i="3" s="1"/>
  <c r="EU32" i="3"/>
  <c r="EY32" i="3" s="1"/>
  <c r="EU28" i="3"/>
  <c r="EY28" i="3" s="1"/>
  <c r="EU34" i="3"/>
  <c r="EY34" i="3" s="1"/>
  <c r="EU18" i="3"/>
  <c r="EY18" i="3" s="1"/>
  <c r="EU23" i="3"/>
  <c r="EY23" i="3" s="1"/>
  <c r="EU26" i="3"/>
  <c r="EY26" i="3" s="1"/>
  <c r="EU21" i="3"/>
  <c r="EY21" i="3" s="1"/>
  <c r="EU35" i="3"/>
  <c r="EY35" i="3" s="1"/>
  <c r="EU19" i="3"/>
  <c r="EY19" i="3" s="1"/>
  <c r="EU31" i="3"/>
  <c r="EY31" i="3" s="1"/>
  <c r="EU30" i="3"/>
  <c r="EY30" i="3" s="1"/>
  <c r="EU25" i="3"/>
  <c r="EY25" i="3" s="1"/>
  <c r="EU27" i="3"/>
  <c r="EY27" i="3" s="1"/>
  <c r="EU15" i="3"/>
  <c r="EY15" i="3" s="1"/>
  <c r="EU38" i="3"/>
  <c r="EY38" i="3" s="1"/>
  <c r="EU17" i="3"/>
  <c r="EY17" i="3" s="1"/>
  <c r="EU14" i="3"/>
  <c r="EY14" i="3" s="1"/>
  <c r="EU33" i="3"/>
  <c r="EY33" i="3" s="1"/>
  <c r="EU29" i="3"/>
  <c r="EY29" i="3" s="1"/>
  <c r="EU13" i="3"/>
  <c r="EY13" i="3" s="1"/>
  <c r="EN13" i="3"/>
  <c r="ER13" i="3"/>
  <c r="CU48" i="3"/>
  <c r="CY48" i="3" s="1"/>
  <c r="EU44" i="3"/>
  <c r="EY44" i="3" s="1"/>
  <c r="EU65" i="3"/>
  <c r="EY65" i="3" s="1"/>
  <c r="EU53" i="3"/>
  <c r="EY53" i="3" s="1"/>
  <c r="EU54" i="3"/>
  <c r="EY54" i="3" s="1"/>
  <c r="EU66" i="3"/>
  <c r="EY66" i="3" s="1"/>
  <c r="EU45" i="3"/>
  <c r="EY45" i="3" s="1"/>
  <c r="EU61" i="3"/>
  <c r="EY61" i="3" s="1"/>
  <c r="EU46" i="3"/>
  <c r="EY46" i="3" s="1"/>
  <c r="EU62" i="3"/>
  <c r="EY62" i="3" s="1"/>
  <c r="EU64" i="3"/>
  <c r="EY64" i="3" s="1"/>
  <c r="EU58" i="3"/>
  <c r="EY58" i="3" s="1"/>
  <c r="EU59" i="3"/>
  <c r="EY59" i="3" s="1"/>
  <c r="EU63" i="3"/>
  <c r="EY63" i="3" s="1"/>
  <c r="EU48" i="3"/>
  <c r="EY48" i="3" s="1"/>
  <c r="EU52" i="3"/>
  <c r="EY52" i="3" s="1"/>
  <c r="EU56" i="3"/>
  <c r="EY56" i="3" s="1"/>
  <c r="EU50" i="3"/>
  <c r="EY50" i="3" s="1"/>
  <c r="EU57" i="3"/>
  <c r="EY57" i="3" s="1"/>
  <c r="EU51" i="3"/>
  <c r="EY51" i="3" s="1"/>
  <c r="EU55" i="3"/>
  <c r="EY55" i="3" s="1"/>
  <c r="EU69" i="3"/>
  <c r="EY69" i="3" s="1"/>
  <c r="EU60" i="3"/>
  <c r="EY60" i="3" s="1"/>
  <c r="EU49" i="3"/>
  <c r="EY49" i="3" s="1"/>
  <c r="EU47" i="3"/>
  <c r="EY47" i="3" s="1"/>
  <c r="CU44" i="3"/>
  <c r="CY44" i="3" s="1"/>
  <c r="CU63" i="3"/>
  <c r="CY63" i="3" s="1"/>
  <c r="CU69" i="3"/>
  <c r="CY69" i="3" s="1"/>
  <c r="CU64" i="3"/>
  <c r="CY64" i="3" s="1"/>
  <c r="CU49" i="3"/>
  <c r="CY49" i="3" s="1"/>
  <c r="CU53" i="3"/>
  <c r="CY53" i="3" s="1"/>
  <c r="CU57" i="3"/>
  <c r="CY57" i="3" s="1"/>
  <c r="CU65" i="3"/>
  <c r="CY65" i="3" s="1"/>
  <c r="CU46" i="3"/>
  <c r="CY46" i="3" s="1"/>
  <c r="CU50" i="3"/>
  <c r="CY50" i="3" s="1"/>
  <c r="CU54" i="3"/>
  <c r="CY54" i="3" s="1"/>
  <c r="CU58" i="3"/>
  <c r="CY58" i="3" s="1"/>
  <c r="CU62" i="3"/>
  <c r="CY62" i="3" s="1"/>
  <c r="CU66" i="3"/>
  <c r="CY66" i="3" s="1"/>
  <c r="CU56" i="3"/>
  <c r="CY56" i="3" s="1"/>
  <c r="CU55" i="3"/>
  <c r="CY55" i="3" s="1"/>
  <c r="CU47" i="3"/>
  <c r="CY47" i="3" s="1"/>
  <c r="CU45" i="3"/>
  <c r="CY45" i="3" s="1"/>
  <c r="CU59" i="3"/>
  <c r="CY59" i="3" s="1"/>
  <c r="CU60" i="3"/>
  <c r="CY60" i="3" s="1"/>
  <c r="CU61" i="3"/>
  <c r="CY61" i="3" s="1"/>
  <c r="CU51" i="3"/>
  <c r="CY51" i="3" s="1"/>
  <c r="CU52" i="3"/>
  <c r="CY52" i="3" s="1"/>
  <c r="X13" i="3"/>
  <c r="DV69" i="3"/>
  <c r="DV66" i="3"/>
  <c r="DV65" i="3"/>
  <c r="DS69" i="3"/>
  <c r="DS66" i="3"/>
  <c r="DS65" i="3"/>
  <c r="AB45" i="3"/>
  <c r="AA61" i="3"/>
  <c r="AA58" i="3"/>
  <c r="AA56" i="3"/>
  <c r="AA50" i="3"/>
  <c r="AA47" i="3"/>
  <c r="AA45" i="3"/>
  <c r="Y62" i="3"/>
  <c r="Y61" i="3"/>
  <c r="Y60" i="3"/>
  <c r="Y58" i="3"/>
  <c r="Y57" i="3"/>
  <c r="Y56" i="3"/>
  <c r="Y55" i="3"/>
  <c r="Y51" i="3"/>
  <c r="Y50" i="3"/>
  <c r="Y47" i="3"/>
  <c r="Y46" i="3"/>
  <c r="Y45" i="3"/>
  <c r="X69" i="3"/>
  <c r="X62" i="3"/>
  <c r="X61" i="3"/>
  <c r="X60" i="3"/>
  <c r="X59" i="3"/>
  <c r="X58" i="3"/>
  <c r="X57" i="3"/>
  <c r="X56" i="3"/>
  <c r="X55" i="3"/>
  <c r="X53" i="3"/>
  <c r="X52" i="3"/>
  <c r="X51" i="3"/>
  <c r="X50" i="3"/>
  <c r="X49" i="3"/>
  <c r="X48" i="3"/>
  <c r="X47" i="3"/>
  <c r="X46" i="3"/>
  <c r="X45" i="3"/>
  <c r="CQ13" i="4"/>
  <c r="DV15" i="3"/>
  <c r="DV14" i="3"/>
  <c r="DV13" i="3"/>
  <c r="DS15" i="3"/>
  <c r="DS14" i="3"/>
  <c r="DS13" i="3"/>
  <c r="DS39" i="3" s="1"/>
  <c r="DS70" i="3" l="1"/>
  <c r="CW33" i="3"/>
  <c r="DA33" i="3" s="1"/>
  <c r="CW13" i="3"/>
  <c r="DA13" i="3" s="1"/>
  <c r="AO13" i="3"/>
  <c r="CW47" i="3"/>
  <c r="DA47" i="3" s="1"/>
  <c r="CW52" i="3"/>
  <c r="DA52" i="3" s="1"/>
  <c r="CW44" i="3"/>
  <c r="DA44" i="3" s="1"/>
  <c r="CW61" i="3"/>
  <c r="DA61" i="3" s="1"/>
  <c r="CW46" i="3"/>
  <c r="DA46" i="3" s="1"/>
  <c r="CW62" i="3"/>
  <c r="DA62" i="3" s="1"/>
  <c r="CW49" i="3"/>
  <c r="DA49" i="3" s="1"/>
  <c r="CW48" i="3"/>
  <c r="DA48" i="3" s="1"/>
  <c r="CW51" i="3"/>
  <c r="DA51" i="3" s="1"/>
  <c r="CW54" i="3"/>
  <c r="DA54" i="3" s="1"/>
  <c r="CW45" i="3"/>
  <c r="DA45" i="3" s="1"/>
  <c r="CW63" i="3"/>
  <c r="DA63" i="3" s="1"/>
  <c r="CW65" i="3"/>
  <c r="DA65" i="3" s="1"/>
  <c r="CW64" i="3"/>
  <c r="DA64" i="3" s="1"/>
  <c r="CW55" i="3"/>
  <c r="DA55" i="3" s="1"/>
  <c r="CW58" i="3"/>
  <c r="DA58" i="3" s="1"/>
  <c r="CW57" i="3"/>
  <c r="DA57" i="3" s="1"/>
  <c r="CW56" i="3"/>
  <c r="DA56" i="3" s="1"/>
  <c r="CW59" i="3"/>
  <c r="DA59" i="3" s="1"/>
  <c r="CV69" i="3"/>
  <c r="CZ69" i="3" s="1"/>
  <c r="CV59" i="3"/>
  <c r="CZ59" i="3" s="1"/>
  <c r="EW32" i="3"/>
  <c r="FA32" i="3" s="1"/>
  <c r="EW28" i="3"/>
  <c r="FA28" i="3" s="1"/>
  <c r="CV44" i="3"/>
  <c r="CZ44" i="3" s="1"/>
  <c r="CV62" i="3"/>
  <c r="CZ62" i="3" s="1"/>
  <c r="EW22" i="3"/>
  <c r="FA22" i="3" s="1"/>
  <c r="EW16" i="3"/>
  <c r="FA16" i="3" s="1"/>
  <c r="EW38" i="3"/>
  <c r="FA38" i="3" s="1"/>
  <c r="EW18" i="3"/>
  <c r="FA18" i="3" s="1"/>
  <c r="CV47" i="3"/>
  <c r="CZ47" i="3" s="1"/>
  <c r="CV46" i="3"/>
  <c r="CZ46" i="3" s="1"/>
  <c r="EW63" i="3"/>
  <c r="FA63" i="3" s="1"/>
  <c r="CV16" i="3"/>
  <c r="CZ16" i="3" s="1"/>
  <c r="EW34" i="3"/>
  <c r="FA34" i="3" s="1"/>
  <c r="EW14" i="3"/>
  <c r="FA14" i="3" s="1"/>
  <c r="EW13" i="3"/>
  <c r="FA13" i="3" s="1"/>
  <c r="EW26" i="3"/>
  <c r="FA26" i="3" s="1"/>
  <c r="CV34" i="3"/>
  <c r="CZ34" i="3" s="1"/>
  <c r="EW30" i="3"/>
  <c r="FA30" i="3" s="1"/>
  <c r="EW35" i="3"/>
  <c r="FA35" i="3" s="1"/>
  <c r="EW33" i="3"/>
  <c r="FA33" i="3" s="1"/>
  <c r="EW29" i="3"/>
  <c r="FA29" i="3" s="1"/>
  <c r="EW25" i="3"/>
  <c r="FA25" i="3" s="1"/>
  <c r="EW27" i="3"/>
  <c r="FA27" i="3" s="1"/>
  <c r="CV50" i="3"/>
  <c r="CZ50" i="3" s="1"/>
  <c r="CW66" i="3"/>
  <c r="DA66" i="3" s="1"/>
  <c r="CW50" i="3"/>
  <c r="DA50" i="3" s="1"/>
  <c r="CW53" i="3"/>
  <c r="DA53" i="3" s="1"/>
  <c r="CW60" i="3"/>
  <c r="DA60" i="3" s="1"/>
  <c r="CW69" i="3"/>
  <c r="DA69" i="3" s="1"/>
  <c r="EW17" i="3"/>
  <c r="FA17" i="3" s="1"/>
  <c r="EW31" i="3"/>
  <c r="FA31" i="3" s="1"/>
  <c r="EW21" i="3"/>
  <c r="FA21" i="3" s="1"/>
  <c r="EW15" i="3"/>
  <c r="FA15" i="3" s="1"/>
  <c r="EW24" i="3"/>
  <c r="FA24" i="3" s="1"/>
  <c r="EW19" i="3"/>
  <c r="FA19" i="3" s="1"/>
  <c r="EW23" i="3"/>
  <c r="FA23" i="3" s="1"/>
  <c r="CV31" i="3"/>
  <c r="CZ31" i="3" s="1"/>
  <c r="CV13" i="3"/>
  <c r="CZ13" i="3" s="1"/>
  <c r="DS72" i="3"/>
  <c r="CV45" i="3"/>
  <c r="CZ45" i="3" s="1"/>
  <c r="CW25" i="3"/>
  <c r="DA25" i="3" s="1"/>
  <c r="CV66" i="3"/>
  <c r="CZ66" i="3" s="1"/>
  <c r="CV56" i="3"/>
  <c r="CZ56" i="3" s="1"/>
  <c r="CV51" i="3"/>
  <c r="CZ51" i="3" s="1"/>
  <c r="CV57" i="3"/>
  <c r="CZ57" i="3" s="1"/>
  <c r="CV64" i="3"/>
  <c r="CZ64" i="3" s="1"/>
  <c r="CV63" i="3"/>
  <c r="CZ63" i="3" s="1"/>
  <c r="CV55" i="3"/>
  <c r="CZ55" i="3" s="1"/>
  <c r="CV49" i="3"/>
  <c r="CZ49" i="3" s="1"/>
  <c r="CW16" i="3"/>
  <c r="DA16" i="3" s="1"/>
  <c r="CV60" i="3"/>
  <c r="CZ60" i="3" s="1"/>
  <c r="CV48" i="3"/>
  <c r="CZ48" i="3" s="1"/>
  <c r="CV65" i="3"/>
  <c r="CZ65" i="3" s="1"/>
  <c r="CV58" i="3"/>
  <c r="CZ58" i="3" s="1"/>
  <c r="CV61" i="3"/>
  <c r="CZ61" i="3" s="1"/>
  <c r="CV52" i="3"/>
  <c r="CZ52" i="3" s="1"/>
  <c r="CV53" i="3"/>
  <c r="CZ53" i="3" s="1"/>
  <c r="CV54" i="3"/>
  <c r="CZ54" i="3" s="1"/>
  <c r="CW24" i="3"/>
  <c r="DA24" i="3" s="1"/>
  <c r="CW26" i="3"/>
  <c r="DA26" i="3" s="1"/>
  <c r="CW32" i="3"/>
  <c r="DA32" i="3" s="1"/>
  <c r="CW30" i="3"/>
  <c r="DA30" i="3" s="1"/>
  <c r="CW19" i="3"/>
  <c r="DA19" i="3" s="1"/>
  <c r="CW28" i="3"/>
  <c r="DA28" i="3" s="1"/>
  <c r="CW34" i="3"/>
  <c r="DA34" i="3" s="1"/>
  <c r="CW17" i="3"/>
  <c r="DA17" i="3" s="1"/>
  <c r="CW23" i="3"/>
  <c r="DA23" i="3" s="1"/>
  <c r="CW14" i="3"/>
  <c r="DA14" i="3" s="1"/>
  <c r="CV18" i="3"/>
  <c r="CZ18" i="3" s="1"/>
  <c r="CW38" i="3"/>
  <c r="DA38" i="3" s="1"/>
  <c r="CW15" i="3"/>
  <c r="DA15" i="3" s="1"/>
  <c r="CW29" i="3"/>
  <c r="DA29" i="3" s="1"/>
  <c r="CW22" i="3"/>
  <c r="DA22" i="3" s="1"/>
  <c r="CW20" i="3"/>
  <c r="DA20" i="3" s="1"/>
  <c r="CW27" i="3"/>
  <c r="DA27" i="3" s="1"/>
  <c r="CV17" i="3"/>
  <c r="CZ17" i="3" s="1"/>
  <c r="CV26" i="3"/>
  <c r="CZ26" i="3" s="1"/>
  <c r="CW35" i="3"/>
  <c r="DA35" i="3" s="1"/>
  <c r="CW31" i="3"/>
  <c r="DA31" i="3" s="1"/>
  <c r="CW18" i="3"/>
  <c r="DA18" i="3" s="1"/>
  <c r="CW21" i="3"/>
  <c r="DA21" i="3" s="1"/>
  <c r="EV62" i="3"/>
  <c r="EZ62" i="3" s="1"/>
  <c r="EW61" i="3"/>
  <c r="FA61" i="3" s="1"/>
  <c r="EW54" i="3"/>
  <c r="FA54" i="3" s="1"/>
  <c r="EW62" i="3"/>
  <c r="FA62" i="3" s="1"/>
  <c r="EW53" i="3"/>
  <c r="FA53" i="3" s="1"/>
  <c r="EV54" i="3"/>
  <c r="EZ54" i="3" s="1"/>
  <c r="EW46" i="3"/>
  <c r="FA46" i="3" s="1"/>
  <c r="EW56" i="3"/>
  <c r="FA56" i="3" s="1"/>
  <c r="EW52" i="3"/>
  <c r="FA52" i="3" s="1"/>
  <c r="EW45" i="3"/>
  <c r="FA45" i="3" s="1"/>
  <c r="EW59" i="3"/>
  <c r="FA59" i="3" s="1"/>
  <c r="CV33" i="3"/>
  <c r="CZ33" i="3" s="1"/>
  <c r="CV25" i="3"/>
  <c r="CZ25" i="3" s="1"/>
  <c r="CV21" i="3"/>
  <c r="CZ21" i="3" s="1"/>
  <c r="CV20" i="3"/>
  <c r="CZ20" i="3" s="1"/>
  <c r="CV19" i="3"/>
  <c r="CZ19" i="3" s="1"/>
  <c r="CV28" i="3"/>
  <c r="CZ28" i="3" s="1"/>
  <c r="EW47" i="3"/>
  <c r="FA47" i="3" s="1"/>
  <c r="EW65" i="3"/>
  <c r="FA65" i="3" s="1"/>
  <c r="EW69" i="3"/>
  <c r="FA69" i="3" s="1"/>
  <c r="EW51" i="3"/>
  <c r="FA51" i="3" s="1"/>
  <c r="CV15" i="3"/>
  <c r="CZ15" i="3" s="1"/>
  <c r="CV23" i="3"/>
  <c r="CZ23" i="3" s="1"/>
  <c r="CV29" i="3"/>
  <c r="CZ29" i="3" s="1"/>
  <c r="CV30" i="3"/>
  <c r="CZ30" i="3" s="1"/>
  <c r="CV35" i="3"/>
  <c r="CZ35" i="3" s="1"/>
  <c r="CV32" i="3"/>
  <c r="CZ32" i="3" s="1"/>
  <c r="DV72" i="3"/>
  <c r="EW58" i="3"/>
  <c r="FA58" i="3" s="1"/>
  <c r="EW44" i="3"/>
  <c r="FA44" i="3" s="1"/>
  <c r="EW57" i="3"/>
  <c r="FA57" i="3" s="1"/>
  <c r="EW48" i="3"/>
  <c r="FA48" i="3" s="1"/>
  <c r="EW66" i="3"/>
  <c r="FA66" i="3" s="1"/>
  <c r="CV22" i="3"/>
  <c r="CZ22" i="3" s="1"/>
  <c r="CV14" i="3"/>
  <c r="CZ14" i="3" s="1"/>
  <c r="CV27" i="3"/>
  <c r="CZ27" i="3" s="1"/>
  <c r="CV38" i="3"/>
  <c r="CZ38" i="3" s="1"/>
  <c r="CV24" i="3"/>
  <c r="CZ24" i="3" s="1"/>
  <c r="DS41" i="3"/>
  <c r="AR13" i="3"/>
  <c r="AN13" i="3"/>
  <c r="CY70" i="3"/>
  <c r="EV47" i="3"/>
  <c r="EZ47" i="3" s="1"/>
  <c r="EY70" i="3"/>
  <c r="EY39" i="3"/>
  <c r="CY39" i="3"/>
  <c r="DV41" i="3"/>
  <c r="DV39" i="3"/>
  <c r="AW57" i="3"/>
  <c r="AV46" i="3"/>
  <c r="AZ46" i="3" s="1"/>
  <c r="AV50" i="3"/>
  <c r="AZ50" i="3" s="1"/>
  <c r="AV58" i="3"/>
  <c r="AZ58" i="3" s="1"/>
  <c r="AV62" i="3"/>
  <c r="AZ62" i="3" s="1"/>
  <c r="AV66" i="3"/>
  <c r="AZ66" i="3" s="1"/>
  <c r="AV47" i="3"/>
  <c r="AZ47" i="3" s="1"/>
  <c r="AV59" i="3"/>
  <c r="AZ59" i="3" s="1"/>
  <c r="AV56" i="3"/>
  <c r="AZ56" i="3" s="1"/>
  <c r="AV44" i="3"/>
  <c r="AZ44" i="3" s="1"/>
  <c r="AV45" i="3"/>
  <c r="AZ45" i="3" s="1"/>
  <c r="AV49" i="3"/>
  <c r="AZ49" i="3" s="1"/>
  <c r="AV53" i="3"/>
  <c r="AZ53" i="3" s="1"/>
  <c r="AV57" i="3"/>
  <c r="AZ57" i="3" s="1"/>
  <c r="AV61" i="3"/>
  <c r="AZ61" i="3" s="1"/>
  <c r="AV65" i="3"/>
  <c r="AZ65" i="3" s="1"/>
  <c r="AV51" i="3"/>
  <c r="AZ51" i="3" s="1"/>
  <c r="AV55" i="3"/>
  <c r="AZ55" i="3" s="1"/>
  <c r="AV63" i="3"/>
  <c r="AZ63" i="3" s="1"/>
  <c r="AV69" i="3"/>
  <c r="AZ69" i="3" s="1"/>
  <c r="AV48" i="3"/>
  <c r="AZ48" i="3" s="1"/>
  <c r="AV52" i="3"/>
  <c r="AZ52" i="3" s="1"/>
  <c r="AV60" i="3"/>
  <c r="AZ60" i="3" s="1"/>
  <c r="AV64" i="3"/>
  <c r="AZ64" i="3" s="1"/>
  <c r="AV54" i="3"/>
  <c r="AZ54" i="3" s="1"/>
  <c r="EV55" i="3"/>
  <c r="EZ55" i="3" s="1"/>
  <c r="EV53" i="3"/>
  <c r="EZ53" i="3" s="1"/>
  <c r="EV57" i="3"/>
  <c r="EZ57" i="3" s="1"/>
  <c r="AW47" i="3"/>
  <c r="EV59" i="3"/>
  <c r="EZ59" i="3" s="1"/>
  <c r="EV69" i="3"/>
  <c r="EZ69" i="3" s="1"/>
  <c r="EV45" i="3"/>
  <c r="EZ45" i="3" s="1"/>
  <c r="EV65" i="3"/>
  <c r="EZ65" i="3" s="1"/>
  <c r="AW52" i="3"/>
  <c r="EV51" i="3"/>
  <c r="EZ51" i="3" s="1"/>
  <c r="EV48" i="3"/>
  <c r="EZ48" i="3" s="1"/>
  <c r="EV49" i="3"/>
  <c r="EZ49" i="3" s="1"/>
  <c r="EV44" i="3"/>
  <c r="EZ44" i="3" s="1"/>
  <c r="EV52" i="3"/>
  <c r="EZ52" i="3" s="1"/>
  <c r="EV66" i="3"/>
  <c r="EZ66" i="3" s="1"/>
  <c r="EV60" i="3"/>
  <c r="EZ60" i="3" s="1"/>
  <c r="EV58" i="3"/>
  <c r="EZ58" i="3" s="1"/>
  <c r="EV61" i="3"/>
  <c r="EZ61" i="3" s="1"/>
  <c r="EW50" i="3"/>
  <c r="FA50" i="3" s="1"/>
  <c r="EW60" i="3"/>
  <c r="FA60" i="3" s="1"/>
  <c r="EW49" i="3"/>
  <c r="FA49" i="3" s="1"/>
  <c r="EW64" i="3"/>
  <c r="FA64" i="3" s="1"/>
  <c r="EW55" i="3"/>
  <c r="FA55" i="3" s="1"/>
  <c r="EV63" i="3"/>
  <c r="EZ63" i="3" s="1"/>
  <c r="EV50" i="3"/>
  <c r="EZ50" i="3" s="1"/>
  <c r="EV64" i="3"/>
  <c r="EZ64" i="3" s="1"/>
  <c r="EV56" i="3"/>
  <c r="EZ56" i="3" s="1"/>
  <c r="EV46" i="3"/>
  <c r="EZ46" i="3" s="1"/>
  <c r="AW51" i="3"/>
  <c r="AW66" i="3"/>
  <c r="AW48" i="3"/>
  <c r="AW54" i="3"/>
  <c r="AW44" i="3"/>
  <c r="BA44" i="3" s="1"/>
  <c r="AW59" i="3"/>
  <c r="AW53" i="3"/>
  <c r="AW50" i="3"/>
  <c r="AW64" i="3"/>
  <c r="AW55" i="3"/>
  <c r="AW61" i="3"/>
  <c r="AW58" i="3"/>
  <c r="AW65" i="3"/>
  <c r="AW45" i="3"/>
  <c r="AW56" i="3"/>
  <c r="AW63" i="3"/>
  <c r="AW62" i="3"/>
  <c r="AW46" i="3"/>
  <c r="AW49" i="3"/>
  <c r="AW60" i="3"/>
  <c r="AW69" i="3"/>
  <c r="EV34" i="3"/>
  <c r="EZ34" i="3" s="1"/>
  <c r="EV20" i="3"/>
  <c r="EZ20" i="3" s="1"/>
  <c r="EV35" i="3"/>
  <c r="EZ35" i="3" s="1"/>
  <c r="EV26" i="3"/>
  <c r="EZ26" i="3" s="1"/>
  <c r="EV23" i="3"/>
  <c r="EZ23" i="3" s="1"/>
  <c r="EV30" i="3"/>
  <c r="EZ30" i="3" s="1"/>
  <c r="EV16" i="3"/>
  <c r="EZ16" i="3" s="1"/>
  <c r="EV15" i="3"/>
  <c r="EZ15" i="3" s="1"/>
  <c r="EV21" i="3"/>
  <c r="EZ21" i="3" s="1"/>
  <c r="EV27" i="3"/>
  <c r="EZ27" i="3" s="1"/>
  <c r="EV29" i="3"/>
  <c r="EZ29" i="3" s="1"/>
  <c r="EV18" i="3"/>
  <c r="EZ18" i="3" s="1"/>
  <c r="EV22" i="3"/>
  <c r="EZ22" i="3" s="1"/>
  <c r="EV25" i="3"/>
  <c r="EZ25" i="3" s="1"/>
  <c r="EV19" i="3"/>
  <c r="EZ19" i="3" s="1"/>
  <c r="EV32" i="3"/>
  <c r="EZ32" i="3" s="1"/>
  <c r="EV13" i="3"/>
  <c r="EZ13" i="3" s="1"/>
  <c r="EV17" i="3"/>
  <c r="EZ17" i="3" s="1"/>
  <c r="EV14" i="3"/>
  <c r="EZ14" i="3" s="1"/>
  <c r="EV33" i="3"/>
  <c r="EZ33" i="3" s="1"/>
  <c r="EV31" i="3"/>
  <c r="EZ31" i="3" s="1"/>
  <c r="EV28" i="3"/>
  <c r="EZ28" i="3" s="1"/>
  <c r="EV38" i="3"/>
  <c r="EZ38" i="3" s="1"/>
  <c r="EV24" i="3"/>
  <c r="EZ24" i="3" s="1"/>
  <c r="AI44" i="3"/>
  <c r="AE44" i="3"/>
  <c r="Y31" i="3"/>
  <c r="AA30" i="3"/>
  <c r="Y30" i="3"/>
  <c r="Y29" i="3"/>
  <c r="AA27" i="3"/>
  <c r="Y27" i="3"/>
  <c r="Y26" i="3"/>
  <c r="AA25" i="3"/>
  <c r="Y25" i="3"/>
  <c r="Y24" i="3"/>
  <c r="Y20" i="3"/>
  <c r="Y19" i="3"/>
  <c r="Y16" i="3"/>
  <c r="Y15" i="3"/>
  <c r="AB14" i="3"/>
  <c r="AA14" i="3"/>
  <c r="Y14" i="3"/>
  <c r="AB13" i="3"/>
  <c r="AA13" i="3"/>
  <c r="Y13" i="3"/>
  <c r="X38" i="3"/>
  <c r="X31" i="3"/>
  <c r="X30" i="3"/>
  <c r="X29" i="3"/>
  <c r="X28" i="3"/>
  <c r="X27" i="3"/>
  <c r="X26" i="3"/>
  <c r="X25" i="3"/>
  <c r="X24" i="3"/>
  <c r="X22" i="3"/>
  <c r="X21" i="3"/>
  <c r="X20" i="3"/>
  <c r="X19" i="3"/>
  <c r="X18" i="3"/>
  <c r="X17" i="3"/>
  <c r="X16" i="3"/>
  <c r="X15" i="3"/>
  <c r="X14" i="3"/>
  <c r="O13" i="4"/>
  <c r="S14" i="3"/>
  <c r="S15" i="3"/>
  <c r="S16" i="3"/>
  <c r="S17" i="3"/>
  <c r="S18" i="3"/>
  <c r="S19" i="3"/>
  <c r="S20" i="3"/>
  <c r="S21" i="3"/>
  <c r="S22" i="3"/>
  <c r="S24" i="3"/>
  <c r="S25" i="3"/>
  <c r="S26" i="3"/>
  <c r="S27" i="3"/>
  <c r="S28" i="3"/>
  <c r="S29" i="3"/>
  <c r="S30" i="3"/>
  <c r="S31" i="3"/>
  <c r="S32" i="3"/>
  <c r="S33" i="3"/>
  <c r="S34" i="3"/>
  <c r="S35" i="3"/>
  <c r="S38" i="3"/>
  <c r="EZ39" i="3" l="1"/>
  <c r="EY41" i="3"/>
  <c r="EY42" i="3"/>
  <c r="DA70" i="3"/>
  <c r="FA39" i="3"/>
  <c r="CZ70" i="3"/>
  <c r="CZ72" i="3" s="1"/>
  <c r="AV18" i="3"/>
  <c r="AZ18" i="3" s="1"/>
  <c r="DA39" i="3"/>
  <c r="CZ39" i="3"/>
  <c r="FA70" i="3"/>
  <c r="FA72" i="3" s="1"/>
  <c r="AV38" i="3"/>
  <c r="AZ38" i="3" s="1"/>
  <c r="EZ70" i="3"/>
  <c r="EZ73" i="3" s="1"/>
  <c r="AV22" i="3"/>
  <c r="AZ22" i="3" s="1"/>
  <c r="AV20" i="3"/>
  <c r="AZ20" i="3" s="1"/>
  <c r="AV27" i="3"/>
  <c r="AZ27" i="3" s="1"/>
  <c r="AV21" i="3"/>
  <c r="AZ21" i="3" s="1"/>
  <c r="AV34" i="3"/>
  <c r="AZ34" i="3" s="1"/>
  <c r="AV33" i="3"/>
  <c r="AZ33" i="3" s="1"/>
  <c r="AV32" i="3"/>
  <c r="AZ32" i="3" s="1"/>
  <c r="AV16" i="3"/>
  <c r="AZ16" i="3" s="1"/>
  <c r="AV23" i="3"/>
  <c r="AZ23" i="3" s="1"/>
  <c r="AV30" i="3"/>
  <c r="AZ30" i="3" s="1"/>
  <c r="AV14" i="3"/>
  <c r="AZ14" i="3" s="1"/>
  <c r="AV17" i="3"/>
  <c r="AZ17" i="3" s="1"/>
  <c r="AV28" i="3"/>
  <c r="AZ28" i="3" s="1"/>
  <c r="AV35" i="3"/>
  <c r="AZ35" i="3" s="1"/>
  <c r="AV19" i="3"/>
  <c r="AZ19" i="3" s="1"/>
  <c r="AV26" i="3"/>
  <c r="AZ26" i="3" s="1"/>
  <c r="AV13" i="3"/>
  <c r="AZ13" i="3" s="1"/>
  <c r="AV25" i="3"/>
  <c r="AZ25" i="3" s="1"/>
  <c r="AV29" i="3"/>
  <c r="AZ29" i="3" s="1"/>
  <c r="AV24" i="3"/>
  <c r="AZ24" i="3" s="1"/>
  <c r="AV31" i="3"/>
  <c r="AZ31" i="3" s="1"/>
  <c r="AV15" i="3"/>
  <c r="AZ15" i="3" s="1"/>
  <c r="EY72" i="3"/>
  <c r="EY73" i="3"/>
  <c r="CY73" i="3"/>
  <c r="CY72" i="3"/>
  <c r="CY42" i="3"/>
  <c r="CY41" i="3"/>
  <c r="S41" i="3"/>
  <c r="AZ70" i="3"/>
  <c r="AZ72" i="3" s="1"/>
  <c r="S39" i="3"/>
  <c r="AI13" i="3"/>
  <c r="AE13" i="3"/>
  <c r="AM44" i="3"/>
  <c r="AQ44" i="3"/>
  <c r="EZ42" i="3" l="1"/>
  <c r="EZ41" i="3"/>
  <c r="CZ42" i="3"/>
  <c r="CZ41" i="3"/>
  <c r="FA42" i="3"/>
  <c r="FA41" i="3"/>
  <c r="DA42" i="3"/>
  <c r="DA41" i="3"/>
  <c r="DA73" i="3"/>
  <c r="DA72" i="3"/>
  <c r="EZ72" i="3"/>
  <c r="FD72" i="3" s="1"/>
  <c r="FH72" i="3" s="1"/>
  <c r="CZ73" i="3"/>
  <c r="FA73" i="3"/>
  <c r="AZ39" i="3"/>
  <c r="AZ41" i="3" s="1"/>
  <c r="AU46" i="3"/>
  <c r="AY46" i="3" s="1"/>
  <c r="AU50" i="3"/>
  <c r="AY50" i="3" s="1"/>
  <c r="AU58" i="3"/>
  <c r="AY58" i="3" s="1"/>
  <c r="AU62" i="3"/>
  <c r="AY62" i="3" s="1"/>
  <c r="AU66" i="3"/>
  <c r="AY66" i="3" s="1"/>
  <c r="AU47" i="3"/>
  <c r="AY47" i="3" s="1"/>
  <c r="AU51" i="3"/>
  <c r="AY51" i="3" s="1"/>
  <c r="AU55" i="3"/>
  <c r="AY55" i="3" s="1"/>
  <c r="AU59" i="3"/>
  <c r="AY59" i="3" s="1"/>
  <c r="AU63" i="3"/>
  <c r="AY63" i="3" s="1"/>
  <c r="AU69" i="3"/>
  <c r="AY69" i="3" s="1"/>
  <c r="AU48" i="3"/>
  <c r="AY48" i="3" s="1"/>
  <c r="AU52" i="3"/>
  <c r="AY52" i="3" s="1"/>
  <c r="AU56" i="3"/>
  <c r="AY56" i="3" s="1"/>
  <c r="AU60" i="3"/>
  <c r="AY60" i="3" s="1"/>
  <c r="AU64" i="3"/>
  <c r="AY64" i="3" s="1"/>
  <c r="AU44" i="3"/>
  <c r="AY44" i="3" s="1"/>
  <c r="AU45" i="3"/>
  <c r="AY45" i="3" s="1"/>
  <c r="AU49" i="3"/>
  <c r="AY49" i="3" s="1"/>
  <c r="AU53" i="3"/>
  <c r="AY53" i="3" s="1"/>
  <c r="AU57" i="3"/>
  <c r="AY57" i="3" s="1"/>
  <c r="AU61" i="3"/>
  <c r="AY61" i="3" s="1"/>
  <c r="AU65" i="3"/>
  <c r="AY65" i="3" s="1"/>
  <c r="AU54" i="3"/>
  <c r="AY54" i="3" s="1"/>
  <c r="AZ73" i="3"/>
  <c r="AM13" i="3"/>
  <c r="AQ13" i="3"/>
  <c r="FD41" i="3" l="1"/>
  <c r="FH41" i="3" s="1"/>
  <c r="FH74" i="3" s="1"/>
  <c r="AZ42" i="3"/>
  <c r="AU38" i="3"/>
  <c r="AY38" i="3" s="1"/>
  <c r="AY70" i="3"/>
  <c r="AU13" i="3"/>
  <c r="AY13" i="3" s="1"/>
  <c r="AU16" i="3"/>
  <c r="AY16" i="3" s="1"/>
  <c r="AU20" i="3"/>
  <c r="AY20" i="3" s="1"/>
  <c r="AU24" i="3"/>
  <c r="AY24" i="3" s="1"/>
  <c r="AU28" i="3"/>
  <c r="AY28" i="3" s="1"/>
  <c r="AU32" i="3"/>
  <c r="AY32" i="3" s="1"/>
  <c r="AU17" i="3"/>
  <c r="AY17" i="3" s="1"/>
  <c r="AU21" i="3"/>
  <c r="AY21" i="3" s="1"/>
  <c r="AU25" i="3"/>
  <c r="AY25" i="3" s="1"/>
  <c r="AU29" i="3"/>
  <c r="AY29" i="3" s="1"/>
  <c r="AU33" i="3"/>
  <c r="AY33" i="3" s="1"/>
  <c r="AU14" i="3"/>
  <c r="AY14" i="3" s="1"/>
  <c r="AU18" i="3"/>
  <c r="AY18" i="3" s="1"/>
  <c r="AU22" i="3"/>
  <c r="AY22" i="3" s="1"/>
  <c r="AU26" i="3"/>
  <c r="AY26" i="3" s="1"/>
  <c r="AU30" i="3"/>
  <c r="AY30" i="3" s="1"/>
  <c r="AU34" i="3"/>
  <c r="AY34" i="3" s="1"/>
  <c r="AU19" i="3"/>
  <c r="AY19" i="3" s="1"/>
  <c r="AU35" i="3"/>
  <c r="AY35" i="3" s="1"/>
  <c r="AU23" i="3"/>
  <c r="AY23" i="3" s="1"/>
  <c r="AU27" i="3"/>
  <c r="AY27" i="3" s="1"/>
  <c r="AU15" i="3"/>
  <c r="AY15" i="3" s="1"/>
  <c r="AU31" i="3"/>
  <c r="AY31" i="3" s="1"/>
  <c r="AS13" i="3"/>
  <c r="AW13" i="3" s="1"/>
  <c r="BA13" i="3" s="1"/>
  <c r="FD74" i="3" l="1"/>
  <c r="AY39" i="3"/>
  <c r="AY72" i="3"/>
  <c r="FC72" i="3" s="1"/>
  <c r="FG72" i="3" s="1"/>
  <c r="AY73" i="3"/>
  <c r="BA48" i="3"/>
  <c r="BA64" i="3"/>
  <c r="AW24" i="3"/>
  <c r="BA24" i="3" s="1"/>
  <c r="BA45" i="3"/>
  <c r="BA61" i="3"/>
  <c r="AW25" i="3"/>
  <c r="BA25" i="3" s="1"/>
  <c r="BA46" i="3"/>
  <c r="BA62" i="3"/>
  <c r="AW22" i="3"/>
  <c r="BA22" i="3" s="1"/>
  <c r="BA47" i="3"/>
  <c r="BA63" i="3"/>
  <c r="AW23" i="3"/>
  <c r="BA23" i="3" s="1"/>
  <c r="BA52" i="3"/>
  <c r="AW28" i="3"/>
  <c r="BA28" i="3" s="1"/>
  <c r="BA49" i="3"/>
  <c r="BA65" i="3"/>
  <c r="AW29" i="3"/>
  <c r="BA29" i="3" s="1"/>
  <c r="BA50" i="3"/>
  <c r="BA66" i="3"/>
  <c r="AW26" i="3"/>
  <c r="BA26" i="3" s="1"/>
  <c r="BA51" i="3"/>
  <c r="BA69" i="3"/>
  <c r="AW27" i="3"/>
  <c r="BA27" i="3" s="1"/>
  <c r="BA56" i="3"/>
  <c r="AW16" i="3"/>
  <c r="BA16" i="3" s="1"/>
  <c r="AW32" i="3"/>
  <c r="BA32" i="3" s="1"/>
  <c r="BA53" i="3"/>
  <c r="AW17" i="3"/>
  <c r="BA17" i="3" s="1"/>
  <c r="AW33" i="3"/>
  <c r="BA33" i="3" s="1"/>
  <c r="BA54" i="3"/>
  <c r="AW14" i="3"/>
  <c r="BA14" i="3" s="1"/>
  <c r="AW30" i="3"/>
  <c r="BA30" i="3" s="1"/>
  <c r="BA55" i="3"/>
  <c r="AW19" i="3"/>
  <c r="BA19" i="3" s="1"/>
  <c r="AW15" i="3"/>
  <c r="BA15" i="3" s="1"/>
  <c r="BA60" i="3"/>
  <c r="AW20" i="3"/>
  <c r="BA20" i="3" s="1"/>
  <c r="AW38" i="3"/>
  <c r="BA38" i="3" s="1"/>
  <c r="BA57" i="3"/>
  <c r="AW21" i="3"/>
  <c r="BA21" i="3" s="1"/>
  <c r="BA58" i="3"/>
  <c r="AW18" i="3"/>
  <c r="BA18" i="3" s="1"/>
  <c r="AW34" i="3"/>
  <c r="BA34" i="3" s="1"/>
  <c r="BA59" i="3"/>
  <c r="AW35" i="3"/>
  <c r="BA35" i="3" s="1"/>
  <c r="AW31" i="3"/>
  <c r="BA31" i="3" s="1"/>
  <c r="AY42" i="3" l="1"/>
  <c r="AY41" i="3"/>
  <c r="FC41" i="3" s="1"/>
  <c r="FG41" i="3" s="1"/>
  <c r="BA70" i="3"/>
  <c r="BA39" i="3"/>
  <c r="BA73" i="3" l="1"/>
  <c r="BA72" i="3"/>
  <c r="FE72" i="3" s="1"/>
  <c r="FI72" i="3" s="1"/>
  <c r="BA42" i="3"/>
  <c r="BA41" i="3"/>
  <c r="FE41" i="3" s="1"/>
  <c r="FI41" i="3" s="1"/>
  <c r="FI74" i="3" s="1"/>
  <c r="FC74" i="3"/>
  <c r="FG74" i="3"/>
  <c r="CQ44" i="4"/>
  <c r="CQ17" i="4"/>
  <c r="BC44" i="4"/>
  <c r="BC17" i="4"/>
  <c r="O44" i="4"/>
  <c r="O17" i="4"/>
  <c r="FE74" i="3" l="1"/>
  <c r="BE48" i="4" l="1"/>
  <c r="BE21" i="4"/>
  <c r="CR58" i="4" l="1"/>
  <c r="CR31" i="4"/>
  <c r="CQ31" i="4"/>
  <c r="BD58" i="4"/>
  <c r="BC58" i="4"/>
  <c r="BD31" i="4"/>
  <c r="CS52" i="4"/>
  <c r="CR52" i="4"/>
  <c r="CQ52" i="4"/>
  <c r="CS25" i="4"/>
  <c r="CR25" i="4"/>
  <c r="CQ25" i="4"/>
  <c r="BC52" i="4"/>
  <c r="BC25" i="4"/>
  <c r="Q52" i="4"/>
  <c r="P52" i="4"/>
  <c r="O52" i="4"/>
  <c r="Q25" i="4"/>
  <c r="P25" i="4"/>
  <c r="O25" i="4"/>
  <c r="P58" i="4" l="1"/>
  <c r="P31" i="4"/>
  <c r="C63" i="4" l="1"/>
  <c r="K36" i="4"/>
  <c r="C36" i="4"/>
  <c r="CT40" i="4" l="1"/>
  <c r="CS40" i="4"/>
  <c r="CR40" i="4"/>
  <c r="CQ40" i="4"/>
  <c r="CT13" i="4"/>
  <c r="CS13" i="4"/>
  <c r="CR13" i="4"/>
  <c r="BF40" i="4"/>
  <c r="BE40" i="4"/>
  <c r="BD40" i="4"/>
  <c r="BC40" i="4"/>
  <c r="BF13" i="4"/>
  <c r="BE13" i="4"/>
  <c r="BD13" i="4"/>
  <c r="BC13" i="4"/>
  <c r="R40" i="4"/>
  <c r="Q40" i="4"/>
  <c r="P40" i="4"/>
  <c r="O40" i="4"/>
  <c r="R13" i="4"/>
  <c r="Q13" i="4"/>
  <c r="P13" i="4"/>
  <c r="CR47" i="4"/>
  <c r="CR20" i="4"/>
  <c r="DL63" i="4" l="1"/>
  <c r="DK63" i="4"/>
  <c r="DK62" i="4"/>
  <c r="DL61" i="4"/>
  <c r="DK61" i="4"/>
  <c r="DK60" i="4"/>
  <c r="DL59" i="4"/>
  <c r="DK59" i="4"/>
  <c r="DK58" i="4"/>
  <c r="DK57" i="4"/>
  <c r="DK56" i="4"/>
  <c r="DK55" i="4"/>
  <c r="DK54" i="4"/>
  <c r="DK53" i="4"/>
  <c r="DL52" i="4"/>
  <c r="DK52" i="4"/>
  <c r="DK51" i="4"/>
  <c r="DK50" i="4"/>
  <c r="DL49" i="4"/>
  <c r="DK49" i="4"/>
  <c r="DK48" i="4"/>
  <c r="DK47" i="4"/>
  <c r="DL46" i="4"/>
  <c r="DK46" i="4"/>
  <c r="DK45" i="4"/>
  <c r="DL44" i="4"/>
  <c r="DK44" i="4"/>
  <c r="DL43" i="4"/>
  <c r="DK43" i="4"/>
  <c r="DL42" i="4"/>
  <c r="DK42" i="4"/>
  <c r="DK41" i="4"/>
  <c r="DL40" i="4"/>
  <c r="DK40" i="4"/>
  <c r="BX63" i="4"/>
  <c r="BW63" i="4"/>
  <c r="BW62" i="4"/>
  <c r="BX61" i="4"/>
  <c r="BW61" i="4"/>
  <c r="BX60" i="4"/>
  <c r="BW60" i="4"/>
  <c r="BX59" i="4"/>
  <c r="BW59" i="4"/>
  <c r="BX58" i="4"/>
  <c r="BW58" i="4"/>
  <c r="BW57" i="4"/>
  <c r="BW56" i="4"/>
  <c r="BW55" i="4"/>
  <c r="BW54" i="4"/>
  <c r="BW53" i="4"/>
  <c r="BX52" i="4"/>
  <c r="BW52" i="4"/>
  <c r="BW51" i="4"/>
  <c r="BW50" i="4"/>
  <c r="BX49" i="4"/>
  <c r="BW49" i="4"/>
  <c r="BW48" i="4"/>
  <c r="BW47" i="4"/>
  <c r="BX46" i="4"/>
  <c r="BW46" i="4"/>
  <c r="BW45" i="4"/>
  <c r="BX44" i="4"/>
  <c r="BW44" i="4"/>
  <c r="BX43" i="4"/>
  <c r="BW43" i="4"/>
  <c r="BX42" i="4"/>
  <c r="BW42" i="4"/>
  <c r="BW41" i="4"/>
  <c r="BX40" i="4"/>
  <c r="BW40" i="4"/>
  <c r="AJ63" i="4"/>
  <c r="AI63" i="4"/>
  <c r="AJ62" i="4"/>
  <c r="AI62" i="4"/>
  <c r="AJ61" i="4"/>
  <c r="AI61" i="4"/>
  <c r="AJ60" i="4"/>
  <c r="AI60" i="4"/>
  <c r="AJ59" i="4"/>
  <c r="AI59" i="4"/>
  <c r="AI58" i="4"/>
  <c r="AI57" i="4"/>
  <c r="AI56" i="4"/>
  <c r="AI55" i="4"/>
  <c r="AI54" i="4"/>
  <c r="AI53" i="4"/>
  <c r="AJ52" i="4"/>
  <c r="AI52" i="4"/>
  <c r="AI51" i="4"/>
  <c r="AI50" i="4"/>
  <c r="AJ49" i="4"/>
  <c r="AI49" i="4"/>
  <c r="AI48" i="4"/>
  <c r="AI47" i="4"/>
  <c r="AJ46" i="4"/>
  <c r="AI46" i="4"/>
  <c r="AI45" i="4"/>
  <c r="AJ44" i="4"/>
  <c r="AI44" i="4"/>
  <c r="AJ43" i="4"/>
  <c r="AI43" i="4"/>
  <c r="AJ42" i="4"/>
  <c r="AI42" i="4"/>
  <c r="AI41" i="4"/>
  <c r="AJ40" i="4"/>
  <c r="AI40" i="4"/>
  <c r="DL36" i="4"/>
  <c r="DK36" i="4"/>
  <c r="DK35" i="4"/>
  <c r="DL34" i="4"/>
  <c r="DK34" i="4"/>
  <c r="DK33" i="4"/>
  <c r="DL32" i="4"/>
  <c r="DK32" i="4"/>
  <c r="DK31" i="4"/>
  <c r="DK30" i="4"/>
  <c r="DK29" i="4"/>
  <c r="DK28" i="4"/>
  <c r="DK27" i="4"/>
  <c r="DK26" i="4"/>
  <c r="DL25" i="4"/>
  <c r="DK25" i="4"/>
  <c r="DK24" i="4"/>
  <c r="DK23" i="4"/>
  <c r="DL22" i="4"/>
  <c r="DK22" i="4"/>
  <c r="DK21" i="4"/>
  <c r="DK20" i="4"/>
  <c r="DL19" i="4"/>
  <c r="DK19" i="4"/>
  <c r="DK18" i="4"/>
  <c r="DK17" i="4"/>
  <c r="DL16" i="4"/>
  <c r="DK16" i="4"/>
  <c r="DL15" i="4"/>
  <c r="DK15" i="4"/>
  <c r="DK14" i="4"/>
  <c r="DL13" i="4"/>
  <c r="DK13" i="4"/>
  <c r="BX36" i="4"/>
  <c r="BW36" i="4"/>
  <c r="BW35" i="4"/>
  <c r="BX34" i="4"/>
  <c r="BW34" i="4"/>
  <c r="BX33" i="4"/>
  <c r="BW33" i="4"/>
  <c r="BX32" i="4"/>
  <c r="BW32" i="4"/>
  <c r="BW31" i="4"/>
  <c r="BW30" i="4"/>
  <c r="BW29" i="4"/>
  <c r="BW28" i="4"/>
  <c r="BW27" i="4"/>
  <c r="BW26" i="4"/>
  <c r="BX25" i="4"/>
  <c r="BW25" i="4"/>
  <c r="BW24" i="4"/>
  <c r="BW23" i="4"/>
  <c r="BX22" i="4"/>
  <c r="BW22" i="4"/>
  <c r="BW21" i="4"/>
  <c r="BW20" i="4"/>
  <c r="BX19" i="4"/>
  <c r="BW19" i="4"/>
  <c r="BW18" i="4"/>
  <c r="BX17" i="4"/>
  <c r="BW17" i="4"/>
  <c r="BX16" i="4"/>
  <c r="BW16" i="4"/>
  <c r="BX15" i="4"/>
  <c r="BW15" i="4"/>
  <c r="BW14" i="4"/>
  <c r="BX13" i="4"/>
  <c r="BW13" i="4"/>
  <c r="DK64" i="4" l="1"/>
  <c r="DK37" i="4"/>
  <c r="BW64" i="4"/>
  <c r="BW37" i="4"/>
  <c r="AI64" i="4"/>
  <c r="AJ36" i="4"/>
  <c r="AI36" i="4"/>
  <c r="AJ35" i="4"/>
  <c r="AI35" i="4"/>
  <c r="AJ34" i="4"/>
  <c r="AI34" i="4"/>
  <c r="AJ33" i="4"/>
  <c r="AI33" i="4"/>
  <c r="AJ32" i="4"/>
  <c r="AI32" i="4"/>
  <c r="AI31" i="4"/>
  <c r="AI30" i="4"/>
  <c r="AI29" i="4"/>
  <c r="AI28" i="4"/>
  <c r="AI27" i="4"/>
  <c r="AI26" i="4"/>
  <c r="AJ25" i="4"/>
  <c r="AI25" i="4"/>
  <c r="AI24" i="4"/>
  <c r="AI23" i="4"/>
  <c r="AJ22" i="4"/>
  <c r="AI22" i="4"/>
  <c r="AI21" i="4"/>
  <c r="AI20" i="4"/>
  <c r="AJ19" i="4"/>
  <c r="AI19" i="4"/>
  <c r="AI18" i="4"/>
  <c r="AJ17" i="4"/>
  <c r="AI17" i="4"/>
  <c r="AJ16" i="4"/>
  <c r="AI16" i="4"/>
  <c r="AJ15" i="4"/>
  <c r="AI15" i="4"/>
  <c r="AI14" i="4"/>
  <c r="AJ13" i="4"/>
  <c r="AI13" i="4"/>
  <c r="AI37" i="4" l="1"/>
  <c r="CX63" i="4"/>
  <c r="CW63" i="4"/>
  <c r="CV63" i="4"/>
  <c r="CU63" i="4"/>
  <c r="CX62" i="4"/>
  <c r="CV62" i="4"/>
  <c r="CU62" i="4"/>
  <c r="CX61" i="4"/>
  <c r="CW61" i="4"/>
  <c r="CV61" i="4"/>
  <c r="CU61" i="4"/>
  <c r="CX60" i="4"/>
  <c r="CV60" i="4"/>
  <c r="CU60" i="4"/>
  <c r="CX59" i="4"/>
  <c r="CW59" i="4"/>
  <c r="CV59" i="4"/>
  <c r="CU59" i="4"/>
  <c r="CX58" i="4"/>
  <c r="CV58" i="4"/>
  <c r="CU58" i="4"/>
  <c r="CV57" i="4"/>
  <c r="CU57" i="4"/>
  <c r="CX56" i="4"/>
  <c r="CV56" i="4"/>
  <c r="CU56" i="4"/>
  <c r="CX55" i="4"/>
  <c r="CV55" i="4"/>
  <c r="CU55" i="4"/>
  <c r="CV54" i="4"/>
  <c r="CU54" i="4"/>
  <c r="CX53" i="4"/>
  <c r="CV53" i="4"/>
  <c r="CU53" i="4"/>
  <c r="CX52" i="4"/>
  <c r="CW52" i="4"/>
  <c r="CV52" i="4"/>
  <c r="CU52" i="4"/>
  <c r="CX51" i="4"/>
  <c r="CV51" i="4"/>
  <c r="CU51" i="4"/>
  <c r="CV50" i="4"/>
  <c r="CU50" i="4"/>
  <c r="CX49" i="4"/>
  <c r="CW49" i="4"/>
  <c r="CV49" i="4"/>
  <c r="CU49" i="4"/>
  <c r="CX48" i="4"/>
  <c r="CV48" i="4"/>
  <c r="CU48" i="4"/>
  <c r="CX47" i="4"/>
  <c r="CV47" i="4"/>
  <c r="CU47" i="4"/>
  <c r="CX46" i="4"/>
  <c r="CW46" i="4"/>
  <c r="CV46" i="4"/>
  <c r="CU46" i="4"/>
  <c r="CX45" i="4"/>
  <c r="CV45" i="4"/>
  <c r="CU45" i="4"/>
  <c r="CX44" i="4"/>
  <c r="CW44" i="4"/>
  <c r="CV44" i="4"/>
  <c r="CU44" i="4"/>
  <c r="CX43" i="4"/>
  <c r="CV43" i="4"/>
  <c r="CU43" i="4"/>
  <c r="CX42" i="4"/>
  <c r="CV42" i="4"/>
  <c r="CU42" i="4"/>
  <c r="CV41" i="4"/>
  <c r="CU41" i="4"/>
  <c r="CX40" i="4"/>
  <c r="CW40" i="4"/>
  <c r="CV40" i="4"/>
  <c r="CU40" i="4"/>
  <c r="BJ63" i="4"/>
  <c r="BI63" i="4"/>
  <c r="BH63" i="4"/>
  <c r="BG63" i="4"/>
  <c r="BJ62" i="4"/>
  <c r="BH62" i="4"/>
  <c r="BG62" i="4"/>
  <c r="BJ61" i="4"/>
  <c r="BI61" i="4"/>
  <c r="BH61" i="4"/>
  <c r="BG61" i="4"/>
  <c r="BH60" i="4"/>
  <c r="BG60" i="4"/>
  <c r="BJ59" i="4"/>
  <c r="BI59" i="4"/>
  <c r="BH59" i="4"/>
  <c r="BG59" i="4"/>
  <c r="BJ58" i="4"/>
  <c r="BI58" i="4"/>
  <c r="BH58" i="4"/>
  <c r="BG58" i="4"/>
  <c r="BH57" i="4"/>
  <c r="BG57" i="4"/>
  <c r="BJ56" i="4"/>
  <c r="BH56" i="4"/>
  <c r="BG56" i="4"/>
  <c r="BJ55" i="4"/>
  <c r="BH55" i="4"/>
  <c r="BG55" i="4"/>
  <c r="BH54" i="4"/>
  <c r="BG54" i="4"/>
  <c r="BH53" i="4"/>
  <c r="BG53" i="4"/>
  <c r="BJ52" i="4"/>
  <c r="BI52" i="4"/>
  <c r="BH52" i="4"/>
  <c r="BG52" i="4"/>
  <c r="BH51" i="4"/>
  <c r="BG51" i="4"/>
  <c r="BH50" i="4"/>
  <c r="BG50" i="4"/>
  <c r="BJ49" i="4"/>
  <c r="BI49" i="4"/>
  <c r="BH49" i="4"/>
  <c r="BG49" i="4"/>
  <c r="BJ48" i="4"/>
  <c r="BH48" i="4"/>
  <c r="BG48" i="4"/>
  <c r="BJ47" i="4"/>
  <c r="BH47" i="4"/>
  <c r="BG47" i="4"/>
  <c r="BJ46" i="4"/>
  <c r="BI46" i="4"/>
  <c r="BH46" i="4"/>
  <c r="BG46" i="4"/>
  <c r="BJ45" i="4"/>
  <c r="BH45" i="4"/>
  <c r="BG45" i="4"/>
  <c r="BJ44" i="4"/>
  <c r="BI44" i="4"/>
  <c r="BH44" i="4"/>
  <c r="BG44" i="4"/>
  <c r="BJ43" i="4"/>
  <c r="BH43" i="4"/>
  <c r="BG43" i="4"/>
  <c r="BJ42" i="4"/>
  <c r="BI42" i="4"/>
  <c r="BH42" i="4"/>
  <c r="BG42" i="4"/>
  <c r="BH41" i="4"/>
  <c r="BG41" i="4"/>
  <c r="BJ40" i="4"/>
  <c r="BI40" i="4"/>
  <c r="BH40" i="4"/>
  <c r="BH64" i="4" s="1"/>
  <c r="BG40" i="4"/>
  <c r="V63" i="4"/>
  <c r="U63" i="4"/>
  <c r="T63" i="4"/>
  <c r="S63" i="4"/>
  <c r="V62" i="4"/>
  <c r="U62" i="4"/>
  <c r="T62" i="4"/>
  <c r="S62" i="4"/>
  <c r="V61" i="4"/>
  <c r="U61" i="4"/>
  <c r="T61" i="4"/>
  <c r="S61" i="4"/>
  <c r="V60" i="4"/>
  <c r="T60" i="4"/>
  <c r="S60" i="4"/>
  <c r="V59" i="4"/>
  <c r="U59" i="4"/>
  <c r="T59" i="4"/>
  <c r="S59" i="4"/>
  <c r="V58" i="4"/>
  <c r="T58" i="4"/>
  <c r="S58" i="4"/>
  <c r="T57" i="4"/>
  <c r="S57" i="4"/>
  <c r="V56" i="4"/>
  <c r="T56" i="4"/>
  <c r="S56" i="4"/>
  <c r="V55" i="4"/>
  <c r="T55" i="4"/>
  <c r="S55" i="4"/>
  <c r="T54" i="4"/>
  <c r="S54" i="4"/>
  <c r="V53" i="4"/>
  <c r="T53" i="4"/>
  <c r="S53" i="4"/>
  <c r="V52" i="4"/>
  <c r="U52" i="4"/>
  <c r="T52" i="4"/>
  <c r="S52" i="4"/>
  <c r="V51" i="4"/>
  <c r="T51" i="4"/>
  <c r="S51" i="4"/>
  <c r="V50" i="4"/>
  <c r="T50" i="4"/>
  <c r="S50" i="4"/>
  <c r="V49" i="4"/>
  <c r="U49" i="4"/>
  <c r="T49" i="4"/>
  <c r="S49" i="4"/>
  <c r="V48" i="4"/>
  <c r="T48" i="4"/>
  <c r="S48" i="4"/>
  <c r="V47" i="4"/>
  <c r="T47" i="4"/>
  <c r="S47" i="4"/>
  <c r="V46" i="4"/>
  <c r="U46" i="4"/>
  <c r="T46" i="4"/>
  <c r="S46" i="4"/>
  <c r="V45" i="4"/>
  <c r="T45" i="4"/>
  <c r="S45" i="4"/>
  <c r="V44" i="4"/>
  <c r="U44" i="4"/>
  <c r="T44" i="4"/>
  <c r="S44" i="4"/>
  <c r="V43" i="4"/>
  <c r="T43" i="4"/>
  <c r="S43" i="4"/>
  <c r="V42" i="4"/>
  <c r="U42" i="4"/>
  <c r="T42" i="4"/>
  <c r="S42" i="4"/>
  <c r="T41" i="4"/>
  <c r="S41" i="4"/>
  <c r="V40" i="4"/>
  <c r="U40" i="4"/>
  <c r="T40" i="4"/>
  <c r="S40" i="4"/>
  <c r="CU15" i="4"/>
  <c r="CV15" i="4"/>
  <c r="CW15" i="4"/>
  <c r="CX15" i="4"/>
  <c r="CU16" i="4"/>
  <c r="CV16" i="4"/>
  <c r="CX16" i="4"/>
  <c r="CU17" i="4"/>
  <c r="CV17" i="4"/>
  <c r="CX17" i="4"/>
  <c r="CU18" i="4"/>
  <c r="CV18" i="4"/>
  <c r="CX18" i="4"/>
  <c r="CU19" i="4"/>
  <c r="CV19" i="4"/>
  <c r="CW19" i="4"/>
  <c r="CX19" i="4"/>
  <c r="CU20" i="4"/>
  <c r="CV20" i="4"/>
  <c r="CX20" i="4"/>
  <c r="CU21" i="4"/>
  <c r="CV21" i="4"/>
  <c r="CX21" i="4"/>
  <c r="CU22" i="4"/>
  <c r="CV22" i="4"/>
  <c r="CW22" i="4"/>
  <c r="CX22" i="4"/>
  <c r="CU23" i="4"/>
  <c r="CV23" i="4"/>
  <c r="CU24" i="4"/>
  <c r="CV24" i="4"/>
  <c r="CX24" i="4"/>
  <c r="CU25" i="4"/>
  <c r="CV25" i="4"/>
  <c r="CW25" i="4"/>
  <c r="CX25" i="4"/>
  <c r="CU26" i="4"/>
  <c r="CV26" i="4"/>
  <c r="CX26" i="4"/>
  <c r="CU27" i="4"/>
  <c r="CV27" i="4"/>
  <c r="CU28" i="4"/>
  <c r="CV28" i="4"/>
  <c r="CX28" i="4"/>
  <c r="CU29" i="4"/>
  <c r="CV29" i="4"/>
  <c r="CX29" i="4"/>
  <c r="CU30" i="4"/>
  <c r="CV30" i="4"/>
  <c r="CU31" i="4"/>
  <c r="CV31" i="4"/>
  <c r="CX31" i="4"/>
  <c r="CU32" i="4"/>
  <c r="CV32" i="4"/>
  <c r="CW32" i="4"/>
  <c r="CX32" i="4"/>
  <c r="CU33" i="4"/>
  <c r="CV33" i="4"/>
  <c r="CX33" i="4"/>
  <c r="CU34" i="4"/>
  <c r="CV34" i="4"/>
  <c r="CW34" i="4"/>
  <c r="CX34" i="4"/>
  <c r="CU35" i="4"/>
  <c r="CV35" i="4"/>
  <c r="CX35" i="4"/>
  <c r="CU36" i="4"/>
  <c r="CV36" i="4"/>
  <c r="CW36" i="4"/>
  <c r="CX36" i="4"/>
  <c r="CV14" i="4"/>
  <c r="CU14" i="4"/>
  <c r="CX13" i="4"/>
  <c r="CW13" i="4"/>
  <c r="CV13" i="4"/>
  <c r="CU13" i="4"/>
  <c r="BI15" i="4"/>
  <c r="BJ15" i="4"/>
  <c r="BJ16" i="4"/>
  <c r="BI17" i="4"/>
  <c r="BJ17" i="4"/>
  <c r="BJ18" i="4"/>
  <c r="BI19" i="4"/>
  <c r="BJ19" i="4"/>
  <c r="BJ20" i="4"/>
  <c r="BJ21" i="4"/>
  <c r="BI22" i="4"/>
  <c r="BJ22" i="4"/>
  <c r="BI25" i="4"/>
  <c r="BJ25" i="4"/>
  <c r="BJ28" i="4"/>
  <c r="BJ29" i="4"/>
  <c r="BJ31" i="4"/>
  <c r="BI32" i="4"/>
  <c r="BJ32" i="4"/>
  <c r="BI34" i="4"/>
  <c r="BJ34" i="4"/>
  <c r="BJ35" i="4"/>
  <c r="BI36" i="4"/>
  <c r="BJ36" i="4"/>
  <c r="BJ13" i="4"/>
  <c r="BI13" i="4"/>
  <c r="BG14" i="4"/>
  <c r="BH14" i="4"/>
  <c r="BG15" i="4"/>
  <c r="BH15" i="4"/>
  <c r="BG16" i="4"/>
  <c r="BH16" i="4"/>
  <c r="BG17" i="4"/>
  <c r="BH17" i="4"/>
  <c r="BG18" i="4"/>
  <c r="BH18" i="4"/>
  <c r="BG19" i="4"/>
  <c r="BH19" i="4"/>
  <c r="BG20" i="4"/>
  <c r="BH20" i="4"/>
  <c r="BG21" i="4"/>
  <c r="BH21" i="4"/>
  <c r="BG22" i="4"/>
  <c r="BH22" i="4"/>
  <c r="BG23" i="4"/>
  <c r="BH23" i="4"/>
  <c r="BG24" i="4"/>
  <c r="BH24" i="4"/>
  <c r="BG25" i="4"/>
  <c r="BH25" i="4"/>
  <c r="BG26" i="4"/>
  <c r="BH26" i="4"/>
  <c r="BG27" i="4"/>
  <c r="BH27" i="4"/>
  <c r="BG28" i="4"/>
  <c r="BH28" i="4"/>
  <c r="BG29" i="4"/>
  <c r="BH29" i="4"/>
  <c r="BG30" i="4"/>
  <c r="BH30" i="4"/>
  <c r="BG31" i="4"/>
  <c r="BH31" i="4"/>
  <c r="BG32" i="4"/>
  <c r="BH32" i="4"/>
  <c r="BG33" i="4"/>
  <c r="BH33" i="4"/>
  <c r="BG34" i="4"/>
  <c r="BH34" i="4"/>
  <c r="BG35" i="4"/>
  <c r="BH35" i="4"/>
  <c r="BG36" i="4"/>
  <c r="BH36" i="4"/>
  <c r="BH13" i="4"/>
  <c r="BG13" i="4"/>
  <c r="S36" i="4"/>
  <c r="T36" i="4"/>
  <c r="V15" i="4"/>
  <c r="V16" i="4"/>
  <c r="V17" i="4"/>
  <c r="V18" i="4"/>
  <c r="V19" i="4"/>
  <c r="V20" i="4"/>
  <c r="V21" i="4"/>
  <c r="V22" i="4"/>
  <c r="V23" i="4"/>
  <c r="V24" i="4"/>
  <c r="V25" i="4"/>
  <c r="V26" i="4"/>
  <c r="V28" i="4"/>
  <c r="V29" i="4"/>
  <c r="V31" i="4"/>
  <c r="V32" i="4"/>
  <c r="V33" i="4"/>
  <c r="V34" i="4"/>
  <c r="V35" i="4"/>
  <c r="V36" i="4"/>
  <c r="U15" i="4"/>
  <c r="U17" i="4"/>
  <c r="U19" i="4"/>
  <c r="U22" i="4"/>
  <c r="U25" i="4"/>
  <c r="U32" i="4"/>
  <c r="U34" i="4"/>
  <c r="U35" i="4"/>
  <c r="U36" i="4"/>
  <c r="V13" i="4"/>
  <c r="U13" i="4"/>
  <c r="T15" i="4"/>
  <c r="T16" i="4"/>
  <c r="T17" i="4"/>
  <c r="T18" i="4"/>
  <c r="T19" i="4"/>
  <c r="T20" i="4"/>
  <c r="T21" i="4"/>
  <c r="T22" i="4"/>
  <c r="T23" i="4"/>
  <c r="T24" i="4"/>
  <c r="T25" i="4"/>
  <c r="T26" i="4"/>
  <c r="T27" i="4"/>
  <c r="T28" i="4"/>
  <c r="T29" i="4"/>
  <c r="T30" i="4"/>
  <c r="T31" i="4"/>
  <c r="T32" i="4"/>
  <c r="T33" i="4"/>
  <c r="T34" i="4"/>
  <c r="T35" i="4"/>
  <c r="T14" i="4"/>
  <c r="T13" i="4"/>
  <c r="S15" i="4"/>
  <c r="S16" i="4"/>
  <c r="S17" i="4"/>
  <c r="S18" i="4"/>
  <c r="S19" i="4"/>
  <c r="S20" i="4"/>
  <c r="S21" i="4"/>
  <c r="S22" i="4"/>
  <c r="S23" i="4"/>
  <c r="S24" i="4"/>
  <c r="S25" i="4"/>
  <c r="S26" i="4"/>
  <c r="S27" i="4"/>
  <c r="S28" i="4"/>
  <c r="S29" i="4"/>
  <c r="S30" i="4"/>
  <c r="S31" i="4"/>
  <c r="S32" i="4"/>
  <c r="S33" i="4"/>
  <c r="S34" i="4"/>
  <c r="S35" i="4"/>
  <c r="S14" i="4"/>
  <c r="S13" i="4"/>
  <c r="CV64" i="4" l="1"/>
  <c r="CU64" i="4"/>
  <c r="BG64" i="4"/>
  <c r="T64" i="4"/>
  <c r="S64" i="4"/>
  <c r="CV37" i="4"/>
  <c r="CU37" i="4"/>
  <c r="BH37" i="4"/>
  <c r="BG37" i="4"/>
  <c r="T37" i="4"/>
  <c r="S37" i="4"/>
  <c r="CS54" i="4"/>
  <c r="CX54" i="4" s="1"/>
  <c r="CR54" i="4"/>
  <c r="CS27" i="4"/>
  <c r="CX27" i="4" s="1"/>
  <c r="CR27" i="4"/>
  <c r="BE54" i="4"/>
  <c r="BJ54" i="4" s="1"/>
  <c r="BD54" i="4"/>
  <c r="BE27" i="4"/>
  <c r="BJ27" i="4" s="1"/>
  <c r="BD27" i="4"/>
  <c r="Q54" i="4"/>
  <c r="V54" i="4" s="1"/>
  <c r="P54" i="4"/>
  <c r="Q27" i="4"/>
  <c r="V27" i="4" s="1"/>
  <c r="P27" i="4"/>
  <c r="CQ45" i="4" l="1"/>
  <c r="CQ18" i="4"/>
  <c r="BC45" i="4"/>
  <c r="BC18" i="4"/>
  <c r="O45" i="4"/>
  <c r="O18" i="4"/>
  <c r="CW45" i="4" l="1"/>
  <c r="DL45" i="4"/>
  <c r="BI45" i="4"/>
  <c r="BX45" i="4"/>
  <c r="U45" i="4"/>
  <c r="AJ45" i="4"/>
  <c r="CW18" i="4"/>
  <c r="DL18" i="4"/>
  <c r="BI18" i="4"/>
  <c r="BX18" i="4"/>
  <c r="U18" i="4"/>
  <c r="AJ18" i="4"/>
  <c r="CQ48" i="4"/>
  <c r="CQ21" i="4"/>
  <c r="BC48" i="4"/>
  <c r="BC21" i="4"/>
  <c r="O48" i="4"/>
  <c r="O21" i="4"/>
  <c r="CW48" i="4" l="1"/>
  <c r="DL48" i="4"/>
  <c r="BI48" i="4"/>
  <c r="BX48" i="4"/>
  <c r="U48" i="4"/>
  <c r="AJ48" i="4"/>
  <c r="CW21" i="4"/>
  <c r="DL21" i="4"/>
  <c r="CW31" i="4"/>
  <c r="DL31" i="4"/>
  <c r="BI21" i="4"/>
  <c r="BX21" i="4"/>
  <c r="U21" i="4"/>
  <c r="AJ21" i="4"/>
  <c r="CR42" i="4"/>
  <c r="CW42" i="4" s="1"/>
  <c r="CR43" i="4"/>
  <c r="CW43" i="4" s="1"/>
  <c r="BD43" i="4"/>
  <c r="BI43" i="4" s="1"/>
  <c r="U43" i="4"/>
  <c r="CR16" i="4"/>
  <c r="CW16" i="4" s="1"/>
  <c r="BI16" i="4"/>
  <c r="U16" i="4"/>
  <c r="BD47" i="4" l="1"/>
  <c r="CQ58" i="4" l="1"/>
  <c r="BC31" i="4"/>
  <c r="O58" i="4"/>
  <c r="O31" i="4"/>
  <c r="CW58" i="4" l="1"/>
  <c r="DL58" i="4"/>
  <c r="U58" i="4"/>
  <c r="AJ58" i="4"/>
  <c r="BI31" i="4"/>
  <c r="BX31" i="4"/>
  <c r="U31" i="4"/>
  <c r="AJ31" i="4"/>
  <c r="CQ20" i="4"/>
  <c r="CW17" i="4" l="1"/>
  <c r="DL17" i="4"/>
  <c r="CW20" i="4"/>
  <c r="DL20" i="4"/>
  <c r="CR60" i="4"/>
  <c r="CR33" i="4"/>
  <c r="BE60" i="4"/>
  <c r="BJ60" i="4" s="1"/>
  <c r="BD60" i="4"/>
  <c r="BI60" i="4" s="1"/>
  <c r="BE33" i="4"/>
  <c r="BJ33" i="4" s="1"/>
  <c r="BD33" i="4"/>
  <c r="BI33" i="4" s="1"/>
  <c r="P60" i="4"/>
  <c r="U60" i="4" s="1"/>
  <c r="P33" i="4"/>
  <c r="U33" i="4" s="1"/>
  <c r="BE53" i="4" l="1"/>
  <c r="BJ53" i="4" s="1"/>
  <c r="BD53" i="4"/>
  <c r="BE26" i="4"/>
  <c r="BJ26" i="4" s="1"/>
  <c r="BD26" i="4"/>
  <c r="P53" i="4"/>
  <c r="P26" i="4"/>
  <c r="CT57" i="4"/>
  <c r="CS57" i="4"/>
  <c r="CR57" i="4"/>
  <c r="CT30" i="4"/>
  <c r="CS30" i="4"/>
  <c r="CR30" i="4"/>
  <c r="BE57" i="4"/>
  <c r="BJ57" i="4" s="1"/>
  <c r="BD57" i="4"/>
  <c r="BE30" i="4"/>
  <c r="BJ30" i="4" s="1"/>
  <c r="BD30" i="4"/>
  <c r="Q57" i="4"/>
  <c r="V57" i="4" s="1"/>
  <c r="P57" i="4"/>
  <c r="Q30" i="4"/>
  <c r="V30" i="4" s="1"/>
  <c r="P30" i="4"/>
  <c r="CR56" i="4"/>
  <c r="CR29" i="4"/>
  <c r="BD29" i="4"/>
  <c r="P56" i="4"/>
  <c r="P29" i="4"/>
  <c r="BE51" i="4"/>
  <c r="BJ51" i="4" s="1"/>
  <c r="BE24" i="4"/>
  <c r="BJ24" i="4" s="1"/>
  <c r="P51" i="4"/>
  <c r="P24" i="4"/>
  <c r="CX57" i="4" l="1"/>
  <c r="CX30" i="4"/>
  <c r="CT41" i="4" l="1"/>
  <c r="CS41" i="4"/>
  <c r="CR41" i="4"/>
  <c r="CQ41" i="4"/>
  <c r="DL41" i="4" s="1"/>
  <c r="CT14" i="4"/>
  <c r="CS14" i="4"/>
  <c r="CR14" i="4"/>
  <c r="CQ14" i="4"/>
  <c r="DL14" i="4" s="1"/>
  <c r="BF41" i="4"/>
  <c r="BE41" i="4"/>
  <c r="BD41" i="4"/>
  <c r="BC41" i="4"/>
  <c r="BX41" i="4" s="1"/>
  <c r="BF14" i="4"/>
  <c r="BE14" i="4"/>
  <c r="BD14" i="4"/>
  <c r="BC14" i="4"/>
  <c r="BX14" i="4" s="1"/>
  <c r="R41" i="4"/>
  <c r="Q41" i="4"/>
  <c r="P41" i="4"/>
  <c r="O41" i="4"/>
  <c r="AJ41" i="4" s="1"/>
  <c r="R14" i="4"/>
  <c r="Q14" i="4"/>
  <c r="P14" i="4"/>
  <c r="O14" i="4"/>
  <c r="AJ14" i="4" s="1"/>
  <c r="BI41" i="4" l="1"/>
  <c r="BJ41" i="4"/>
  <c r="CW41" i="4"/>
  <c r="CX41" i="4"/>
  <c r="U41" i="4"/>
  <c r="V41" i="4"/>
  <c r="CW14" i="4"/>
  <c r="CX14" i="4"/>
  <c r="BI14" i="4"/>
  <c r="BJ14" i="4"/>
  <c r="U14" i="4"/>
  <c r="V14" i="4"/>
  <c r="Z40" i="4" l="1"/>
  <c r="X40" i="4"/>
  <c r="Z13" i="4"/>
  <c r="X13" i="4"/>
  <c r="AD40" i="4" l="1"/>
  <c r="AB40" i="4"/>
  <c r="AD13" i="4"/>
  <c r="AB13" i="4"/>
  <c r="AF46" i="4" l="1"/>
  <c r="AH46" i="4" s="1"/>
  <c r="AF49" i="4"/>
  <c r="AH49" i="4" s="1"/>
  <c r="AF52" i="4"/>
  <c r="AH52" i="4" s="1"/>
  <c r="AF58" i="4"/>
  <c r="AH58" i="4" s="1"/>
  <c r="AF43" i="4"/>
  <c r="AH43" i="4" s="1"/>
  <c r="AF56" i="4"/>
  <c r="AH56" i="4" s="1"/>
  <c r="AF60" i="4"/>
  <c r="AH60" i="4" s="1"/>
  <c r="AF62" i="4"/>
  <c r="AH62" i="4" s="1"/>
  <c r="AF40" i="4"/>
  <c r="AH40" i="4" s="1"/>
  <c r="AF42" i="4"/>
  <c r="AH42" i="4" s="1"/>
  <c r="AF45" i="4"/>
  <c r="AH45" i="4" s="1"/>
  <c r="AF48" i="4"/>
  <c r="AH48" i="4" s="1"/>
  <c r="AF51" i="4"/>
  <c r="AH51" i="4" s="1"/>
  <c r="AF55" i="4"/>
  <c r="AH55" i="4" s="1"/>
  <c r="AF59" i="4"/>
  <c r="AH59" i="4" s="1"/>
  <c r="AF44" i="4"/>
  <c r="AH44" i="4" s="1"/>
  <c r="AF47" i="4"/>
  <c r="AH47" i="4" s="1"/>
  <c r="AF50" i="4"/>
  <c r="AH50" i="4" s="1"/>
  <c r="AF53" i="4"/>
  <c r="AH53" i="4" s="1"/>
  <c r="AF61" i="4"/>
  <c r="AH61" i="4" s="1"/>
  <c r="AF63" i="4"/>
  <c r="AH63" i="4" s="1"/>
  <c r="AF54" i="4"/>
  <c r="AH54" i="4" s="1"/>
  <c r="AF57" i="4"/>
  <c r="AH57" i="4" s="1"/>
  <c r="AF41" i="4"/>
  <c r="AH41" i="4" s="1"/>
  <c r="AF13" i="4"/>
  <c r="AH13" i="4" s="1"/>
  <c r="AF19" i="4"/>
  <c r="AH19" i="4" s="1"/>
  <c r="AF23" i="4"/>
  <c r="AH23" i="4" s="1"/>
  <c r="AF31" i="4"/>
  <c r="AH31" i="4" s="1"/>
  <c r="AF35" i="4"/>
  <c r="AH35" i="4" s="1"/>
  <c r="AF15" i="4"/>
  <c r="AH15" i="4" s="1"/>
  <c r="AF17" i="4"/>
  <c r="AH17" i="4" s="1"/>
  <c r="AF21" i="4"/>
  <c r="AH21" i="4" s="1"/>
  <c r="AF25" i="4"/>
  <c r="AH25" i="4" s="1"/>
  <c r="AF33" i="4"/>
  <c r="AH33" i="4" s="1"/>
  <c r="AF28" i="4"/>
  <c r="AH28" i="4" s="1"/>
  <c r="AF36" i="4"/>
  <c r="AH36" i="4" s="1"/>
  <c r="AF32" i="4"/>
  <c r="AH32" i="4" s="1"/>
  <c r="AF26" i="4"/>
  <c r="AH26" i="4" s="1"/>
  <c r="AF22" i="4"/>
  <c r="AH22" i="4" s="1"/>
  <c r="AF18" i="4"/>
  <c r="AH18" i="4" s="1"/>
  <c r="AF34" i="4"/>
  <c r="AH34" i="4" s="1"/>
  <c r="AF29" i="4"/>
  <c r="AH29" i="4" s="1"/>
  <c r="AF24" i="4"/>
  <c r="AH24" i="4" s="1"/>
  <c r="AF20" i="4"/>
  <c r="AH20" i="4" s="1"/>
  <c r="AF16" i="4"/>
  <c r="AH16" i="4" s="1"/>
  <c r="AF27" i="4"/>
  <c r="AH27" i="4" s="1"/>
  <c r="AF30" i="4"/>
  <c r="AH30" i="4" s="1"/>
  <c r="AF14" i="4"/>
  <c r="AH14" i="4" s="1"/>
  <c r="AH64" i="4" l="1"/>
  <c r="AH65" i="4" s="1"/>
  <c r="AH37" i="4"/>
  <c r="AH38" i="4" s="1"/>
  <c r="CQ57" i="4"/>
  <c r="CQ30" i="4"/>
  <c r="BC57" i="4"/>
  <c r="BC30" i="4"/>
  <c r="O57" i="4"/>
  <c r="O30" i="4"/>
  <c r="CW57" i="4" l="1"/>
  <c r="DL57" i="4"/>
  <c r="BI57" i="4"/>
  <c r="BX57" i="4"/>
  <c r="U57" i="4"/>
  <c r="AJ57" i="4"/>
  <c r="CW30" i="4"/>
  <c r="DL30" i="4"/>
  <c r="BI30" i="4"/>
  <c r="BX30" i="4"/>
  <c r="U30" i="4"/>
  <c r="AJ30" i="4"/>
  <c r="CQ24" i="4" l="1"/>
  <c r="CQ51" i="4"/>
  <c r="BC51" i="4"/>
  <c r="CW51" i="4" l="1"/>
  <c r="DL51" i="4"/>
  <c r="BI51" i="4"/>
  <c r="BX51" i="4"/>
  <c r="CW24" i="4"/>
  <c r="DL24" i="4"/>
  <c r="BC24" i="4"/>
  <c r="O51" i="4"/>
  <c r="O24" i="4"/>
  <c r="U51" i="4" l="1"/>
  <c r="AJ51" i="4"/>
  <c r="BI24" i="4"/>
  <c r="BX24" i="4"/>
  <c r="U24" i="4"/>
  <c r="AJ24" i="4"/>
  <c r="CQ62" i="4" l="1"/>
  <c r="BC62" i="4"/>
  <c r="CQ55" i="4"/>
  <c r="BC55" i="4"/>
  <c r="O55" i="4"/>
  <c r="CQ28" i="4"/>
  <c r="BC28" i="4"/>
  <c r="O28" i="4"/>
  <c r="CQ35" i="4"/>
  <c r="BC35" i="4"/>
  <c r="CW55" i="4" l="1"/>
  <c r="DL55" i="4"/>
  <c r="CW62" i="4"/>
  <c r="DL62" i="4"/>
  <c r="BI55" i="4"/>
  <c r="BX55" i="4"/>
  <c r="BI62" i="4"/>
  <c r="BX62" i="4"/>
  <c r="U55" i="4"/>
  <c r="AJ55" i="4"/>
  <c r="CW28" i="4"/>
  <c r="DL28" i="4"/>
  <c r="CW35" i="4"/>
  <c r="DL35" i="4"/>
  <c r="BI28" i="4"/>
  <c r="BX28" i="4"/>
  <c r="BI35" i="4"/>
  <c r="BX35" i="4"/>
  <c r="U28" i="4"/>
  <c r="AJ28" i="4"/>
  <c r="CQ47" i="4"/>
  <c r="BC47" i="4"/>
  <c r="P47" i="4"/>
  <c r="O47" i="4"/>
  <c r="AJ47" i="4" s="1"/>
  <c r="BD20" i="4"/>
  <c r="BC20" i="4"/>
  <c r="BX20" i="4" s="1"/>
  <c r="P20" i="4"/>
  <c r="O20" i="4"/>
  <c r="AJ20" i="4" s="1"/>
  <c r="CW47" i="4" l="1"/>
  <c r="DL47" i="4"/>
  <c r="BI47" i="4"/>
  <c r="BX47" i="4"/>
  <c r="U47" i="4"/>
  <c r="BI20" i="4"/>
  <c r="U20" i="4"/>
  <c r="CQ54" i="4" l="1"/>
  <c r="CQ27" i="4"/>
  <c r="BC54" i="4"/>
  <c r="BC27" i="4"/>
  <c r="O54" i="4"/>
  <c r="O27" i="4"/>
  <c r="CW54" i="4" l="1"/>
  <c r="DL54" i="4"/>
  <c r="BI54" i="4"/>
  <c r="BX54" i="4"/>
  <c r="U54" i="4"/>
  <c r="AJ54" i="4"/>
  <c r="CW27" i="4"/>
  <c r="DL27" i="4"/>
  <c r="BI27" i="4"/>
  <c r="BX27" i="4"/>
  <c r="U27" i="4"/>
  <c r="AJ27" i="4"/>
  <c r="CQ53" i="4"/>
  <c r="CQ26" i="4"/>
  <c r="BC53" i="4"/>
  <c r="BC26" i="4"/>
  <c r="O53" i="4"/>
  <c r="O26" i="4"/>
  <c r="CW53" i="4" l="1"/>
  <c r="DL53" i="4"/>
  <c r="BI53" i="4"/>
  <c r="BX53" i="4"/>
  <c r="U53" i="4"/>
  <c r="AJ53" i="4"/>
  <c r="CW26" i="4"/>
  <c r="DL26" i="4"/>
  <c r="BI26" i="4"/>
  <c r="BX26" i="4"/>
  <c r="U26" i="4"/>
  <c r="AJ26" i="4"/>
  <c r="O50" i="4"/>
  <c r="AJ50" i="4" s="1"/>
  <c r="P50" i="4"/>
  <c r="O56" i="4"/>
  <c r="CQ56" i="4"/>
  <c r="CQ29" i="4"/>
  <c r="BC56" i="4"/>
  <c r="BC29" i="4"/>
  <c r="O29" i="4"/>
  <c r="CW56" i="4" l="1"/>
  <c r="DL56" i="4"/>
  <c r="BI56" i="4"/>
  <c r="BX56" i="4"/>
  <c r="U56" i="4"/>
  <c r="AJ56" i="4"/>
  <c r="AK40" i="4" s="1"/>
  <c r="CW29" i="4"/>
  <c r="DL29" i="4"/>
  <c r="BI29" i="4"/>
  <c r="BX29" i="4"/>
  <c r="U29" i="4"/>
  <c r="AJ29" i="4"/>
  <c r="U50" i="4"/>
  <c r="CS50" i="4"/>
  <c r="CX50" i="4" s="1"/>
  <c r="CR50" i="4"/>
  <c r="CQ50" i="4"/>
  <c r="DL50" i="4" s="1"/>
  <c r="CS23" i="4"/>
  <c r="CX23" i="4" s="1"/>
  <c r="CR23" i="4"/>
  <c r="CQ23" i="4"/>
  <c r="DL23" i="4" s="1"/>
  <c r="BE50" i="4"/>
  <c r="BJ50" i="4" s="1"/>
  <c r="BD50" i="4"/>
  <c r="BC50" i="4"/>
  <c r="BX50" i="4" s="1"/>
  <c r="BE23" i="4"/>
  <c r="BJ23" i="4" s="1"/>
  <c r="BD23" i="4"/>
  <c r="BC23" i="4"/>
  <c r="BX23" i="4" s="1"/>
  <c r="P23" i="4"/>
  <c r="O23" i="4"/>
  <c r="AJ23" i="4" s="1"/>
  <c r="BY40" i="4" l="1"/>
  <c r="BZ40" i="4"/>
  <c r="BZ13" i="4"/>
  <c r="BY13" i="4"/>
  <c r="AL40" i="4"/>
  <c r="AN40" i="4" s="1"/>
  <c r="AK13" i="4"/>
  <c r="AL13" i="4"/>
  <c r="CZ40" i="4"/>
  <c r="DB40" i="4"/>
  <c r="BL40" i="4"/>
  <c r="BN40" i="4"/>
  <c r="BI50" i="4"/>
  <c r="CW50" i="4"/>
  <c r="Y40" i="4"/>
  <c r="W40" i="4"/>
  <c r="DB13" i="4"/>
  <c r="CZ13" i="4"/>
  <c r="CW23" i="4"/>
  <c r="BN13" i="4"/>
  <c r="BL13" i="4"/>
  <c r="BI23" i="4"/>
  <c r="U23" i="4"/>
  <c r="CQ60" i="4"/>
  <c r="CQ33" i="4"/>
  <c r="CW60" i="4" l="1"/>
  <c r="DA40" i="4" s="1"/>
  <c r="DL60" i="4"/>
  <c r="AM40" i="4"/>
  <c r="AO56" i="4" s="1"/>
  <c r="CA40" i="4"/>
  <c r="CB40" i="4"/>
  <c r="CW33" i="4"/>
  <c r="CY13" i="4" s="1"/>
  <c r="DL33" i="4"/>
  <c r="CB13" i="4"/>
  <c r="CA13" i="4"/>
  <c r="AN13" i="4"/>
  <c r="AM13" i="4"/>
  <c r="DF40" i="4"/>
  <c r="DD40" i="4"/>
  <c r="AA40" i="4"/>
  <c r="BK40" i="4"/>
  <c r="BM40" i="4"/>
  <c r="BR40" i="4"/>
  <c r="BP40" i="4"/>
  <c r="AC40" i="4"/>
  <c r="DD13" i="4"/>
  <c r="DF13" i="4"/>
  <c r="BR13" i="4"/>
  <c r="BP13" i="4"/>
  <c r="BK13" i="4"/>
  <c r="BM13" i="4"/>
  <c r="W13" i="4"/>
  <c r="Y13" i="4"/>
  <c r="DA13" i="4" l="1"/>
  <c r="DC13" i="4" s="1"/>
  <c r="DN40" i="4"/>
  <c r="DM40" i="4"/>
  <c r="DN13" i="4"/>
  <c r="DM13" i="4"/>
  <c r="CY40" i="4"/>
  <c r="DC40" i="4" s="1"/>
  <c r="AO51" i="4"/>
  <c r="AP51" i="4" s="1"/>
  <c r="AO50" i="4"/>
  <c r="AP50" i="4" s="1"/>
  <c r="AO40" i="4"/>
  <c r="AP40" i="4" s="1"/>
  <c r="AO47" i="4"/>
  <c r="AP47" i="4" s="1"/>
  <c r="AO48" i="4"/>
  <c r="AP48" i="4" s="1"/>
  <c r="AO60" i="4"/>
  <c r="AP60" i="4" s="1"/>
  <c r="AO41" i="4"/>
  <c r="AP41" i="4" s="1"/>
  <c r="AO43" i="4"/>
  <c r="AP43" i="4" s="1"/>
  <c r="AO42" i="4"/>
  <c r="AP42" i="4" s="1"/>
  <c r="AO46" i="4"/>
  <c r="AP46" i="4" s="1"/>
  <c r="AO53" i="4"/>
  <c r="AP53" i="4" s="1"/>
  <c r="AO54" i="4"/>
  <c r="AP54" i="4" s="1"/>
  <c r="AO55" i="4"/>
  <c r="AP55" i="4" s="1"/>
  <c r="AO57" i="4"/>
  <c r="AP57" i="4" s="1"/>
  <c r="AO58" i="4"/>
  <c r="AP58" i="4" s="1"/>
  <c r="AO45" i="4"/>
  <c r="AP45" i="4" s="1"/>
  <c r="AO61" i="4"/>
  <c r="AP61" i="4" s="1"/>
  <c r="AO44" i="4"/>
  <c r="AP44" i="4" s="1"/>
  <c r="AO62" i="4"/>
  <c r="AP62" i="4" s="1"/>
  <c r="AO52" i="4"/>
  <c r="AP52" i="4" s="1"/>
  <c r="AO59" i="4"/>
  <c r="AP59" i="4" s="1"/>
  <c r="AO63" i="4"/>
  <c r="AP63" i="4" s="1"/>
  <c r="AO49" i="4"/>
  <c r="AP49" i="4" s="1"/>
  <c r="CC46" i="4"/>
  <c r="CD46" i="4" s="1"/>
  <c r="CC52" i="4"/>
  <c r="CD52" i="4" s="1"/>
  <c r="CC40" i="4"/>
  <c r="CD40" i="4" s="1"/>
  <c r="CC42" i="4"/>
  <c r="CD42" i="4" s="1"/>
  <c r="CC44" i="4"/>
  <c r="CC59" i="4"/>
  <c r="CD59" i="4" s="1"/>
  <c r="CC61" i="4"/>
  <c r="CD61" i="4" s="1"/>
  <c r="CC49" i="4"/>
  <c r="CD49" i="4" s="1"/>
  <c r="CC43" i="4"/>
  <c r="CD43" i="4" s="1"/>
  <c r="CC58" i="4"/>
  <c r="CC60" i="4"/>
  <c r="CC63" i="4"/>
  <c r="CC45" i="4"/>
  <c r="CD45" i="4" s="1"/>
  <c r="CC48" i="4"/>
  <c r="CD48" i="4" s="1"/>
  <c r="CC41" i="4"/>
  <c r="CD41" i="4" s="1"/>
  <c r="CC57" i="4"/>
  <c r="CD57" i="4" s="1"/>
  <c r="CC51" i="4"/>
  <c r="CD51" i="4" s="1"/>
  <c r="CC62" i="4"/>
  <c r="CD62" i="4" s="1"/>
  <c r="CC55" i="4"/>
  <c r="CD55" i="4" s="1"/>
  <c r="CC47" i="4"/>
  <c r="CD47" i="4" s="1"/>
  <c r="CC54" i="4"/>
  <c r="CD54" i="4" s="1"/>
  <c r="CC53" i="4"/>
  <c r="CD53" i="4" s="1"/>
  <c r="CC50" i="4"/>
  <c r="CD50" i="4" s="1"/>
  <c r="CC56" i="4"/>
  <c r="CD56" i="4" s="1"/>
  <c r="CD44" i="4"/>
  <c r="CD58" i="4"/>
  <c r="CD60" i="4"/>
  <c r="CD63" i="4"/>
  <c r="AP56" i="4"/>
  <c r="CC34" i="4"/>
  <c r="CD34" i="4" s="1"/>
  <c r="CC16" i="4"/>
  <c r="CD16" i="4" s="1"/>
  <c r="CC36" i="4"/>
  <c r="CD36" i="4" s="1"/>
  <c r="CC19" i="4"/>
  <c r="CD19" i="4" s="1"/>
  <c r="CC25" i="4"/>
  <c r="CD25" i="4" s="1"/>
  <c r="CC33" i="4"/>
  <c r="CD33" i="4" s="1"/>
  <c r="CC15" i="4"/>
  <c r="CD15" i="4" s="1"/>
  <c r="CC17" i="4"/>
  <c r="CD17" i="4" s="1"/>
  <c r="CC13" i="4"/>
  <c r="CD13" i="4" s="1"/>
  <c r="CC22" i="4"/>
  <c r="CD22" i="4" s="1"/>
  <c r="CC32" i="4"/>
  <c r="CD32" i="4" s="1"/>
  <c r="CC18" i="4"/>
  <c r="CD18" i="4" s="1"/>
  <c r="CC21" i="4"/>
  <c r="CD21" i="4" s="1"/>
  <c r="CC31" i="4"/>
  <c r="CD31" i="4" s="1"/>
  <c r="CC14" i="4"/>
  <c r="CD14" i="4" s="1"/>
  <c r="CC30" i="4"/>
  <c r="CD30" i="4" s="1"/>
  <c r="CC24" i="4"/>
  <c r="CD24" i="4" s="1"/>
  <c r="CC20" i="4"/>
  <c r="CD20" i="4" s="1"/>
  <c r="CC28" i="4"/>
  <c r="CD28" i="4" s="1"/>
  <c r="CC35" i="4"/>
  <c r="CD35" i="4" s="1"/>
  <c r="CC27" i="4"/>
  <c r="CD27" i="4" s="1"/>
  <c r="CC26" i="4"/>
  <c r="CD26" i="4" s="1"/>
  <c r="CC23" i="4"/>
  <c r="CD23" i="4" s="1"/>
  <c r="CC29" i="4"/>
  <c r="CD29" i="4" s="1"/>
  <c r="AO35" i="4"/>
  <c r="AP35" i="4" s="1"/>
  <c r="AO33" i="4"/>
  <c r="AP33" i="4" s="1"/>
  <c r="AO25" i="4"/>
  <c r="AP25" i="4" s="1"/>
  <c r="AO17" i="4"/>
  <c r="AP17" i="4" s="1"/>
  <c r="AO22" i="4"/>
  <c r="AP22" i="4" s="1"/>
  <c r="AO19" i="4"/>
  <c r="AP19" i="4" s="1"/>
  <c r="AO16" i="4"/>
  <c r="AP16" i="4" s="1"/>
  <c r="AO36" i="4"/>
  <c r="AP36" i="4" s="1"/>
  <c r="AO34" i="4"/>
  <c r="AP34" i="4" s="1"/>
  <c r="AO32" i="4"/>
  <c r="AP32" i="4" s="1"/>
  <c r="AO13" i="4"/>
  <c r="AP13" i="4" s="1"/>
  <c r="AO15" i="4"/>
  <c r="AP15" i="4" s="1"/>
  <c r="AO18" i="4"/>
  <c r="AP18" i="4" s="1"/>
  <c r="AO21" i="4"/>
  <c r="AP21" i="4" s="1"/>
  <c r="AO31" i="4"/>
  <c r="AP31" i="4" s="1"/>
  <c r="AO14" i="4"/>
  <c r="AP14" i="4" s="1"/>
  <c r="AO30" i="4"/>
  <c r="AP30" i="4" s="1"/>
  <c r="AO24" i="4"/>
  <c r="AP24" i="4" s="1"/>
  <c r="AO28" i="4"/>
  <c r="AP28" i="4" s="1"/>
  <c r="AO20" i="4"/>
  <c r="AP20" i="4" s="1"/>
  <c r="AO27" i="4"/>
  <c r="AP27" i="4" s="1"/>
  <c r="AO26" i="4"/>
  <c r="AP26" i="4" s="1"/>
  <c r="AO23" i="4"/>
  <c r="AP23" i="4" s="1"/>
  <c r="AO29" i="4"/>
  <c r="AP29" i="4" s="1"/>
  <c r="DH43" i="4"/>
  <c r="DJ43" i="4" s="1"/>
  <c r="DH47" i="4"/>
  <c r="DJ47" i="4" s="1"/>
  <c r="DH52" i="4"/>
  <c r="DJ52" i="4" s="1"/>
  <c r="DH58" i="4"/>
  <c r="DJ58" i="4" s="1"/>
  <c r="DH62" i="4"/>
  <c r="DJ62" i="4" s="1"/>
  <c r="DH40" i="4"/>
  <c r="DJ40" i="4" s="1"/>
  <c r="DH55" i="4"/>
  <c r="DJ55" i="4" s="1"/>
  <c r="DH42" i="4"/>
  <c r="DJ42" i="4" s="1"/>
  <c r="DH45" i="4"/>
  <c r="DJ45" i="4" s="1"/>
  <c r="DH48" i="4"/>
  <c r="DJ48" i="4" s="1"/>
  <c r="DH56" i="4"/>
  <c r="DJ56" i="4" s="1"/>
  <c r="DH60" i="4"/>
  <c r="DJ60" i="4" s="1"/>
  <c r="DH44" i="4"/>
  <c r="DJ44" i="4" s="1"/>
  <c r="DH51" i="4"/>
  <c r="DJ51" i="4" s="1"/>
  <c r="DH59" i="4"/>
  <c r="DJ59" i="4" s="1"/>
  <c r="DH46" i="4"/>
  <c r="DJ46" i="4" s="1"/>
  <c r="DH49" i="4"/>
  <c r="DJ49" i="4" s="1"/>
  <c r="DH53" i="4"/>
  <c r="DJ53" i="4" s="1"/>
  <c r="DH61" i="4"/>
  <c r="DJ61" i="4" s="1"/>
  <c r="DH63" i="4"/>
  <c r="DJ63" i="4" s="1"/>
  <c r="DH54" i="4"/>
  <c r="DJ54" i="4" s="1"/>
  <c r="DH57" i="4"/>
  <c r="DJ57" i="4" s="1"/>
  <c r="DH41" i="4"/>
  <c r="DJ41" i="4" s="1"/>
  <c r="DH50" i="4"/>
  <c r="DJ50" i="4" s="1"/>
  <c r="AE63" i="4"/>
  <c r="BT43" i="4"/>
  <c r="BV43" i="4" s="1"/>
  <c r="BT55" i="4"/>
  <c r="BV55" i="4" s="1"/>
  <c r="BT62" i="4"/>
  <c r="BV62" i="4" s="1"/>
  <c r="BT40" i="4"/>
  <c r="BV40" i="4" s="1"/>
  <c r="BT46" i="4"/>
  <c r="BV46" i="4" s="1"/>
  <c r="BT49" i="4"/>
  <c r="BV49" i="4" s="1"/>
  <c r="BT56" i="4"/>
  <c r="BV56" i="4" s="1"/>
  <c r="BT59" i="4"/>
  <c r="BV59" i="4" s="1"/>
  <c r="BT44" i="4"/>
  <c r="BV44" i="4" s="1"/>
  <c r="BT47" i="4"/>
  <c r="BV47" i="4" s="1"/>
  <c r="BT63" i="4"/>
  <c r="BV63" i="4" s="1"/>
  <c r="BT42" i="4"/>
  <c r="BV42" i="4" s="1"/>
  <c r="BT45" i="4"/>
  <c r="BV45" i="4" s="1"/>
  <c r="BT48" i="4"/>
  <c r="BV48" i="4" s="1"/>
  <c r="BT52" i="4"/>
  <c r="BV52" i="4" s="1"/>
  <c r="BT58" i="4"/>
  <c r="BV58" i="4" s="1"/>
  <c r="BT61" i="4"/>
  <c r="BV61" i="4" s="1"/>
  <c r="BT54" i="4"/>
  <c r="BV54" i="4" s="1"/>
  <c r="BT60" i="4"/>
  <c r="BV60" i="4" s="1"/>
  <c r="BT53" i="4"/>
  <c r="BV53" i="4" s="1"/>
  <c r="BT57" i="4"/>
  <c r="BV57" i="4" s="1"/>
  <c r="BT51" i="4"/>
  <c r="BV51" i="4" s="1"/>
  <c r="BT41" i="4"/>
  <c r="BV41" i="4" s="1"/>
  <c r="BT50" i="4"/>
  <c r="BV50" i="4" s="1"/>
  <c r="AE41" i="4"/>
  <c r="AG41" i="4" s="1"/>
  <c r="AE50" i="4"/>
  <c r="AE62" i="4"/>
  <c r="AE47" i="4"/>
  <c r="AE48" i="4"/>
  <c r="AE40" i="4"/>
  <c r="AG40" i="4" s="1"/>
  <c r="AE53" i="4"/>
  <c r="AE51" i="4"/>
  <c r="AE58" i="4"/>
  <c r="AE59" i="4"/>
  <c r="AE49" i="4"/>
  <c r="AE44" i="4"/>
  <c r="BS63" i="4"/>
  <c r="BU63" i="4" s="1"/>
  <c r="BO40" i="4"/>
  <c r="BQ40" i="4"/>
  <c r="AE56" i="4"/>
  <c r="AE54" i="4"/>
  <c r="AE55" i="4"/>
  <c r="AE57" i="4"/>
  <c r="AE60" i="4"/>
  <c r="AE43" i="4"/>
  <c r="AE45" i="4"/>
  <c r="AG45" i="4" s="1"/>
  <c r="AE42" i="4"/>
  <c r="AE52" i="4"/>
  <c r="AE46" i="4"/>
  <c r="AE61" i="4"/>
  <c r="DH34" i="4"/>
  <c r="DJ34" i="4" s="1"/>
  <c r="DH29" i="4"/>
  <c r="DJ29" i="4" s="1"/>
  <c r="DH22" i="4"/>
  <c r="DJ22" i="4" s="1"/>
  <c r="DH19" i="4"/>
  <c r="DJ19" i="4" s="1"/>
  <c r="DH16" i="4"/>
  <c r="DJ16" i="4" s="1"/>
  <c r="DH35" i="4"/>
  <c r="DJ35" i="4" s="1"/>
  <c r="DH31" i="4"/>
  <c r="DJ31" i="4" s="1"/>
  <c r="DH25" i="4"/>
  <c r="DJ25" i="4" s="1"/>
  <c r="DH20" i="4"/>
  <c r="DJ20" i="4" s="1"/>
  <c r="DH15" i="4"/>
  <c r="DJ15" i="4" s="1"/>
  <c r="DH13" i="4"/>
  <c r="DJ13" i="4" s="1"/>
  <c r="DH33" i="4"/>
  <c r="DJ33" i="4" s="1"/>
  <c r="DH26" i="4"/>
  <c r="DJ26" i="4" s="1"/>
  <c r="DH21" i="4"/>
  <c r="DJ21" i="4" s="1"/>
  <c r="DH18" i="4"/>
  <c r="DJ18" i="4" s="1"/>
  <c r="DH36" i="4"/>
  <c r="DJ36" i="4" s="1"/>
  <c r="DH32" i="4"/>
  <c r="DJ32" i="4" s="1"/>
  <c r="DH28" i="4"/>
  <c r="DJ28" i="4" s="1"/>
  <c r="DH24" i="4"/>
  <c r="DJ24" i="4" s="1"/>
  <c r="DH17" i="4"/>
  <c r="DJ17" i="4" s="1"/>
  <c r="DH27" i="4"/>
  <c r="DJ27" i="4" s="1"/>
  <c r="DH30" i="4"/>
  <c r="DJ30" i="4" s="1"/>
  <c r="DH14" i="4"/>
  <c r="DJ14" i="4" s="1"/>
  <c r="DH23" i="4"/>
  <c r="DJ23" i="4" s="1"/>
  <c r="BQ13" i="4"/>
  <c r="BO13" i="4"/>
  <c r="BT13" i="4"/>
  <c r="BV13" i="4" s="1"/>
  <c r="BT32" i="4"/>
  <c r="BV32" i="4" s="1"/>
  <c r="BT28" i="4"/>
  <c r="BV28" i="4" s="1"/>
  <c r="BT16" i="4"/>
  <c r="BV16" i="4" s="1"/>
  <c r="BT35" i="4"/>
  <c r="BV35" i="4" s="1"/>
  <c r="BT25" i="4"/>
  <c r="BV25" i="4" s="1"/>
  <c r="BT21" i="4"/>
  <c r="BV21" i="4" s="1"/>
  <c r="BT18" i="4"/>
  <c r="BV18" i="4" s="1"/>
  <c r="BT15" i="4"/>
  <c r="BV15" i="4" s="1"/>
  <c r="BT34" i="4"/>
  <c r="BV34" i="4" s="1"/>
  <c r="BT31" i="4"/>
  <c r="BV31" i="4" s="1"/>
  <c r="BT20" i="4"/>
  <c r="BV20" i="4" s="1"/>
  <c r="BT17" i="4"/>
  <c r="BV17" i="4" s="1"/>
  <c r="BT36" i="4"/>
  <c r="BV36" i="4" s="1"/>
  <c r="BT29" i="4"/>
  <c r="BV29" i="4" s="1"/>
  <c r="BT22" i="4"/>
  <c r="BV22" i="4" s="1"/>
  <c r="BT19" i="4"/>
  <c r="BV19" i="4" s="1"/>
  <c r="BT27" i="4"/>
  <c r="BV27" i="4" s="1"/>
  <c r="BT33" i="4"/>
  <c r="BV33" i="4" s="1"/>
  <c r="BT30" i="4"/>
  <c r="BV30" i="4" s="1"/>
  <c r="BT24" i="4"/>
  <c r="BV24" i="4" s="1"/>
  <c r="BT26" i="4"/>
  <c r="BV26" i="4" s="1"/>
  <c r="BT14" i="4"/>
  <c r="BV14" i="4" s="1"/>
  <c r="BT23" i="4"/>
  <c r="BV23" i="4" s="1"/>
  <c r="AC13" i="4"/>
  <c r="AA13" i="4"/>
  <c r="DE40" i="4" l="1"/>
  <c r="DG52" i="4" s="1"/>
  <c r="DI52" i="4" s="1"/>
  <c r="DE13" i="4"/>
  <c r="DG13" i="4" s="1"/>
  <c r="DI13" i="4" s="1"/>
  <c r="DP40" i="4"/>
  <c r="DO40" i="4"/>
  <c r="CD64" i="4"/>
  <c r="CD65" i="4" s="1"/>
  <c r="AP64" i="4"/>
  <c r="AP65" i="4" s="1"/>
  <c r="DO13" i="4"/>
  <c r="DP13" i="4"/>
  <c r="CD37" i="4"/>
  <c r="CD38" i="4" s="1"/>
  <c r="AP37" i="4"/>
  <c r="AP38" i="4" s="1"/>
  <c r="DG61" i="4"/>
  <c r="DI61" i="4" s="1"/>
  <c r="DJ64" i="4"/>
  <c r="DJ65" i="4" s="1"/>
  <c r="BS40" i="4"/>
  <c r="BU40" i="4" s="1"/>
  <c r="BS46" i="4"/>
  <c r="BU46" i="4" s="1"/>
  <c r="BS49" i="4"/>
  <c r="BU49" i="4" s="1"/>
  <c r="BS59" i="4"/>
  <c r="BU59" i="4" s="1"/>
  <c r="BS44" i="4"/>
  <c r="BU44" i="4" s="1"/>
  <c r="BS42" i="4"/>
  <c r="BU42" i="4" s="1"/>
  <c r="BS52" i="4"/>
  <c r="BU52" i="4" s="1"/>
  <c r="BS58" i="4"/>
  <c r="BU58" i="4" s="1"/>
  <c r="BS61" i="4"/>
  <c r="BU61" i="4" s="1"/>
  <c r="BS45" i="4"/>
  <c r="BU45" i="4" s="1"/>
  <c r="BS48" i="4"/>
  <c r="BU48" i="4" s="1"/>
  <c r="BS43" i="4"/>
  <c r="BU43" i="4" s="1"/>
  <c r="BS60" i="4"/>
  <c r="BU60" i="4" s="1"/>
  <c r="BS41" i="4"/>
  <c r="BU41" i="4" s="1"/>
  <c r="BS57" i="4"/>
  <c r="BU57" i="4" s="1"/>
  <c r="BS51" i="4"/>
  <c r="BU51" i="4" s="1"/>
  <c r="BS62" i="4"/>
  <c r="BU62" i="4" s="1"/>
  <c r="BS55" i="4"/>
  <c r="BU55" i="4" s="1"/>
  <c r="BS47" i="4"/>
  <c r="BU47" i="4" s="1"/>
  <c r="BS54" i="4"/>
  <c r="BU54" i="4" s="1"/>
  <c r="BS53" i="4"/>
  <c r="BU53" i="4" s="1"/>
  <c r="BS56" i="4"/>
  <c r="BU56" i="4" s="1"/>
  <c r="BS50" i="4"/>
  <c r="BU50" i="4" s="1"/>
  <c r="BV64" i="4"/>
  <c r="BV65" i="4" s="1"/>
  <c r="DU65" i="4" s="1"/>
  <c r="AG44" i="4"/>
  <c r="AG49" i="4"/>
  <c r="AG59" i="4"/>
  <c r="AG62" i="4"/>
  <c r="AG42" i="4"/>
  <c r="AG46" i="4"/>
  <c r="AG52" i="4"/>
  <c r="AG61" i="4"/>
  <c r="AG63" i="4"/>
  <c r="AG48" i="4"/>
  <c r="AG43" i="4"/>
  <c r="AG58" i="4"/>
  <c r="AG60" i="4"/>
  <c r="AG57" i="4"/>
  <c r="AG51" i="4"/>
  <c r="AG55" i="4"/>
  <c r="AG47" i="4"/>
  <c r="AG54" i="4"/>
  <c r="AG53" i="4"/>
  <c r="AG56" i="4"/>
  <c r="AG50" i="4"/>
  <c r="DJ37" i="4"/>
  <c r="DJ38" i="4" s="1"/>
  <c r="BV37" i="4"/>
  <c r="BV38" i="4" s="1"/>
  <c r="BS36" i="4"/>
  <c r="BU36" i="4" s="1"/>
  <c r="BS22" i="4"/>
  <c r="BU22" i="4" s="1"/>
  <c r="BS19" i="4"/>
  <c r="BU19" i="4" s="1"/>
  <c r="BS13" i="4"/>
  <c r="BU13" i="4" s="1"/>
  <c r="BS32" i="4"/>
  <c r="BU32" i="4" s="1"/>
  <c r="BS25" i="4"/>
  <c r="BU25" i="4" s="1"/>
  <c r="BS15" i="4"/>
  <c r="BU15" i="4" s="1"/>
  <c r="BS34" i="4"/>
  <c r="BU34" i="4" s="1"/>
  <c r="BS17" i="4"/>
  <c r="BU17" i="4" s="1"/>
  <c r="BS18" i="4"/>
  <c r="BU18" i="4" s="1"/>
  <c r="BS21" i="4"/>
  <c r="BU21" i="4" s="1"/>
  <c r="BS16" i="4"/>
  <c r="BU16" i="4" s="1"/>
  <c r="BS31" i="4"/>
  <c r="BU31" i="4" s="1"/>
  <c r="BS33" i="4"/>
  <c r="BU33" i="4" s="1"/>
  <c r="BS14" i="4"/>
  <c r="BU14" i="4" s="1"/>
  <c r="BS30" i="4"/>
  <c r="BU30" i="4" s="1"/>
  <c r="BS24" i="4"/>
  <c r="BU24" i="4" s="1"/>
  <c r="BS35" i="4"/>
  <c r="BU35" i="4" s="1"/>
  <c r="BS28" i="4"/>
  <c r="BU28" i="4" s="1"/>
  <c r="BS20" i="4"/>
  <c r="BU20" i="4" s="1"/>
  <c r="BS27" i="4"/>
  <c r="BU27" i="4" s="1"/>
  <c r="BS26" i="4"/>
  <c r="BU26" i="4" s="1"/>
  <c r="BS29" i="4"/>
  <c r="BU29" i="4" s="1"/>
  <c r="BS23" i="4"/>
  <c r="BU23" i="4" s="1"/>
  <c r="AE13" i="4"/>
  <c r="AG13" i="4" s="1"/>
  <c r="AE15" i="4"/>
  <c r="AG15" i="4" s="1"/>
  <c r="AE19" i="4"/>
  <c r="AG19" i="4" s="1"/>
  <c r="AE25" i="4"/>
  <c r="AG25" i="4" s="1"/>
  <c r="AE36" i="4"/>
  <c r="AG36" i="4" s="1"/>
  <c r="AE35" i="4"/>
  <c r="AG35" i="4" s="1"/>
  <c r="AE22" i="4"/>
  <c r="AG22" i="4" s="1"/>
  <c r="AE34" i="4"/>
  <c r="AG34" i="4" s="1"/>
  <c r="AE32" i="4"/>
  <c r="AG32" i="4" s="1"/>
  <c r="AE17" i="4"/>
  <c r="AG17" i="4" s="1"/>
  <c r="AE18" i="4"/>
  <c r="AG18" i="4" s="1"/>
  <c r="AE21" i="4"/>
  <c r="AG21" i="4" s="1"/>
  <c r="AE16" i="4"/>
  <c r="AG16" i="4" s="1"/>
  <c r="AE31" i="4"/>
  <c r="AG31" i="4" s="1"/>
  <c r="AE33" i="4"/>
  <c r="AG33" i="4" s="1"/>
  <c r="AE14" i="4"/>
  <c r="AG14" i="4" s="1"/>
  <c r="AE30" i="4"/>
  <c r="AG30" i="4" s="1"/>
  <c r="AE24" i="4"/>
  <c r="AG24" i="4" s="1"/>
  <c r="AE28" i="4"/>
  <c r="AG28" i="4" s="1"/>
  <c r="AE20" i="4"/>
  <c r="AG20" i="4" s="1"/>
  <c r="AE27" i="4"/>
  <c r="AG27" i="4" s="1"/>
  <c r="AE26" i="4"/>
  <c r="AG26" i="4" s="1"/>
  <c r="AE29" i="4"/>
  <c r="AG29" i="4" s="1"/>
  <c r="AE23" i="4"/>
  <c r="AG23" i="4" s="1"/>
  <c r="DG50" i="4" l="1"/>
  <c r="DI50" i="4" s="1"/>
  <c r="DG41" i="4"/>
  <c r="DI41" i="4" s="1"/>
  <c r="DG56" i="4"/>
  <c r="DI56" i="4" s="1"/>
  <c r="DG48" i="4"/>
  <c r="DI48" i="4" s="1"/>
  <c r="DG51" i="4"/>
  <c r="DI51" i="4" s="1"/>
  <c r="DG36" i="4"/>
  <c r="DI36" i="4" s="1"/>
  <c r="DG31" i="4"/>
  <c r="DI31" i="4" s="1"/>
  <c r="DG55" i="4"/>
  <c r="DI55" i="4" s="1"/>
  <c r="DG40" i="4"/>
  <c r="DI40" i="4" s="1"/>
  <c r="DG54" i="4"/>
  <c r="DI54" i="4" s="1"/>
  <c r="DG43" i="4"/>
  <c r="DI43" i="4" s="1"/>
  <c r="DG46" i="4"/>
  <c r="DI46" i="4" s="1"/>
  <c r="DG59" i="4"/>
  <c r="DI59" i="4" s="1"/>
  <c r="DG24" i="4"/>
  <c r="DI24" i="4" s="1"/>
  <c r="DG60" i="4"/>
  <c r="DI60" i="4" s="1"/>
  <c r="DG47" i="4"/>
  <c r="DI47" i="4" s="1"/>
  <c r="DG57" i="4"/>
  <c r="DI57" i="4" s="1"/>
  <c r="DG42" i="4"/>
  <c r="DI42" i="4" s="1"/>
  <c r="DG44" i="4"/>
  <c r="DI44" i="4" s="1"/>
  <c r="DG49" i="4"/>
  <c r="DI49" i="4" s="1"/>
  <c r="DG53" i="4"/>
  <c r="DI53" i="4" s="1"/>
  <c r="DG62" i="4"/>
  <c r="DI62" i="4" s="1"/>
  <c r="DG58" i="4"/>
  <c r="DI58" i="4" s="1"/>
  <c r="DG45" i="4"/>
  <c r="DI45" i="4" s="1"/>
  <c r="DG63" i="4"/>
  <c r="DI63" i="4" s="1"/>
  <c r="DG18" i="4"/>
  <c r="DI18" i="4" s="1"/>
  <c r="DG25" i="4"/>
  <c r="DI25" i="4" s="1"/>
  <c r="DG28" i="4"/>
  <c r="DI28" i="4" s="1"/>
  <c r="DG32" i="4"/>
  <c r="DI32" i="4" s="1"/>
  <c r="DG17" i="4"/>
  <c r="DI17" i="4" s="1"/>
  <c r="DG26" i="4"/>
  <c r="DI26" i="4" s="1"/>
  <c r="DG15" i="4"/>
  <c r="DI15" i="4" s="1"/>
  <c r="DG20" i="4"/>
  <c r="DI20" i="4" s="1"/>
  <c r="DG29" i="4"/>
  <c r="DI29" i="4" s="1"/>
  <c r="DG34" i="4"/>
  <c r="DI34" i="4" s="1"/>
  <c r="DG21" i="4"/>
  <c r="DI21" i="4" s="1"/>
  <c r="DG14" i="4"/>
  <c r="DI14" i="4" s="1"/>
  <c r="DG35" i="4"/>
  <c r="DI35" i="4" s="1"/>
  <c r="DG33" i="4"/>
  <c r="DI33" i="4" s="1"/>
  <c r="DG22" i="4"/>
  <c r="DI22" i="4" s="1"/>
  <c r="DG19" i="4"/>
  <c r="DI19" i="4" s="1"/>
  <c r="DG16" i="4"/>
  <c r="DI16" i="4" s="1"/>
  <c r="DG30" i="4"/>
  <c r="DI30" i="4" s="1"/>
  <c r="DG27" i="4"/>
  <c r="DI27" i="4" s="1"/>
  <c r="DG23" i="4"/>
  <c r="DI23" i="4" s="1"/>
  <c r="DQ49" i="4"/>
  <c r="DR49" i="4" s="1"/>
  <c r="DQ59" i="4"/>
  <c r="DR59" i="4" s="1"/>
  <c r="DQ44" i="4"/>
  <c r="DR44" i="4" s="1"/>
  <c r="DQ46" i="4"/>
  <c r="DR46" i="4" s="1"/>
  <c r="DQ52" i="4"/>
  <c r="DR52" i="4" s="1"/>
  <c r="DQ63" i="4"/>
  <c r="DR63" i="4" s="1"/>
  <c r="DQ43" i="4"/>
  <c r="DR43" i="4" s="1"/>
  <c r="DQ61" i="4"/>
  <c r="DR61" i="4" s="1"/>
  <c r="DQ40" i="4"/>
  <c r="DR40" i="4" s="1"/>
  <c r="DQ42" i="4"/>
  <c r="DR42" i="4" s="1"/>
  <c r="DQ45" i="4"/>
  <c r="DR45" i="4" s="1"/>
  <c r="DQ48" i="4"/>
  <c r="DR48" i="4" s="1"/>
  <c r="DQ58" i="4"/>
  <c r="DR58" i="4" s="1"/>
  <c r="DQ41" i="4"/>
  <c r="DR41" i="4" s="1"/>
  <c r="DQ57" i="4"/>
  <c r="DR57" i="4" s="1"/>
  <c r="DQ51" i="4"/>
  <c r="DR51" i="4" s="1"/>
  <c r="DQ55" i="4"/>
  <c r="DR55" i="4" s="1"/>
  <c r="DQ62" i="4"/>
  <c r="DR62" i="4" s="1"/>
  <c r="DQ47" i="4"/>
  <c r="DR47" i="4" s="1"/>
  <c r="DQ54" i="4"/>
  <c r="DR54" i="4" s="1"/>
  <c r="DQ53" i="4"/>
  <c r="DR53" i="4" s="1"/>
  <c r="DQ50" i="4"/>
  <c r="DR50" i="4" s="1"/>
  <c r="DQ56" i="4"/>
  <c r="DR56" i="4" s="1"/>
  <c r="DQ60" i="4"/>
  <c r="DR60" i="4" s="1"/>
  <c r="DQ34" i="4"/>
  <c r="DR34" i="4" s="1"/>
  <c r="DQ16" i="4"/>
  <c r="DR16" i="4" s="1"/>
  <c r="DQ15" i="4"/>
  <c r="DR15" i="4" s="1"/>
  <c r="DQ22" i="4"/>
  <c r="DR22" i="4" s="1"/>
  <c r="DQ32" i="4"/>
  <c r="DR32" i="4" s="1"/>
  <c r="DQ13" i="4"/>
  <c r="DR13" i="4" s="1"/>
  <c r="DQ19" i="4"/>
  <c r="DR19" i="4" s="1"/>
  <c r="DQ25" i="4"/>
  <c r="DR25" i="4" s="1"/>
  <c r="DQ36" i="4"/>
  <c r="DR36" i="4" s="1"/>
  <c r="DQ18" i="4"/>
  <c r="DR18" i="4" s="1"/>
  <c r="DQ21" i="4"/>
  <c r="DR21" i="4" s="1"/>
  <c r="DQ31" i="4"/>
  <c r="DR31" i="4" s="1"/>
  <c r="DQ17" i="4"/>
  <c r="DR17" i="4" s="1"/>
  <c r="DQ20" i="4"/>
  <c r="DR20" i="4" s="1"/>
  <c r="DQ14" i="4"/>
  <c r="DR14" i="4" s="1"/>
  <c r="DQ30" i="4"/>
  <c r="DR30" i="4" s="1"/>
  <c r="DQ24" i="4"/>
  <c r="DR24" i="4" s="1"/>
  <c r="DQ28" i="4"/>
  <c r="DR28" i="4" s="1"/>
  <c r="DQ35" i="4"/>
  <c r="DR35" i="4" s="1"/>
  <c r="DQ27" i="4"/>
  <c r="DR27" i="4" s="1"/>
  <c r="DQ26" i="4"/>
  <c r="DR26" i="4" s="1"/>
  <c r="DQ29" i="4"/>
  <c r="DR29" i="4" s="1"/>
  <c r="DQ23" i="4"/>
  <c r="DR23" i="4" s="1"/>
  <c r="DQ33" i="4"/>
  <c r="DR33" i="4" s="1"/>
  <c r="DU38" i="4"/>
  <c r="BU64" i="4"/>
  <c r="BU65" i="4" s="1"/>
  <c r="AG64" i="4"/>
  <c r="AG65" i="4" s="1"/>
  <c r="BU37" i="4"/>
  <c r="BU38" i="4" s="1"/>
  <c r="AG37" i="4"/>
  <c r="AG38" i="4" s="1"/>
  <c r="DI64" i="4" l="1"/>
  <c r="DI65" i="4" s="1"/>
  <c r="DI37" i="4"/>
  <c r="DI38" i="4" s="1"/>
  <c r="DT38" i="4" s="1"/>
  <c r="DR37" i="4"/>
  <c r="DR38" i="4" s="1"/>
  <c r="DS38" i="4" s="1"/>
  <c r="DR64" i="4"/>
  <c r="DR65" i="4" s="1"/>
  <c r="DS65" i="4" s="1"/>
  <c r="DT65" i="4"/>
  <c r="K146" i="13"/>
  <c r="K10" i="13" s="1"/>
</calcChain>
</file>

<file path=xl/comments1.xml><?xml version="1.0" encoding="utf-8"?>
<comments xmlns="http://schemas.openxmlformats.org/spreadsheetml/2006/main">
  <authors>
    <author>Иванова Елена Алексеевна</author>
  </authors>
  <commentList>
    <comment ref="AE9" authorId="0">
      <text>
        <r>
          <rPr>
            <b/>
            <sz val="9"/>
            <color indexed="81"/>
            <rFont val="Tahoma"/>
            <family val="2"/>
            <charset val="204"/>
          </rPr>
          <t>Иванова Елена Алексеевна:</t>
        </r>
        <r>
          <rPr>
            <sz val="9"/>
            <color indexed="81"/>
            <rFont val="Tahoma"/>
            <family val="2"/>
            <charset val="204"/>
          </rPr>
          <t xml:space="preserve">
</t>
        </r>
        <r>
          <rPr>
            <sz val="10"/>
            <color indexed="81"/>
            <rFont val="Tahoma"/>
            <family val="2"/>
            <charset val="204"/>
          </rPr>
          <t>не должны участвовать значения "0"</t>
        </r>
        <r>
          <rPr>
            <sz val="9"/>
            <color indexed="81"/>
            <rFont val="Tahoma"/>
            <family val="2"/>
            <charset val="204"/>
          </rPr>
          <t xml:space="preserve">
</t>
        </r>
      </text>
    </comment>
    <comment ref="DC30" authorId="0">
      <text>
        <r>
          <rPr>
            <b/>
            <sz val="9"/>
            <color indexed="81"/>
            <rFont val="Tahoma"/>
            <family val="2"/>
            <charset val="204"/>
          </rPr>
          <t>Иванова Елена Алексеевна:</t>
        </r>
        <r>
          <rPr>
            <sz val="9"/>
            <color indexed="81"/>
            <rFont val="Tahoma"/>
            <family val="2"/>
            <charset val="204"/>
          </rPr>
          <t xml:space="preserve">
Не совпадает с данными представленными на 2018 год</t>
        </r>
      </text>
    </comment>
    <comment ref="DC61" authorId="0">
      <text>
        <r>
          <rPr>
            <b/>
            <sz val="9"/>
            <color indexed="81"/>
            <rFont val="Tahoma"/>
            <family val="2"/>
            <charset val="204"/>
          </rPr>
          <t>Иванова Елена Алексеевна:</t>
        </r>
        <r>
          <rPr>
            <sz val="9"/>
            <color indexed="81"/>
            <rFont val="Tahoma"/>
            <family val="2"/>
            <charset val="204"/>
          </rPr>
          <t xml:space="preserve">
Не совпадает с данными, представленными на 2018 год</t>
        </r>
      </text>
    </comment>
  </commentList>
</comments>
</file>

<file path=xl/sharedStrings.xml><?xml version="1.0" encoding="utf-8"?>
<sst xmlns="http://schemas.openxmlformats.org/spreadsheetml/2006/main" count="3488" uniqueCount="1197">
  <si>
    <t>N п/п</t>
  </si>
  <si>
    <t>Объект электросетевого хозяйства</t>
  </si>
  <si>
    <t>Протяженность (для линий электропередачи), м</t>
  </si>
  <si>
    <t>1.</t>
  </si>
  <si>
    <t>2.</t>
  </si>
  <si>
    <t>3.</t>
  </si>
  <si>
    <t>4.</t>
  </si>
  <si>
    <t>5.</t>
  </si>
  <si>
    <t>6.</t>
  </si>
  <si>
    <t>АО "ДРСК"</t>
  </si>
  <si>
    <t>МУПВ "ВПЭС"</t>
  </si>
  <si>
    <t xml:space="preserve"> ООО "Артемовская электросетевая компания"</t>
  </si>
  <si>
    <t>ООО "ТЭСК"</t>
  </si>
  <si>
    <t>ООО "Энергия" с.Черниговка</t>
  </si>
  <si>
    <t>Хорольское МУП ЭС</t>
  </si>
  <si>
    <t>МУП "Уссурийск-электросеть"</t>
  </si>
  <si>
    <t>Октябрьское РМУП ЭС</t>
  </si>
  <si>
    <t>ООО "Кировская электросеть"</t>
  </si>
  <si>
    <t>АО "Спасскэлектросеть"</t>
  </si>
  <si>
    <t>ОАО "Михайловскагропромэнерго"</t>
  </si>
  <si>
    <t>ОАО "Оборонэнерго" филиал "Приморский"</t>
  </si>
  <si>
    <t>ЗАО "Коммунэлектросервис" г.Дальнегорск</t>
  </si>
  <si>
    <t>ОАО "Арсеньевэлектросервис"</t>
  </si>
  <si>
    <t>ОАО "Хасанкоммунэнерго"</t>
  </si>
  <si>
    <t>ООО "Электробытсервис"</t>
  </si>
  <si>
    <t>ООО "Коммунальные сети" г.Лесозаводск</t>
  </si>
  <si>
    <t>ООО "Энергетические сети Преображения"</t>
  </si>
  <si>
    <t>ООО "РЭС" г.Большой камень</t>
  </si>
  <si>
    <t>ООО "Спасскэлектроконтроль"</t>
  </si>
  <si>
    <t>ООО "Инфраструктура"</t>
  </si>
  <si>
    <t>ООО "Промышленные энергосети Приморского края"</t>
  </si>
  <si>
    <t>Результаты</t>
  </si>
  <si>
    <t>расчета экономически обоснованных расходов на выполнение</t>
  </si>
  <si>
    <t>мероприятий по технологическому присоединению,</t>
  </si>
  <si>
    <t>предусмотренных подпунктами "а" и "в" пункта 16</t>
  </si>
  <si>
    <t>Методических указаний</t>
  </si>
  <si>
    <t>руб. на одно присоединение</t>
  </si>
  <si>
    <t>Показатели</t>
  </si>
  <si>
    <t>Расходы по каждому мероприятию (руб.)</t>
  </si>
  <si>
    <t>Количество технологических присоединений (шт.)</t>
  </si>
  <si>
    <t>Объем максимальной мощности (кВт)</t>
  </si>
  <si>
    <t>Данные за 2015 год</t>
  </si>
  <si>
    <t>Данные за 2016 год</t>
  </si>
  <si>
    <t>1. Подготовка и выдача сетевой организацией технических условий Заявителю</t>
  </si>
  <si>
    <t>7.</t>
  </si>
  <si>
    <t>8.</t>
  </si>
  <si>
    <t>9.</t>
  </si>
  <si>
    <t>10.</t>
  </si>
  <si>
    <t xml:space="preserve">АО "Кавалеровская электросеть" </t>
  </si>
  <si>
    <t>11.</t>
  </si>
  <si>
    <t>12.</t>
  </si>
  <si>
    <t>13.</t>
  </si>
  <si>
    <t>14.</t>
  </si>
  <si>
    <t>15.</t>
  </si>
  <si>
    <t>16.</t>
  </si>
  <si>
    <t>17.</t>
  </si>
  <si>
    <t>18.</t>
  </si>
  <si>
    <t>19.</t>
  </si>
  <si>
    <t>20.</t>
  </si>
  <si>
    <t>21.</t>
  </si>
  <si>
    <t>22.</t>
  </si>
  <si>
    <t>23.</t>
  </si>
  <si>
    <t>2. Проверка сетевой организацией выполнения Заявителем</t>
  </si>
  <si>
    <t>до 15 кВт</t>
  </si>
  <si>
    <t>от 150 кВт до 670 кВт</t>
  </si>
  <si>
    <t>от 15 кВт до 150 кВт</t>
  </si>
  <si>
    <t>от 670 кВт до 10 МВт</t>
  </si>
  <si>
    <t>"Желдорэнерго" - филиал ООО "Энергопромсбыт"</t>
  </si>
  <si>
    <t>24.</t>
  </si>
  <si>
    <t>Расходы на одно присоединение</t>
  </si>
  <si>
    <t xml:space="preserve"> до 150 кВт</t>
  </si>
  <si>
    <t xml:space="preserve">от 150 кВт </t>
  </si>
  <si>
    <t>среднее</t>
  </si>
  <si>
    <t>отклонение</t>
  </si>
  <si>
    <t>мин</t>
  </si>
  <si>
    <t>мах</t>
  </si>
  <si>
    <t>если</t>
  </si>
  <si>
    <t>среднее сзначение расходов по выборке</t>
  </si>
  <si>
    <t>Стандартизированная тарифная ставка</t>
  </si>
  <si>
    <t>ср</t>
  </si>
  <si>
    <t>откл</t>
  </si>
  <si>
    <t>кол</t>
  </si>
  <si>
    <t xml:space="preserve">расх </t>
  </si>
  <si>
    <t xml:space="preserve"> до 15 кВт</t>
  </si>
  <si>
    <t xml:space="preserve"> до 50 кВт</t>
  </si>
  <si>
    <t>расход на 1 км</t>
  </si>
  <si>
    <t>расход на 1 квт</t>
  </si>
  <si>
    <t>ИПЦ</t>
  </si>
  <si>
    <t>Данные за 2017 год</t>
  </si>
  <si>
    <t>Предложение организации 2015 год</t>
  </si>
  <si>
    <t>Предложение департамента 2015 год</t>
  </si>
  <si>
    <t>Предложение организации 2016 год</t>
  </si>
  <si>
    <t>Предложение департамента 2016 год</t>
  </si>
  <si>
    <t>Предложение организации 2017 год</t>
  </si>
  <si>
    <t>Предложение департамента 2017 год</t>
  </si>
  <si>
    <t>Ставка на мощность</t>
  </si>
  <si>
    <t>Предложение организации 2017</t>
  </si>
  <si>
    <t>Предложение организации 2015</t>
  </si>
  <si>
    <t>Предложение организации 2016</t>
  </si>
  <si>
    <t>сумма до 150 кВт</t>
  </si>
  <si>
    <t>сумма от 150 кВт</t>
  </si>
  <si>
    <t>Данные за 2017 год на 1 мероприятие</t>
  </si>
  <si>
    <t>3+4</t>
  </si>
  <si>
    <t>5+6</t>
  </si>
  <si>
    <t>7+8</t>
  </si>
  <si>
    <t>9+10</t>
  </si>
  <si>
    <t>11+12</t>
  </si>
  <si>
    <t>13+14</t>
  </si>
  <si>
    <t>формула</t>
  </si>
  <si>
    <t>если, выборка на 1 присоединение</t>
  </si>
  <si>
    <t>Данные за 2017 год из выборки</t>
  </si>
  <si>
    <t>Данные за 2015 год на 1 мероприятие</t>
  </si>
  <si>
    <t>Данные за 2015 год из выборки</t>
  </si>
  <si>
    <t>Данные за 2016 год из выборки</t>
  </si>
  <si>
    <t>Данные за 2016 год на 1 мероприятие</t>
  </si>
  <si>
    <t>"0" ставить нельзя, клетки должны быть пустыми!</t>
  </si>
  <si>
    <t>Данные участвующие в выборке, перенесенные ручной формулой из данные за 2015-2017 годы ДТ ПК соответственно</t>
  </si>
  <si>
    <t xml:space="preserve"> "0" суммировать нельзя, суммируются вручную только те ячейки, где есть значение!</t>
  </si>
  <si>
    <t>проверка</t>
  </si>
  <si>
    <t>среднее значение расходов на 1 мероприятие по выборке</t>
  </si>
  <si>
    <t>среднее значение расходов на 1 кВт по выборке</t>
  </si>
  <si>
    <t>Предложение департамента 2017</t>
  </si>
  <si>
    <t>Предложение департамента 2015</t>
  </si>
  <si>
    <t>Предложение департамента 2016</t>
  </si>
  <si>
    <t>2016 год</t>
  </si>
  <si>
    <t>2017 год</t>
  </si>
  <si>
    <t>ИТОГО ставка С1</t>
  </si>
  <si>
    <t>Ставка С1.1</t>
  </si>
  <si>
    <t>Ставка С1.2</t>
  </si>
  <si>
    <t>Ставка С1.1 мах</t>
  </si>
  <si>
    <t>Ставка С1.2 мах</t>
  </si>
  <si>
    <t>Итого ставка С1 мах</t>
  </si>
  <si>
    <t>сумма по всем сетевым</t>
  </si>
  <si>
    <t>АО "Находкинский МТП"</t>
  </si>
  <si>
    <t>АО "Восточный порт"</t>
  </si>
  <si>
    <t>АО "Электробытсервис"</t>
  </si>
  <si>
    <t>сумма по всем</t>
  </si>
  <si>
    <t>по всем</t>
  </si>
  <si>
    <t>заявленная мощность потребителя</t>
  </si>
  <si>
    <t>Расходы на строительство объекта, тыс. руб., в т.ч.:</t>
  </si>
  <si>
    <t>Пропускная способность, кВт/Максимальная мощность, кВт, в т.ч.:</t>
  </si>
  <si>
    <t>Машины и механизны, тыс.руб.</t>
  </si>
  <si>
    <t>Способ выполнения работ</t>
  </si>
  <si>
    <t>1.1</t>
  </si>
  <si>
    <t>Отчетный период</t>
  </si>
  <si>
    <t>Наименование организации</t>
  </si>
  <si>
    <t>ИНН</t>
  </si>
  <si>
    <t>КПП</t>
  </si>
  <si>
    <t>Адрес организации</t>
  </si>
  <si>
    <t>Юридический адрес:</t>
  </si>
  <si>
    <t>Почтовый адрес:</t>
  </si>
  <si>
    <t>Руководитель</t>
  </si>
  <si>
    <t>Фамилия, имя, отчество</t>
  </si>
  <si>
    <t>(код) номер телефона</t>
  </si>
  <si>
    <t>Должностное лицо, ответственное за составление формы</t>
  </si>
  <si>
    <t>Должность</t>
  </si>
  <si>
    <t>e-mail</t>
  </si>
  <si>
    <t>Мощность заявителя до 150 кВт</t>
  </si>
  <si>
    <t>Фактические расходы (тыс.руб)</t>
  </si>
  <si>
    <t>расходы на 1 присоединение (тыс. руб.)</t>
  </si>
  <si>
    <t>расходы на 1 кВт (тыс.руб.)</t>
  </si>
  <si>
    <t>Мощность заявителя от 150 кВт и выше</t>
  </si>
  <si>
    <t>Год, на который утверждаются тарифы (n)</t>
  </si>
  <si>
    <t>Уровень напряжения</t>
  </si>
  <si>
    <t>проектные и изыскательские работы, тыс.руб.</t>
  </si>
  <si>
    <t>сметная прибыльы, тыс.руб.</t>
  </si>
  <si>
    <t>накладные расходы, тыс.руб.</t>
  </si>
  <si>
    <t>хозспособ</t>
  </si>
  <si>
    <t>Материалы и оборудование, тыс.руб., в т.ч.:</t>
  </si>
  <si>
    <t>стоимость 1 опоры, траншеи (для разд. 1-2)/оборудования (для разд. 3-6), тыс.руб./шт</t>
  </si>
  <si>
    <t>стоимость 1 км кабеля (для разд. 1-2)/ трансформатора (для разд. 3-6), тыс.руб./км(шт)</t>
  </si>
  <si>
    <t>опоры, траншеи (для разд. 1-2)/оборудование (для разд. 3-6), тыс.руб.</t>
  </si>
  <si>
    <t>кабель-провод (для разделов 1-2)/трансформатор (для разделов 3-6), тыс.руб.</t>
  </si>
  <si>
    <t>номер страницы обосновывающих документов в рассчетных материалах</t>
  </si>
  <si>
    <t xml:space="preserve"> 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для территорий городских населенных пунктов</t>
  </si>
  <si>
    <t>единственный поставщик</t>
  </si>
  <si>
    <t>Наименование поставщика/подрядчика</t>
  </si>
  <si>
    <t>Способ закупки материалов/выбора подрядчика***</t>
  </si>
  <si>
    <t>1.2</t>
  </si>
  <si>
    <t>1</t>
  </si>
  <si>
    <t xml:space="preserve">Провод СИП-2 3*120+1*95  </t>
  </si>
  <si>
    <t>1.3.1.4.1</t>
  </si>
  <si>
    <t>Материал опоры (железобетонные (3), Тип провода (изолированный провод (1), Материал провода (алюминиевый (4), Сечение провода (диапазон до 50 квадратных мм включительно (1)</t>
  </si>
  <si>
    <t>2</t>
  </si>
  <si>
    <t>2.1</t>
  </si>
  <si>
    <t>3</t>
  </si>
  <si>
    <t>3.1</t>
  </si>
  <si>
    <t>4</t>
  </si>
  <si>
    <t>4.1</t>
  </si>
  <si>
    <t>Провод СИП-4 4*16</t>
  </si>
  <si>
    <t>5</t>
  </si>
  <si>
    <t>5.1</t>
  </si>
  <si>
    <t>Провод СИП-4 4*35</t>
  </si>
  <si>
    <t>Провод СИП-4 4*50</t>
  </si>
  <si>
    <t>Материал опоры (железобетонные (3), Тип провода (изолированный провод (1), Материал провода (алюминиевый (4), Сечение провода  (диапазон от 50 до 100 квадратных мм включительно (2)</t>
  </si>
  <si>
    <t>1.3.1.4.2</t>
  </si>
  <si>
    <t>Материал опоры (железобетонные (3), Тип провода (изолированный провод (1), Материал провода (алюминиевый (4), Сечение провода  (диапазон от 100 до 200 квадратных мм включительно (3)</t>
  </si>
  <si>
    <t>1.3.1.4.3</t>
  </si>
  <si>
    <t>Провод СИП-4 4*120</t>
  </si>
  <si>
    <t>2.1.2.2.2</t>
  </si>
  <si>
    <t>Способ прокладки кабельных линий (в траншеях (1), многожильные (2), Кабели с бумажной изоляцией (2), Сечение провода (диапазон от 50 до 100 квадратных мм включительно (2)</t>
  </si>
  <si>
    <t>Кабель ААБл 1 4х95</t>
  </si>
  <si>
    <t>2.1.2.2.3</t>
  </si>
  <si>
    <t>Кабель ААБл 1 4х150</t>
  </si>
  <si>
    <t xml:space="preserve">Кабель ААБл 6 3*150           </t>
  </si>
  <si>
    <t xml:space="preserve">Кабель ААБл 6 3х185   </t>
  </si>
  <si>
    <t>2.1.2.2.4</t>
  </si>
  <si>
    <t xml:space="preserve"> Способ прокладки кабельных линий (в траншеях (1), многожильные (2), Кабели с бумажной изоляцией (2), Сечение провода (диапазон от 200 до 500 квадратных мм включительно (4)</t>
  </si>
  <si>
    <t>Способ прокладки кабельных линий (в траншеях (1), многожильные (2), Кабели с бумажной изоляцией (2), Сечение провода (диапазон от 100 до 200 квадратных мм включительно (3)</t>
  </si>
  <si>
    <t>Кабель ААБл 1 4х240</t>
  </si>
  <si>
    <t xml:space="preserve"> Кабель ААБл 6 3*240    </t>
  </si>
  <si>
    <t xml:space="preserve">4.1.1.3 </t>
  </si>
  <si>
    <t>0,4</t>
  </si>
  <si>
    <t>Провод СИП-4 2*16</t>
  </si>
  <si>
    <t>2.6</t>
  </si>
  <si>
    <t>2.9</t>
  </si>
  <si>
    <t>2.10</t>
  </si>
  <si>
    <t xml:space="preserve">Провод СИП-4 4*70        </t>
  </si>
  <si>
    <t>Провод СИП-4 4*95</t>
  </si>
  <si>
    <t>Провод СИП-3 1*70</t>
  </si>
  <si>
    <t>Провод СИП-3 1*95</t>
  </si>
  <si>
    <t>Кабель ААБл 1 4х70</t>
  </si>
  <si>
    <t>Кабель ААБл 1 4х120</t>
  </si>
  <si>
    <t xml:space="preserve">Кабель ААБл 6 3*120           </t>
  </si>
  <si>
    <t xml:space="preserve">4.1.2.4 </t>
  </si>
  <si>
    <t>Трансформаторные подстанции (ТП), за исключением распределительных трансформаторных подстанций (РТП) (1), двухтрансформаторные и более (2), Трансформаторная мощность от 100 до 250 кВА включительно (3)</t>
  </si>
  <si>
    <t>Трансформаторные подстанции (ТП), за исключением распределительных трансформаторных подстанций (РТП) (1), однотрансформаторные (1), Трансформаторная мощность от 100 до 250 кВА включительно (3)</t>
  </si>
  <si>
    <t>Трансформаторные подстанции (ТП), за исключением распределительных трансформаторных подстанций (РТП) (1), двухтрансформаторные и более (2), Трансформаторная мощность от 250 до 500 кВА включительно (4)</t>
  </si>
  <si>
    <t>КТП 2*400</t>
  </si>
  <si>
    <t>КТПН 2*630</t>
  </si>
  <si>
    <t>КТП 2*630</t>
  </si>
  <si>
    <t>2БКТП 2*630</t>
  </si>
  <si>
    <t>Провод СИП-4 4*25</t>
  </si>
  <si>
    <t>117/н-НН/1</t>
  </si>
  <si>
    <t>СТП 1*100</t>
  </si>
  <si>
    <t>КТП 1*250</t>
  </si>
  <si>
    <t>СТП 1*250</t>
  </si>
  <si>
    <t xml:space="preserve">4.1.1.4 </t>
  </si>
  <si>
    <t>Трансформаторные подстанции (ТП), за исключением распределительных трансформаторных подстанций (РТП) (1), однотрансформаторные (1), Трансформаторная мощность от 250 до 500 кВА включительно (3)</t>
  </si>
  <si>
    <t>КТП 1*630</t>
  </si>
  <si>
    <t>4.1.2.3</t>
  </si>
  <si>
    <t>4.1.2.6</t>
  </si>
  <si>
    <t>Трансформаторные подстанции (ТП), за исключением распределительных трансформаторных подстанций (РТП) (1), двухтрансформаторные и более (2), Трансформаторная мощность свыше 1000 кВА (6)</t>
  </si>
  <si>
    <t>БКТП 2*1000</t>
  </si>
  <si>
    <t>4.1.1.2</t>
  </si>
  <si>
    <t>Трансформаторные подстанции (ТП), за исключением распределительных трансформаторных подстанций (РТП) (1), однотрансформаторные (1), Трансформаторная мощность от 25 до 100 кВА включительно (2)</t>
  </si>
  <si>
    <t>2.6.2.2.3</t>
  </si>
  <si>
    <t xml:space="preserve"> Способ прокладки кабельных линий (горизонтальное наклонное бурение (6), многожильные (2), Кабели с бумажной изоляцией (2), Сечение провода (диапазон от 100 до 200 квадратных мм включительно (4)</t>
  </si>
  <si>
    <t>Кабель ААБл 6 3х150</t>
  </si>
  <si>
    <t xml:space="preserve">Кабель ААБл 6 3*240    </t>
  </si>
  <si>
    <t>ГНБ</t>
  </si>
  <si>
    <t>ООО СПК "ГлавМонтажОбъединение"</t>
  </si>
  <si>
    <t xml:space="preserve">ООО СПК "ГлавМонтажОбъединение" </t>
  </si>
  <si>
    <t>ООО "Водострой"</t>
  </si>
  <si>
    <t>ИП Ян Сунтао</t>
  </si>
  <si>
    <t>462-17</t>
  </si>
  <si>
    <t>Свойкин В. Ю.</t>
  </si>
  <si>
    <t>Синякова С.В.</t>
  </si>
  <si>
    <t>381-17</t>
  </si>
  <si>
    <t>Петренко Е.В.</t>
  </si>
  <si>
    <t>92-17</t>
  </si>
  <si>
    <t>Кучинский Л.А.         Гречка Л.В.</t>
  </si>
  <si>
    <t>229/54-МК/7</t>
  </si>
  <si>
    <t>ФГБУ "Приморское УГМС"</t>
  </si>
  <si>
    <t>734-17</t>
  </si>
  <si>
    <t>Логвин А.Н.</t>
  </si>
  <si>
    <t>49-17</t>
  </si>
  <si>
    <t>Власов А.Г.</t>
  </si>
  <si>
    <t>655-17</t>
  </si>
  <si>
    <t>Линева А.Д.</t>
  </si>
  <si>
    <t>224-18</t>
  </si>
  <si>
    <t>323-18</t>
  </si>
  <si>
    <t>711/424-МР/5</t>
  </si>
  <si>
    <t>Нестерова О.П.</t>
  </si>
  <si>
    <t>331-18</t>
  </si>
  <si>
    <t>Яковлева И.Е.</t>
  </si>
  <si>
    <t>745-17</t>
  </si>
  <si>
    <t>Сиденко Л.А.</t>
  </si>
  <si>
    <t>222-18</t>
  </si>
  <si>
    <t>49-18</t>
  </si>
  <si>
    <t>ООО "ИнвестСтрой ДВ"</t>
  </si>
  <si>
    <t>КТП ВС 1*250</t>
  </si>
  <si>
    <t>ИП Рычков Ю.М.</t>
  </si>
  <si>
    <t>395-18</t>
  </si>
  <si>
    <t>ООО "Газпром межрегионгаз"</t>
  </si>
  <si>
    <t>263-18</t>
  </si>
  <si>
    <t>Куклин И.Л.</t>
  </si>
  <si>
    <t>309-18</t>
  </si>
  <si>
    <t>Кошман О.В.</t>
  </si>
  <si>
    <t>284/781-ИЗ/2</t>
  </si>
  <si>
    <t>Мурадов И.М.о</t>
  </si>
  <si>
    <t>640-18</t>
  </si>
  <si>
    <t>408-18</t>
  </si>
  <si>
    <t>ООО "Прибой Плюс"</t>
  </si>
  <si>
    <t>Бабанина Л. В.</t>
  </si>
  <si>
    <t>486-17</t>
  </si>
  <si>
    <t xml:space="preserve">ООО"Спектром" </t>
  </si>
  <si>
    <t>853-18</t>
  </si>
  <si>
    <t>737-18</t>
  </si>
  <si>
    <t>ООО "Проект"</t>
  </si>
  <si>
    <t>Моргунов А.В.</t>
  </si>
  <si>
    <t>548-17</t>
  </si>
  <si>
    <t>ИП Митус М.М.</t>
  </si>
  <si>
    <t>431-18</t>
  </si>
  <si>
    <t>Пиволенко В.Н.</t>
  </si>
  <si>
    <t>360-18</t>
  </si>
  <si>
    <t>430-18</t>
  </si>
  <si>
    <t>ООО "Управление механизации №2"</t>
  </si>
  <si>
    <t>716-17</t>
  </si>
  <si>
    <t>Одарченко А.Н.</t>
  </si>
  <si>
    <t>860-17</t>
  </si>
  <si>
    <t>Кузанкин Е.С.</t>
  </si>
  <si>
    <t>555-17</t>
  </si>
  <si>
    <t>Джафаров А.Г.О.</t>
  </si>
  <si>
    <t>622-17</t>
  </si>
  <si>
    <t>Чернов Е.Н.</t>
  </si>
  <si>
    <t>347-17</t>
  </si>
  <si>
    <t>ИП Пенцев Д.С.</t>
  </si>
  <si>
    <t>168-18</t>
  </si>
  <si>
    <t>Стасюк Н.В.</t>
  </si>
  <si>
    <t>510-17</t>
  </si>
  <si>
    <t>Корнецкий А.В.</t>
  </si>
  <si>
    <t>428-17</t>
  </si>
  <si>
    <t>Иванова О.В.</t>
  </si>
  <si>
    <t>281-17</t>
  </si>
  <si>
    <t>ГСК "Пивовар"</t>
  </si>
  <si>
    <t>607-17</t>
  </si>
  <si>
    <t>Логунова А.Л.</t>
  </si>
  <si>
    <t>390-17</t>
  </si>
  <si>
    <t>Муравьева О.П.</t>
  </si>
  <si>
    <t>71-18</t>
  </si>
  <si>
    <t>Фалько Е.В.</t>
  </si>
  <si>
    <t>535-17</t>
  </si>
  <si>
    <t>Андронова Г.В.</t>
  </si>
  <si>
    <t>183-17</t>
  </si>
  <si>
    <t>Бенгер А.Э.</t>
  </si>
  <si>
    <t>765-17</t>
  </si>
  <si>
    <t>Кузнецов А.Е.</t>
  </si>
  <si>
    <t>715-17</t>
  </si>
  <si>
    <t>Литвинов А.Н.</t>
  </si>
  <si>
    <t>65-17</t>
  </si>
  <si>
    <t>КТП ВС 1*100</t>
  </si>
  <si>
    <t>Ворона А.Е.</t>
  </si>
  <si>
    <t>351-18</t>
  </si>
  <si>
    <t>Кожевникова Е.В.</t>
  </si>
  <si>
    <t>383-18</t>
  </si>
  <si>
    <t>Качура Е.И.</t>
  </si>
  <si>
    <t>436-18</t>
  </si>
  <si>
    <t>Новожилов А.А.</t>
  </si>
  <si>
    <t>34-18</t>
  </si>
  <si>
    <t>Куприянов В.В.</t>
  </si>
  <si>
    <t>861-17</t>
  </si>
  <si>
    <t>ИП Ерофеев О.В.</t>
  </si>
  <si>
    <t>335-18</t>
  </si>
  <si>
    <t>Плохотникова Е.В.</t>
  </si>
  <si>
    <t>877-17</t>
  </si>
  <si>
    <t>Недеря И.Д.</t>
  </si>
  <si>
    <t>422-18</t>
  </si>
  <si>
    <t>Кутеко В.Н.</t>
  </si>
  <si>
    <t>54-18</t>
  </si>
  <si>
    <t>Прагер И.Ю.</t>
  </si>
  <si>
    <t>35-18</t>
  </si>
  <si>
    <t>ИП Шин М.А.</t>
  </si>
  <si>
    <t>251/РП10-У2/9</t>
  </si>
  <si>
    <t xml:space="preserve">УМУПТС </t>
  </si>
  <si>
    <t>655-18</t>
  </si>
  <si>
    <t>ИП Буцкий С.Н.</t>
  </si>
  <si>
    <t>653-18</t>
  </si>
  <si>
    <t>Гуцал А.А.</t>
  </si>
  <si>
    <t>250-18</t>
  </si>
  <si>
    <t>497-17</t>
  </si>
  <si>
    <t>Иванова Е.В.</t>
  </si>
  <si>
    <t>302-18</t>
  </si>
  <si>
    <t>ИП Анахова А.А.</t>
  </si>
  <si>
    <t>738-18</t>
  </si>
  <si>
    <t>216-18</t>
  </si>
  <si>
    <t>ООО "Александр"</t>
  </si>
  <si>
    <t>215-18</t>
  </si>
  <si>
    <t>ГСК "Сатурн"</t>
  </si>
  <si>
    <t>443-18</t>
  </si>
  <si>
    <t>Кудинов А.А.</t>
  </si>
  <si>
    <t>313-18</t>
  </si>
  <si>
    <t>Паздникова  И.П.</t>
  </si>
  <si>
    <t>391-18</t>
  </si>
  <si>
    <t>Зиновьев В.Л.</t>
  </si>
  <si>
    <t>171-18</t>
  </si>
  <si>
    <t>4.1.2.5</t>
  </si>
  <si>
    <t>Трансформаторные подстанции (ТП), за исключением распределительных трансформаторных подстанций (РТП) (1), двухтрансформаторные и более (2), Трансформаторная мощность от 500 до 900 кВА включительно (4)</t>
  </si>
  <si>
    <t>ООО СК "ГлавМонтажОбъединение"</t>
  </si>
  <si>
    <t>494/426-МР/14</t>
  </si>
  <si>
    <t>№ ТУ</t>
  </si>
  <si>
    <t>10.609</t>
  </si>
  <si>
    <t xml:space="preserve">Мурадов И.М.о      </t>
  </si>
  <si>
    <t>251101001</t>
  </si>
  <si>
    <t>2511002019</t>
  </si>
  <si>
    <t>692519 г. Уссурийск, ул. Советская,15</t>
  </si>
  <si>
    <t>Можара Виктор Иванович</t>
  </si>
  <si>
    <t>Муниципальное унитарное предприятие "Уссурийск-Электросеть" Уссурийского городского округа</t>
  </si>
  <si>
    <t>Пуховая Оксана Алексеевна</t>
  </si>
  <si>
    <t>Итого по организационным мероприятиям</t>
  </si>
  <si>
    <t>Тел. (4234) 32-07-38, 32-08-30, Факс 32-97-11</t>
  </si>
  <si>
    <t>www.usselectro.net Е-mail: ussur_electro@mail.ru</t>
  </si>
  <si>
    <t>Тел. (4234) 32-07-38 Факс 32-97-11</t>
  </si>
  <si>
    <t xml:space="preserve"> 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для территорий, не относящихся к городским населенным пунктам</t>
  </si>
  <si>
    <t>370-18</t>
  </si>
  <si>
    <t>403-18</t>
  </si>
  <si>
    <t>21-18</t>
  </si>
  <si>
    <t>КТП 1*400</t>
  </si>
  <si>
    <t>КТПН 1*400</t>
  </si>
  <si>
    <t>143-18</t>
  </si>
  <si>
    <t>529-18</t>
  </si>
  <si>
    <t>498-18</t>
  </si>
  <si>
    <t>268-18</t>
  </si>
  <si>
    <t>191-17</t>
  </si>
  <si>
    <t>61-18</t>
  </si>
  <si>
    <t>134-19</t>
  </si>
  <si>
    <t>565-18</t>
  </si>
  <si>
    <t>899-18</t>
  </si>
  <si>
    <t>514-18</t>
  </si>
  <si>
    <t>756-17</t>
  </si>
  <si>
    <t>129-19</t>
  </si>
  <si>
    <t>18-19</t>
  </si>
  <si>
    <t>287-18</t>
  </si>
  <si>
    <t>576-18</t>
  </si>
  <si>
    <t>87-19</t>
  </si>
  <si>
    <t>839-18</t>
  </si>
  <si>
    <t>371-19</t>
  </si>
  <si>
    <t>856-18</t>
  </si>
  <si>
    <t>712-18</t>
  </si>
  <si>
    <t>307-19</t>
  </si>
  <si>
    <t>389-19</t>
  </si>
  <si>
    <t>557-18</t>
  </si>
  <si>
    <t>234-19</t>
  </si>
  <si>
    <t>772-18</t>
  </si>
  <si>
    <t>23-19</t>
  </si>
  <si>
    <t>362-18</t>
  </si>
  <si>
    <t>77-19</t>
  </si>
  <si>
    <t>392-18</t>
  </si>
  <si>
    <t>620-18</t>
  </si>
  <si>
    <t>151-17</t>
  </si>
  <si>
    <t>806-18</t>
  </si>
  <si>
    <t>133-19</t>
  </si>
  <si>
    <t>МТП 1*160,   КТПВС 1*160</t>
  </si>
  <si>
    <t>222/643-НН/1</t>
  </si>
  <si>
    <t>515-19</t>
  </si>
  <si>
    <t>441-19</t>
  </si>
  <si>
    <t>522-18</t>
  </si>
  <si>
    <t>757-18</t>
  </si>
  <si>
    <t>501-19</t>
  </si>
  <si>
    <t>283-18</t>
  </si>
  <si>
    <t>280-19</t>
  </si>
  <si>
    <t>05-19</t>
  </si>
  <si>
    <t>395-19</t>
  </si>
  <si>
    <t>597-19</t>
  </si>
  <si>
    <t>306-19</t>
  </si>
  <si>
    <t>532-19</t>
  </si>
  <si>
    <t>313-19</t>
  </si>
  <si>
    <t>904-18</t>
  </si>
  <si>
    <t>766-18</t>
  </si>
  <si>
    <t>363-18</t>
  </si>
  <si>
    <t>758-19</t>
  </si>
  <si>
    <t>890-18</t>
  </si>
  <si>
    <t>749-18</t>
  </si>
  <si>
    <t>86-19</t>
  </si>
  <si>
    <t>14.79002</t>
  </si>
  <si>
    <t>677-19</t>
  </si>
  <si>
    <t>КТПН 2*250,    КТП 2*250</t>
  </si>
  <si>
    <t>285-18</t>
  </si>
  <si>
    <t>748-17</t>
  </si>
  <si>
    <t>97-19</t>
  </si>
  <si>
    <t>318-19</t>
  </si>
  <si>
    <t>45-19</t>
  </si>
  <si>
    <t>256-19</t>
  </si>
  <si>
    <t>337-19</t>
  </si>
  <si>
    <t>477-19</t>
  </si>
  <si>
    <t>490-19</t>
  </si>
  <si>
    <t>412-19</t>
  </si>
  <si>
    <t>232-19</t>
  </si>
  <si>
    <t>527-19</t>
  </si>
  <si>
    <t>78-19</t>
  </si>
  <si>
    <t>610-19</t>
  </si>
  <si>
    <t>752-19</t>
  </si>
  <si>
    <t>1026-19</t>
  </si>
  <si>
    <t>378-19</t>
  </si>
  <si>
    <t>820-19</t>
  </si>
  <si>
    <t>463-19</t>
  </si>
  <si>
    <t>420-19</t>
  </si>
  <si>
    <t>370-19</t>
  </si>
  <si>
    <t>676-18</t>
  </si>
  <si>
    <t>171-19</t>
  </si>
  <si>
    <t>571-19</t>
  </si>
  <si>
    <t>382-19</t>
  </si>
  <si>
    <t>ИП Карпенко А.Ю.</t>
  </si>
  <si>
    <t xml:space="preserve">Соколов А.В. </t>
  </si>
  <si>
    <t>Колоколов А. В.</t>
  </si>
  <si>
    <t>ООО "Вечная память"</t>
  </si>
  <si>
    <t>Латыпова С.В.</t>
  </si>
  <si>
    <t>Наумова Т.Г.</t>
  </si>
  <si>
    <t>Васюченко Н.А.</t>
  </si>
  <si>
    <t>Тен В.А.</t>
  </si>
  <si>
    <t>ИП Кинжибаева М.Л.</t>
  </si>
  <si>
    <t>ИП Гусейнов Н.Г.о.</t>
  </si>
  <si>
    <t>Валетенко Д.В.</t>
  </si>
  <si>
    <t>Пилипчук В.И.</t>
  </si>
  <si>
    <t>Непомнящая Н.К.</t>
  </si>
  <si>
    <t>ООО "Инновационный центр "Формула"</t>
  </si>
  <si>
    <t>Пустовойт П.С.</t>
  </si>
  <si>
    <t>Рябицев А.Ф.</t>
  </si>
  <si>
    <t>ИП Олешкевич Г.Б.</t>
  </si>
  <si>
    <t>МАУК "Городские парки" УГО</t>
  </si>
  <si>
    <t>Султонов С.Х.</t>
  </si>
  <si>
    <t>Михайленко  С.К.</t>
  </si>
  <si>
    <t>Мартынюк А.П.</t>
  </si>
  <si>
    <t>Минаев М.А.</t>
  </si>
  <si>
    <t>Быков А.В.</t>
  </si>
  <si>
    <t>Орехов Ф.С.</t>
  </si>
  <si>
    <t>ИП Гусейнов М.С.о.</t>
  </si>
  <si>
    <t>Петрова Ю.Г.</t>
  </si>
  <si>
    <t>ГСК "Юг"</t>
  </si>
  <si>
    <t>ИП Арутюнян Р.Э.</t>
  </si>
  <si>
    <t>Лазутин А.С.</t>
  </si>
  <si>
    <t>Елизарова О.Т.</t>
  </si>
  <si>
    <t>Лазарев Н.В.</t>
  </si>
  <si>
    <t>Зуева Г.В.</t>
  </si>
  <si>
    <t>Хоботенко А.В.</t>
  </si>
  <si>
    <t>Санжаровская О.Н.</t>
  </si>
  <si>
    <t>Солодовникова О.В.</t>
  </si>
  <si>
    <t>Степанов Б.И.</t>
  </si>
  <si>
    <t>ПАО "МТС"</t>
  </si>
  <si>
    <t>Мансуров М.М.</t>
  </si>
  <si>
    <t>Бортюк А.И.</t>
  </si>
  <si>
    <t>Большакова Н.Д.</t>
  </si>
  <si>
    <t>Дадабаев Л.А.</t>
  </si>
  <si>
    <t>Ворожейкина О.В.</t>
  </si>
  <si>
    <t>Савченко Е.А.</t>
  </si>
  <si>
    <t>Сиверина Е.Е.</t>
  </si>
  <si>
    <t>Тепляков Д.А.</t>
  </si>
  <si>
    <t>МКУ "Архив" УГО</t>
  </si>
  <si>
    <t>Вюрфель Р.Е.</t>
  </si>
  <si>
    <t>Панюшкин Е.А.</t>
  </si>
  <si>
    <t>ИП Ханоян М.С.</t>
  </si>
  <si>
    <t>Лежнева Г.М.</t>
  </si>
  <si>
    <t>Столбовой О.И.</t>
  </si>
  <si>
    <t>Чебаков С.А.</t>
  </si>
  <si>
    <t>ГСК "Мостовик"</t>
  </si>
  <si>
    <t>Гордейчук С.В.</t>
  </si>
  <si>
    <t xml:space="preserve">ООО "Лидер-Строй" </t>
  </si>
  <si>
    <t>Остонаев Ш.Х.</t>
  </si>
  <si>
    <t>Ким А.О.</t>
  </si>
  <si>
    <t>Мамедов С.А.о.</t>
  </si>
  <si>
    <t>Мирошникова Н.С.</t>
  </si>
  <si>
    <t>Воробьев А.Г.</t>
  </si>
  <si>
    <t>ИП Гасанов Э.М.о.</t>
  </si>
  <si>
    <t>Пивоваров А.В.</t>
  </si>
  <si>
    <t>Безручко О.В.</t>
  </si>
  <si>
    <t>ООО "Перспектива-М"</t>
  </si>
  <si>
    <t>Кеба Е.А.</t>
  </si>
  <si>
    <t>ООО "Мега-Лоджистик"</t>
  </si>
  <si>
    <t>ИП Миненко Г.Н.</t>
  </si>
  <si>
    <t>Мажуга Е.Н.</t>
  </si>
  <si>
    <t>ИП Гаранин Д.С.</t>
  </si>
  <si>
    <t>ООО "УСМУ"</t>
  </si>
  <si>
    <t>Игнатенко Т.Н.</t>
  </si>
  <si>
    <t>ООО"Мир творчества и красоты"</t>
  </si>
  <si>
    <t>ООО СПК "ГМО"</t>
  </si>
  <si>
    <t xml:space="preserve"> ИП Шевцов А.А.</t>
  </si>
  <si>
    <t>Рублюк М.Е.</t>
  </si>
  <si>
    <t>ИП Чупин А.М.</t>
  </si>
  <si>
    <t>УМУПТС</t>
  </si>
  <si>
    <t>896-18</t>
  </si>
  <si>
    <t>Зарифьянова И.Д.</t>
  </si>
  <si>
    <t>Обеспечение средствами коммерческого учета электрической энергии (мощности)</t>
  </si>
  <si>
    <t>7.1.</t>
  </si>
  <si>
    <t>7.2.1.</t>
  </si>
  <si>
    <t>7.2.2.</t>
  </si>
  <si>
    <t>7.2.3.</t>
  </si>
  <si>
    <t>Верт А.В.</t>
  </si>
  <si>
    <t>642-18</t>
  </si>
  <si>
    <t>70-19</t>
  </si>
  <si>
    <t>ИП Манукян М.М.</t>
  </si>
  <si>
    <t>94-19</t>
  </si>
  <si>
    <t>Кабель ААБл 6 3х120</t>
  </si>
  <si>
    <t xml:space="preserve">ОАО"ДальТоргСервис" </t>
  </si>
  <si>
    <t>303/176-ГР/1</t>
  </si>
  <si>
    <t>384-19</t>
  </si>
  <si>
    <t>МУП "Уссурийск-Водоканал"</t>
  </si>
  <si>
    <t>ИП Ким О.</t>
  </si>
  <si>
    <t>Начальник</t>
  </si>
  <si>
    <t>221-18</t>
  </si>
  <si>
    <t>ИП Петренко Е.В.</t>
  </si>
  <si>
    <t>КТПН 1*250  (КТПВС 1*250)</t>
  </si>
  <si>
    <t>Заявитель</t>
  </si>
  <si>
    <t>однофазный (1)  (0,4 кВ и ниже без ТТ)</t>
  </si>
  <si>
    <t>трехфазный (2), прямого включения (1)  (0,4 кВ и ниже без ТТ)</t>
  </si>
  <si>
    <t>трехфазный (2), полукосвенного включения  (2)  (0,4 кВ и ниже с ТТ)</t>
  </si>
  <si>
    <t>трехфазный (2), косвенного включения   (3)  (1 - 20 кВ)</t>
  </si>
  <si>
    <t>ООО "Новые Буровые Технологии"</t>
  </si>
  <si>
    <t>334/1</t>
  </si>
  <si>
    <t>6</t>
  </si>
  <si>
    <t>7</t>
  </si>
  <si>
    <t>8</t>
  </si>
  <si>
    <t>9</t>
  </si>
  <si>
    <t>10</t>
  </si>
  <si>
    <t>11</t>
  </si>
  <si>
    <t>12</t>
  </si>
  <si>
    <t>13</t>
  </si>
  <si>
    <t>14</t>
  </si>
  <si>
    <t>15</t>
  </si>
  <si>
    <t>16</t>
  </si>
  <si>
    <t>523-19</t>
  </si>
  <si>
    <t>486-19</t>
  </si>
  <si>
    <t>540-19</t>
  </si>
  <si>
    <t>908-18</t>
  </si>
  <si>
    <t>22-20</t>
  </si>
  <si>
    <t>492-19</t>
  </si>
  <si>
    <t>751-19</t>
  </si>
  <si>
    <t>29-20</t>
  </si>
  <si>
    <t>596-19</t>
  </si>
  <si>
    <t>132-19</t>
  </si>
  <si>
    <t>570-19</t>
  </si>
  <si>
    <t>698-19</t>
  </si>
  <si>
    <t>599-19</t>
  </si>
  <si>
    <t>701-19</t>
  </si>
  <si>
    <t>681-19</t>
  </si>
  <si>
    <t>970-19</t>
  </si>
  <si>
    <t>204-20</t>
  </si>
  <si>
    <t>864-19</t>
  </si>
  <si>
    <t>203-20</t>
  </si>
  <si>
    <t>957-19</t>
  </si>
  <si>
    <t>781-19</t>
  </si>
  <si>
    <t>126-20</t>
  </si>
  <si>
    <t>689-19</t>
  </si>
  <si>
    <t>221-20</t>
  </si>
  <si>
    <t>193-20</t>
  </si>
  <si>
    <t>128-19</t>
  </si>
  <si>
    <t>644-19</t>
  </si>
  <si>
    <t>366-19</t>
  </si>
  <si>
    <t>958-19</t>
  </si>
  <si>
    <t>40-20</t>
  </si>
  <si>
    <t>321-20</t>
  </si>
  <si>
    <t>661-18</t>
  </si>
  <si>
    <t>663-18</t>
  </si>
  <si>
    <t>730-18</t>
  </si>
  <si>
    <t>920-19</t>
  </si>
  <si>
    <t>48-18</t>
  </si>
  <si>
    <t>662-18</t>
  </si>
  <si>
    <t>921-19</t>
  </si>
  <si>
    <t>700-19</t>
  </si>
  <si>
    <t>738-19</t>
  </si>
  <si>
    <t>203-19</t>
  </si>
  <si>
    <t>430-20</t>
  </si>
  <si>
    <t>606-17</t>
  </si>
  <si>
    <t>399-20</t>
  </si>
  <si>
    <t>451-19</t>
  </si>
  <si>
    <t>956-19</t>
  </si>
  <si>
    <t>583-19</t>
  </si>
  <si>
    <t>91-20</t>
  </si>
  <si>
    <t>660-19</t>
  </si>
  <si>
    <t>303-20</t>
  </si>
  <si>
    <t>240-20</t>
  </si>
  <si>
    <t>990-19</t>
  </si>
  <si>
    <t>923-19</t>
  </si>
  <si>
    <t>379-20</t>
  </si>
  <si>
    <t>322-20</t>
  </si>
  <si>
    <t>162-20</t>
  </si>
  <si>
    <t>124-20</t>
  </si>
  <si>
    <t>200-20</t>
  </si>
  <si>
    <t>340-20</t>
  </si>
  <si>
    <t>769-19</t>
  </si>
  <si>
    <t>865-19</t>
  </si>
  <si>
    <t>128-20</t>
  </si>
  <si>
    <t>771-19</t>
  </si>
  <si>
    <t>149-20</t>
  </si>
  <si>
    <t>246-2019-ТП</t>
  </si>
  <si>
    <t>657-20</t>
  </si>
  <si>
    <t>КТП 1*25</t>
  </si>
  <si>
    <t>931-19</t>
  </si>
  <si>
    <t>450-20</t>
  </si>
  <si>
    <t>377-20</t>
  </si>
  <si>
    <t>649-20</t>
  </si>
  <si>
    <t>264-20</t>
  </si>
  <si>
    <t>231-20</t>
  </si>
  <si>
    <t>463-20</t>
  </si>
  <si>
    <t>129-20</t>
  </si>
  <si>
    <t>315-20</t>
  </si>
  <si>
    <t>213-20</t>
  </si>
  <si>
    <t>735-17</t>
  </si>
  <si>
    <t>600-19</t>
  </si>
  <si>
    <t>422-20</t>
  </si>
  <si>
    <t xml:space="preserve"> 450-20</t>
  </si>
  <si>
    <t xml:space="preserve"> 649-20</t>
  </si>
  <si>
    <t>156-19</t>
  </si>
  <si>
    <t>195-20</t>
  </si>
  <si>
    <t>1068-19</t>
  </si>
  <si>
    <t>551-20</t>
  </si>
  <si>
    <t>503-20</t>
  </si>
  <si>
    <t>660-20</t>
  </si>
  <si>
    <t>Кабель ААБл 1 4х185</t>
  </si>
  <si>
    <t>929-19</t>
  </si>
  <si>
    <t>997-20</t>
  </si>
  <si>
    <t>361-20</t>
  </si>
  <si>
    <t>858-18</t>
  </si>
  <si>
    <t>347-20</t>
  </si>
  <si>
    <t>847-20</t>
  </si>
  <si>
    <t>582-20</t>
  </si>
  <si>
    <t xml:space="preserve"> 570-19</t>
  </si>
  <si>
    <t>91-17</t>
  </si>
  <si>
    <t>297-20</t>
  </si>
  <si>
    <t>491-20</t>
  </si>
  <si>
    <t>535-20</t>
  </si>
  <si>
    <t>8.1.1.</t>
  </si>
  <si>
    <t>8.2.1.</t>
  </si>
  <si>
    <t>8.2.2.</t>
  </si>
  <si>
    <t>8.2.3.</t>
  </si>
  <si>
    <t>кабель-провод (для разделов 1-2)/трансформатор (для разделов 3-6), средство коммер. учета эл.энергии, тыс.руб.</t>
  </si>
  <si>
    <t>стоимость 1 км кабеля (для разд. 1-2)/ трансформатора (для разд. 3-6), средство коммер. учета эл.энергии, тыс.руб./км(шт)</t>
  </si>
  <si>
    <t>Евсикова М.С.</t>
  </si>
  <si>
    <t>Министерство транспорта и дорожного хозяйства Приморского края</t>
  </si>
  <si>
    <t>Бекк Л.П.</t>
  </si>
  <si>
    <t>Монастырный А.Б.</t>
  </si>
  <si>
    <t>Соколова И.А.</t>
  </si>
  <si>
    <t>ГСК "Звездочка -5"</t>
  </si>
  <si>
    <t>Волков Д.В.</t>
  </si>
  <si>
    <t>Солдатова О.А.</t>
  </si>
  <si>
    <t>Кожихова Р.В.</t>
  </si>
  <si>
    <t>Соловьева А.А.</t>
  </si>
  <si>
    <t>Пермяков А.Н.</t>
  </si>
  <si>
    <t>ФКУ ДСД "Дальний Восток"</t>
  </si>
  <si>
    <t>Власова Н.В.</t>
  </si>
  <si>
    <t>ООО"Альфа"</t>
  </si>
  <si>
    <t>Моськина О.О.</t>
  </si>
  <si>
    <t>Быструшкин В.В.</t>
  </si>
  <si>
    <t>Ленцова М.В.</t>
  </si>
  <si>
    <t>Бойко С.М.</t>
  </si>
  <si>
    <t>Чирсков В.В.</t>
  </si>
  <si>
    <t>Иващенко Т.Н.</t>
  </si>
  <si>
    <t>Шелег А,Б,</t>
  </si>
  <si>
    <t>Троянская В.А.</t>
  </si>
  <si>
    <t>Красуцкий Д.В.</t>
  </si>
  <si>
    <t>Нагорная Е.В.</t>
  </si>
  <si>
    <t>Кравцов Д.Г.</t>
  </si>
  <si>
    <t>Федотов В.А.</t>
  </si>
  <si>
    <t>Цыганкова Л.Д.</t>
  </si>
  <si>
    <t>Буянов О.В.</t>
  </si>
  <si>
    <t>Смирнов Г.Л.</t>
  </si>
  <si>
    <t>Ивашкова Л.Т.</t>
  </si>
  <si>
    <t>ООО "Грация"</t>
  </si>
  <si>
    <t>Мамонов С.В.</t>
  </si>
  <si>
    <t>Хлебный М.А.</t>
  </si>
  <si>
    <t>Удалова И.В.</t>
  </si>
  <si>
    <t>Марченко П.И.</t>
  </si>
  <si>
    <t>Морожников М.А.</t>
  </si>
  <si>
    <t>Ким П.Е.</t>
  </si>
  <si>
    <t>Костюченко Е.А.</t>
  </si>
  <si>
    <t>Кузнецова Л.И.</t>
  </si>
  <si>
    <t>Нечаева И.О.</t>
  </si>
  <si>
    <t>Строгая Н.А.</t>
  </si>
  <si>
    <t>Байдюк Э.Н.</t>
  </si>
  <si>
    <t>ЗАО "Дазэл"</t>
  </si>
  <si>
    <t>Колобова Е.И.</t>
  </si>
  <si>
    <t>Разномасцев И.И.</t>
  </si>
  <si>
    <t>Оноприйчук Н.М.</t>
  </si>
  <si>
    <t>ИП Викол А.И.</t>
  </si>
  <si>
    <t>Зимин А.В.</t>
  </si>
  <si>
    <t>Щербатюк Н.С.</t>
  </si>
  <si>
    <t>Лутченко Ю.В.</t>
  </si>
  <si>
    <t>Бычков М.В.</t>
  </si>
  <si>
    <t>Поляков И.Ю.</t>
  </si>
  <si>
    <t>Ен Т.О.</t>
  </si>
  <si>
    <t>Федоренко Е.А.</t>
  </si>
  <si>
    <t>ОАО "Приморский Зооветснаб"</t>
  </si>
  <si>
    <t>Сафронов Ю.А.</t>
  </si>
  <si>
    <t>Правик И.Ю.</t>
  </si>
  <si>
    <t>ООО "АвтоТранс-ДВ"</t>
  </si>
  <si>
    <t>Митрошина Л.П.</t>
  </si>
  <si>
    <t>ООО "Думас"</t>
  </si>
  <si>
    <t>ИП Галаев А.А.</t>
  </si>
  <si>
    <t>ООО "МонтажОкнаПлюс"</t>
  </si>
  <si>
    <t>Попов П.Ю.</t>
  </si>
  <si>
    <t>Малаховский Д.С.</t>
  </si>
  <si>
    <t>ИП Пуртиев М.М.о.</t>
  </si>
  <si>
    <t>Дубко В.А.</t>
  </si>
  <si>
    <t>ИП Шатилова Е.В.</t>
  </si>
  <si>
    <t>ООО "Комплекс-сервис"</t>
  </si>
  <si>
    <t>Меркулов И.В.</t>
  </si>
  <si>
    <t>ИП Джафаров Н.В.О.</t>
  </si>
  <si>
    <t>Колмакова В.Н.</t>
  </si>
  <si>
    <t>ИП Бойко Е.И.</t>
  </si>
  <si>
    <t>Филиал "Приморский" АО "Оборонэнерго"</t>
  </si>
  <si>
    <t>ООО "ТРБТ"</t>
  </si>
  <si>
    <t>ООО "ДВ-ТоргСервис"</t>
  </si>
  <si>
    <t>Дуничев С.А.</t>
  </si>
  <si>
    <t>"ФГБОУ ВО Приморская ГСХА"</t>
  </si>
  <si>
    <t>КГА ПОУ "УКТУ"</t>
  </si>
  <si>
    <t>ООО "Илиада"</t>
  </si>
  <si>
    <t>ООО ПСК "Ригель"</t>
  </si>
  <si>
    <t>ООО "Уссурийская производственная компания"</t>
  </si>
  <si>
    <t>Белебезьев В.В.</t>
  </si>
  <si>
    <t xml:space="preserve">КГБУ "Дирекция по охране объектов животного мира и ООПТ" </t>
  </si>
  <si>
    <t>Забара Е.А.</t>
  </si>
  <si>
    <t>Шилина С.М.</t>
  </si>
  <si>
    <t>Чайковский Е.Г.</t>
  </si>
  <si>
    <t>Щеголев А.И.</t>
  </si>
  <si>
    <t>522-20</t>
  </si>
  <si>
    <t>553-20</t>
  </si>
  <si>
    <t>564-20</t>
  </si>
  <si>
    <t>562-20</t>
  </si>
  <si>
    <t>539-20</t>
  </si>
  <si>
    <t>523-20</t>
  </si>
  <si>
    <t>521-20</t>
  </si>
  <si>
    <t>520-20</t>
  </si>
  <si>
    <t>537-20</t>
  </si>
  <si>
    <t>517-20</t>
  </si>
  <si>
    <t>516-20</t>
  </si>
  <si>
    <t>518-20</t>
  </si>
  <si>
    <t>651-20</t>
  </si>
  <si>
    <t>644-20</t>
  </si>
  <si>
    <t>666-20</t>
  </si>
  <si>
    <t>670-20</t>
  </si>
  <si>
    <t>899-20</t>
  </si>
  <si>
    <t>900-20</t>
  </si>
  <si>
    <t>724-20</t>
  </si>
  <si>
    <t>722-20</t>
  </si>
  <si>
    <t>795-20</t>
  </si>
  <si>
    <t>700-20</t>
  </si>
  <si>
    <t>638-20</t>
  </si>
  <si>
    <t>797-20</t>
  </si>
  <si>
    <t>704-20</t>
  </si>
  <si>
    <t>986-20</t>
  </si>
  <si>
    <t>676-20</t>
  </si>
  <si>
    <t>909-20</t>
  </si>
  <si>
    <t>720-20</t>
  </si>
  <si>
    <t>688-20</t>
  </si>
  <si>
    <t>1122-20</t>
  </si>
  <si>
    <t>1116-20</t>
  </si>
  <si>
    <t>842-20</t>
  </si>
  <si>
    <t>1026-20</t>
  </si>
  <si>
    <t>962-20</t>
  </si>
  <si>
    <t>1109-20</t>
  </si>
  <si>
    <t>1018-20</t>
  </si>
  <si>
    <t>1121-20</t>
  </si>
  <si>
    <t>400-20</t>
  </si>
  <si>
    <t>424-20</t>
  </si>
  <si>
    <t>443-20</t>
  </si>
  <si>
    <t>455-20</t>
  </si>
  <si>
    <t>456-20</t>
  </si>
  <si>
    <t>457-20</t>
  </si>
  <si>
    <t>468-20</t>
  </si>
  <si>
    <t>469-20</t>
  </si>
  <si>
    <t>471-20</t>
  </si>
  <si>
    <t>475-20</t>
  </si>
  <si>
    <t>486-20</t>
  </si>
  <si>
    <t>510-20</t>
  </si>
  <si>
    <t>514-20</t>
  </si>
  <si>
    <t>524-20</t>
  </si>
  <si>
    <t>530-20</t>
  </si>
  <si>
    <t>536-20</t>
  </si>
  <si>
    <t>544-20</t>
  </si>
  <si>
    <t>558-20</t>
  </si>
  <si>
    <t>580-20</t>
  </si>
  <si>
    <t>636-20</t>
  </si>
  <si>
    <t>652-20</t>
  </si>
  <si>
    <t>656-20</t>
  </si>
  <si>
    <t>682-20</t>
  </si>
  <si>
    <t>741-20</t>
  </si>
  <si>
    <t>743-20</t>
  </si>
  <si>
    <t>744-20</t>
  </si>
  <si>
    <t>745-20</t>
  </si>
  <si>
    <t>746-20</t>
  </si>
  <si>
    <t>747-20</t>
  </si>
  <si>
    <t>748-20</t>
  </si>
  <si>
    <t>749-20</t>
  </si>
  <si>
    <t>756-20</t>
  </si>
  <si>
    <t>767-20</t>
  </si>
  <si>
    <t>888-20</t>
  </si>
  <si>
    <t>918-20</t>
  </si>
  <si>
    <t>428-20</t>
  </si>
  <si>
    <t>433-20</t>
  </si>
  <si>
    <t>459-20</t>
  </si>
  <si>
    <t>467-20</t>
  </si>
  <si>
    <t>477-20</t>
  </si>
  <si>
    <t>478-20</t>
  </si>
  <si>
    <t>481-20</t>
  </si>
  <si>
    <t>483-20</t>
  </si>
  <si>
    <t>487-20</t>
  </si>
  <si>
    <t>490-20</t>
  </si>
  <si>
    <t>496-20</t>
  </si>
  <si>
    <t>497-20</t>
  </si>
  <si>
    <t>501-20</t>
  </si>
  <si>
    <t>504-20</t>
  </si>
  <si>
    <t>505-20</t>
  </si>
  <si>
    <t>509-20</t>
  </si>
  <si>
    <t>511-20</t>
  </si>
  <si>
    <t>533-20</t>
  </si>
  <si>
    <t>538-20</t>
  </si>
  <si>
    <t>540-20</t>
  </si>
  <si>
    <t>541-20</t>
  </si>
  <si>
    <t>555-20</t>
  </si>
  <si>
    <t>561-20</t>
  </si>
  <si>
    <t>565-20</t>
  </si>
  <si>
    <t>569-20</t>
  </si>
  <si>
    <t>571-20</t>
  </si>
  <si>
    <t>573-20</t>
  </si>
  <si>
    <t>574-20</t>
  </si>
  <si>
    <t>577-20</t>
  </si>
  <si>
    <t>584-20</t>
  </si>
  <si>
    <t>586-20</t>
  </si>
  <si>
    <t>587-20</t>
  </si>
  <si>
    <t>594-20</t>
  </si>
  <si>
    <t>600-20</t>
  </si>
  <si>
    <t>621-20</t>
  </si>
  <si>
    <t>624-20</t>
  </si>
  <si>
    <t>629-20</t>
  </si>
  <si>
    <t>630-20</t>
  </si>
  <si>
    <t>632-20</t>
  </si>
  <si>
    <t>637-20</t>
  </si>
  <si>
    <t>679-20</t>
  </si>
  <si>
    <t>774-20</t>
  </si>
  <si>
    <t>799-20</t>
  </si>
  <si>
    <t>818-20</t>
  </si>
  <si>
    <t>850-20</t>
  </si>
  <si>
    <t>865-20</t>
  </si>
  <si>
    <t>878-20</t>
  </si>
  <si>
    <t>988-20</t>
  </si>
  <si>
    <t>1006-20</t>
  </si>
  <si>
    <t>10,468,</t>
  </si>
  <si>
    <t>1030-20</t>
  </si>
  <si>
    <t>1117-20</t>
  </si>
  <si>
    <t>Шауркина Н.И.</t>
  </si>
  <si>
    <t>Корнев А.Г.</t>
  </si>
  <si>
    <t>Бойко Е.М.</t>
  </si>
  <si>
    <t>Осадшая Е.А.</t>
  </si>
  <si>
    <t>Солоха П.И.</t>
  </si>
  <si>
    <t>Дейкун В.Н.</t>
  </si>
  <si>
    <t>Рожнова Е.Э.</t>
  </si>
  <si>
    <t>Белоконь Е.В.</t>
  </si>
  <si>
    <t>Шкуро О.Н.</t>
  </si>
  <si>
    <t>Хохлов О.В.</t>
  </si>
  <si>
    <t>Афанасьев А.В.</t>
  </si>
  <si>
    <t>Дмитриенко М.Ю.</t>
  </si>
  <si>
    <t>Мазур С.С.</t>
  </si>
  <si>
    <t>Шмакова И.О.</t>
  </si>
  <si>
    <t>Тлеуова Г.А.</t>
  </si>
  <si>
    <t>Софронов С.А.</t>
  </si>
  <si>
    <t>Софронова А.В.</t>
  </si>
  <si>
    <t>Глущенко В.П.</t>
  </si>
  <si>
    <t>Иващенко А.Г.</t>
  </si>
  <si>
    <t>Барышев А.И.</t>
  </si>
  <si>
    <t>Садовников И.А.</t>
  </si>
  <si>
    <t>Воронова Л.Н.</t>
  </si>
  <si>
    <t>Медведев Д.А.</t>
  </si>
  <si>
    <t>Бритвина Т.А.</t>
  </si>
  <si>
    <t>Тупикина Л.П.</t>
  </si>
  <si>
    <t>Трукова Т.В.</t>
  </si>
  <si>
    <t>Попов В.В.</t>
  </si>
  <si>
    <t>Зеленская И.В.</t>
  </si>
  <si>
    <t>Корнобедов К.В.</t>
  </si>
  <si>
    <t>ООО "Технологии Интеллектуальных Транспортных Систем"</t>
  </si>
  <si>
    <t>Волошина Н.Н.</t>
  </si>
  <si>
    <t>Юдко Л.В.</t>
  </si>
  <si>
    <t>Михайлов В.О.</t>
  </si>
  <si>
    <t>Гунько Л.Г.</t>
  </si>
  <si>
    <t>Свинарь О.С.</t>
  </si>
  <si>
    <t>Саженова Л.В.</t>
  </si>
  <si>
    <t>Рондоманская В.П.</t>
  </si>
  <si>
    <t>Солдатенко А.В.</t>
  </si>
  <si>
    <t>Солодовников Н.М.</t>
  </si>
  <si>
    <t>Железовский В.В.</t>
  </si>
  <si>
    <t>Кашпура Л.А.</t>
  </si>
  <si>
    <t>Крыжко В.А.</t>
  </si>
  <si>
    <t>Диганаева Н.А.</t>
  </si>
  <si>
    <t>Саликова Е.В.</t>
  </si>
  <si>
    <t>Пустовалова Е.А.</t>
  </si>
  <si>
    <t>Скавыш Е.Л.</t>
  </si>
  <si>
    <t>Кудрявцева О.В.</t>
  </si>
  <si>
    <t>Сомляков А.К.</t>
  </si>
  <si>
    <t>Спец Д.С.</t>
  </si>
  <si>
    <t>Нехай Д.А.</t>
  </si>
  <si>
    <t>Шин В.И.</t>
  </si>
  <si>
    <t>Масько С.А.</t>
  </si>
  <si>
    <t>Христодор А.П.</t>
  </si>
  <si>
    <t>Кирьянова Н.Е.</t>
  </si>
  <si>
    <t>Ким И.Б.</t>
  </si>
  <si>
    <t>Путинцев А.В.</t>
  </si>
  <si>
    <t>Щербинина Т.В.</t>
  </si>
  <si>
    <t>Ананьева Е.В.</t>
  </si>
  <si>
    <t xml:space="preserve">ООО "Мега-Лоджистик" </t>
  </si>
  <si>
    <t>Кузнецов Г.В.</t>
  </si>
  <si>
    <t>Югай А.П.</t>
  </si>
  <si>
    <t>Охватова Е.А.</t>
  </si>
  <si>
    <t>Будько Ю.В.</t>
  </si>
  <si>
    <t>Нехай Т.С.</t>
  </si>
  <si>
    <t>Сорока И.Е.</t>
  </si>
  <si>
    <t>Каминский Д.В.</t>
  </si>
  <si>
    <t>ООО "Фар Ист"</t>
  </si>
  <si>
    <t>ООО СПК "Надежда"</t>
  </si>
  <si>
    <t>Чиряскина О.Г.</t>
  </si>
  <si>
    <t>Бондаренко С.Г.</t>
  </si>
  <si>
    <t>Рачицкий Е.В.</t>
  </si>
  <si>
    <t>Товкун О.И.</t>
  </si>
  <si>
    <t>Чесноков А.И.</t>
  </si>
  <si>
    <t>Пак О.В.</t>
  </si>
  <si>
    <t>Роговая А.А.</t>
  </si>
  <si>
    <t>Старовойт В.А.</t>
  </si>
  <si>
    <t>Дейкун М.В.</t>
  </si>
  <si>
    <t>Речкалов Е.В.</t>
  </si>
  <si>
    <t>Пинчук В.С.</t>
  </si>
  <si>
    <t>Хачатуров А.К.</t>
  </si>
  <si>
    <t>Рыбалкин С.В.</t>
  </si>
  <si>
    <t>Доценко С.Г.</t>
  </si>
  <si>
    <t>Прихожденко А.Д.</t>
  </si>
  <si>
    <t xml:space="preserve">Ким И.С-Г.            </t>
  </si>
  <si>
    <t>Гаркуша В.В.</t>
  </si>
  <si>
    <t>ИП Грезин Д.А.</t>
  </si>
  <si>
    <t>Кинжалов В.А.</t>
  </si>
  <si>
    <t>Воробьев А.В.</t>
  </si>
  <si>
    <t>Максимов С.В.</t>
  </si>
  <si>
    <t>Азин Е.Г.</t>
  </si>
  <si>
    <t>Лосева М.А.</t>
  </si>
  <si>
    <t>Прохоренко И.А.</t>
  </si>
  <si>
    <t>Ким Н.П-Н</t>
  </si>
  <si>
    <t>Саенко А.И.</t>
  </si>
  <si>
    <t>ИП Мамедов Т.О.О.</t>
  </si>
  <si>
    <t>Чередниченко И.И.</t>
  </si>
  <si>
    <t>Селезнев Р.А.</t>
  </si>
  <si>
    <t>Яснобулкова Н.В.</t>
  </si>
  <si>
    <t>Коновалов М.А.</t>
  </si>
  <si>
    <t>Гагенко В.В.</t>
  </si>
  <si>
    <t>Лещенко А.Ф.</t>
  </si>
  <si>
    <t>Клещ С.Г.</t>
  </si>
  <si>
    <t>Старчеус О.В.</t>
  </si>
  <si>
    <t>Жарикова Г.В.</t>
  </si>
  <si>
    <t>Гасымов А.Р.о.</t>
  </si>
  <si>
    <t>Руденко Н.Ю.</t>
  </si>
  <si>
    <t>Нозыров А.В.</t>
  </si>
  <si>
    <t>Сянина А.А.</t>
  </si>
  <si>
    <t>Седых С.М.</t>
  </si>
  <si>
    <t>Федяшкин В.Н.</t>
  </si>
  <si>
    <t>Дегтерев Н.В.</t>
  </si>
  <si>
    <t>Гусинская И.А.</t>
  </si>
  <si>
    <t>ИП Ким С.Г.</t>
  </si>
  <si>
    <t>Лящук К.К.</t>
  </si>
  <si>
    <t>Калашникова Е.В.</t>
  </si>
  <si>
    <t>Попова Е.А.</t>
  </si>
  <si>
    <t>Козуев Н.Б.</t>
  </si>
  <si>
    <t>Хоменко Е.С.</t>
  </si>
  <si>
    <t>ООО "КаргоПриморья"</t>
  </si>
  <si>
    <t>885-20</t>
  </si>
  <si>
    <t>Шириадзинова Л.В.</t>
  </si>
  <si>
    <t>914-20</t>
  </si>
  <si>
    <t>Лугина С.И.</t>
  </si>
  <si>
    <t>1014-20</t>
  </si>
  <si>
    <t>Харичков П.В.</t>
  </si>
  <si>
    <t>Ан А.С.</t>
  </si>
  <si>
    <t>761-20</t>
  </si>
  <si>
    <t>775-20</t>
  </si>
  <si>
    <t>Медведчикова Е.А.</t>
  </si>
  <si>
    <t>1009-20</t>
  </si>
  <si>
    <t>Трузян Ц,Б.</t>
  </si>
  <si>
    <t>811-20</t>
  </si>
  <si>
    <t>ООО "Высота"</t>
  </si>
  <si>
    <t>Тюлин В.Т.</t>
  </si>
  <si>
    <t>710-20</t>
  </si>
  <si>
    <t>919-20</t>
  </si>
  <si>
    <t>Трихлеб Л.А.</t>
  </si>
  <si>
    <t>925-20</t>
  </si>
  <si>
    <t>Авдеева А.А.</t>
  </si>
  <si>
    <t>926-20</t>
  </si>
  <si>
    <t>Кашникова Е.В.</t>
  </si>
  <si>
    <t>Велюханова Л.Н.</t>
  </si>
  <si>
    <t>897-20</t>
  </si>
  <si>
    <t>912-20</t>
  </si>
  <si>
    <t>Пелепцова С.В.</t>
  </si>
  <si>
    <t>951-20</t>
  </si>
  <si>
    <t>Бакай А.М.</t>
  </si>
  <si>
    <t>Шевченко А.В.</t>
  </si>
  <si>
    <t>930-20</t>
  </si>
  <si>
    <t>ГСК "Весна-7"</t>
  </si>
  <si>
    <t>933-20</t>
  </si>
  <si>
    <t>957-20</t>
  </si>
  <si>
    <t>Батаев Э.В.</t>
  </si>
  <si>
    <t>Ковтун Т.А.</t>
  </si>
  <si>
    <t>953-20</t>
  </si>
  <si>
    <t>955-20</t>
  </si>
  <si>
    <t>Стародубова В.П.</t>
  </si>
  <si>
    <t>Ким В.В.</t>
  </si>
  <si>
    <t>958-20</t>
  </si>
  <si>
    <t>Юдинцева В.В.</t>
  </si>
  <si>
    <t>998-20</t>
  </si>
  <si>
    <t>Ким А.В.</t>
  </si>
  <si>
    <t>963-20</t>
  </si>
  <si>
    <t>979-20</t>
  </si>
  <si>
    <t>Копай И.Г.</t>
  </si>
  <si>
    <t>Халиулов Я.Р.</t>
  </si>
  <si>
    <t>987-20</t>
  </si>
  <si>
    <t>1034-20</t>
  </si>
  <si>
    <t>Чистяков Ю.А.</t>
  </si>
  <si>
    <t>Кириенко Д.А.</t>
  </si>
  <si>
    <t>1056-20</t>
  </si>
  <si>
    <t>Чермошенцев Е.Ю.</t>
  </si>
  <si>
    <t>1031-20</t>
  </si>
  <si>
    <t>Тян Анисья</t>
  </si>
  <si>
    <t>договор</t>
  </si>
  <si>
    <t>подрядчик</t>
  </si>
  <si>
    <t>СНТ "Мясокомбинат"</t>
  </si>
  <si>
    <t>1032-20</t>
  </si>
  <si>
    <t>223/1</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</si>
  <si>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</si>
  <si>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</si>
  <si>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</si>
  <si>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</si>
  <si>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</si>
  <si>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</si>
  <si>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</si>
  <si>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</si>
  <si>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</si>
  <si>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</si>
  <si>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</si>
  <si>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</si>
  <si>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</si>
  <si>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</si>
  <si>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</si>
  <si>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</si>
  <si>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</si>
  <si>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</si>
  <si>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</si>
  <si>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</si>
  <si>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</si>
  <si>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</si>
  <si>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</si>
  <si>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</si>
  <si>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</si>
  <si>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</si>
  <si>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</si>
  <si>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</si>
  <si>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</si>
  <si>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</si>
  <si>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</si>
  <si>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</si>
  <si>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</si>
  <si>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</si>
  <si>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</si>
  <si>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</si>
  <si>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</si>
  <si>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</si>
  <si>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</si>
  <si>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</si>
  <si>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</si>
  <si>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</si>
  <si>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</si>
  <si>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</si>
  <si>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</si>
  <si>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</si>
  <si>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</si>
  <si>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</si>
  <si>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</si>
  <si>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</si>
  <si>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</si>
  <si>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</si>
  <si>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</si>
  <si>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</si>
  <si>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</si>
  <si>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</si>
  <si>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</si>
  <si>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</si>
  <si>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</si>
  <si>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</si>
  <si>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</si>
  <si>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</si>
  <si>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</si>
  <si>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</si>
  <si>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</si>
  <si>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</si>
  <si>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</si>
  <si>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</si>
  <si>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</si>
  <si>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</si>
  <si>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</si>
  <si>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</si>
  <si>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</si>
  <si>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</si>
  <si>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</si>
  <si>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</si>
  <si>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</si>
  <si>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</si>
  <si>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</si>
  <si>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</si>
  <si>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</si>
  <si>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</si>
  <si>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</si>
  <si>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2. Проверка сетевой организацией выполнения технических условий Заявителем</t>
  </si>
  <si>
    <t>2.1.</t>
  </si>
  <si>
    <t xml:space="preserve">Выдача сетевой организацией акта об осуществлении технологического присоединения Заявителям, юридическим лицам или индивидуальным предпринимателем  по второй или третьей категории надежности энергопринимающих устройств, максимальная мощность которых составляет до 150 кВт включительно и физическим лицам до 15 кВт
на уровне напряжения выше 0,4 кВ;
</t>
  </si>
  <si>
    <t>2.2.</t>
  </si>
  <si>
    <t xml:space="preserve">Проверка сетевой организацией выполнения технических условий Заявителями,   для случаев технологического присоединения объектов Заявителей, юридическим лицам или индивидуальным предпринимателем  по второй или третьей категории надежности энергопринимающих устройств, максимальная мощность которых составляет до 150 кВт включительно и физическим лицам до 15 кВ на уровне напряжения не выше 0,4 кВ;  юридическим лицом или индивидуальным предпринимателем, максимальная мощность  свыше 150 кВт и менее 670 кВт
</t>
  </si>
  <si>
    <t>Мощность заявителя до 15 кВт</t>
  </si>
  <si>
    <t>Мощность заявителя от 15 кВт идо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</si>
</sst>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0.000"/>
    <numFmt numFmtId="166" formatCode="0.000"/>
    <numFmt numFmtId="167" formatCode="_-* #,##0.000_р_._-;\-* #,##0.000_р_._-;_-* &quot;-&quot;???_р_._-;_-@_-"/>
    <numFmt numFmtId="168" formatCode="0.0"/>
  </numFmts>
  <fonts count="38" x14ac:knownFonts="1">
    <font>
      <sz val="11"/>
      <color theme="1"/>
      <name val="Calibri"/>
      <family val="2"/>
      <charset val="204"/>
      <scheme val="minor"/>
    </font>
    <font>
      <sz val="11"/>
      <color theme="1"/>
      <name val="Times New Roman"/>
      <family val="1"/>
      <charset val="204"/>
    </font>
    <font>
      <b/>
      <sz val="11"/>
      <color theme="1"/>
      <name val="Calibri"/>
      <family val="2"/>
      <charset val="204"/>
      <scheme val="minor"/>
    </font>
    <font>
      <sz val="11"/>
      <color theme="1"/>
      <name val="Calibri"/>
      <family val="2"/>
      <charset val="204"/>
      <scheme val="minor"/>
    </font>
    <font>
      <sz val="11"/>
      <color theme="1"/>
      <name val="Calibri"/>
      <family val="2"/>
      <scheme val="minor"/>
    </font>
    <font>
      <sz val="8"/>
      <name val="Arial"/>
      <family val="2"/>
      <charset val="204"/>
    </font>
    <font>
      <sz val="10"/>
      <name val="Arial Cyr"/>
      <charset val="204"/>
    </font>
    <font>
      <sz val="11"/>
      <name val="Calibri"/>
      <family val="2"/>
      <charset val="204"/>
      <scheme val="minor"/>
    </font>
    <font>
      <sz val="9"/>
      <color indexed="81"/>
      <name val="Tahoma"/>
      <family val="2"/>
      <charset val="204"/>
    </font>
    <font>
      <b/>
      <sz val="9"/>
      <color indexed="81"/>
      <name val="Tahoma"/>
      <family val="2"/>
      <charset val="204"/>
    </font>
    <font>
      <sz val="10"/>
      <color indexed="81"/>
      <name val="Tahoma"/>
      <family val="2"/>
      <charset val="204"/>
    </font>
    <font>
      <sz val="16"/>
      <color theme="1"/>
      <name val="Calibri"/>
      <family val="2"/>
      <charset val="204"/>
      <scheme val="minor"/>
    </font>
    <font>
      <sz val="10"/>
      <color indexed="63"/>
      <name val="Tahoma"/>
      <family val="2"/>
      <charset val="204"/>
    </font>
    <font>
      <sz val="9"/>
      <name val="Tahoma"/>
      <family val="2"/>
      <charset val="204"/>
    </font>
    <font>
      <sz val="9"/>
      <color indexed="63"/>
      <name val="Tahoma"/>
      <family val="2"/>
      <charset val="204"/>
    </font>
    <font>
      <sz val="8"/>
      <name val="Verdana"/>
      <family val="2"/>
      <charset val="204"/>
    </font>
    <font>
      <b/>
      <sz val="10"/>
      <color indexed="63"/>
      <name val="Tahoma"/>
      <family val="2"/>
      <charset val="204"/>
    </font>
    <font>
      <sz val="11"/>
      <color rgb="FF006100"/>
      <name val="Calibri"/>
      <family val="2"/>
      <charset val="204"/>
      <scheme val="minor"/>
    </font>
    <font>
      <sz val="10"/>
      <name val="Times New Roman"/>
      <family val="1"/>
      <charset val="204"/>
    </font>
    <font>
      <sz val="11"/>
      <color rgb="FF000000"/>
      <name val="Times New Roman"/>
      <family val="1"/>
      <charset val="204"/>
    </font>
    <font>
      <sz val="10"/>
      <name val="Calibri"/>
      <family val="2"/>
      <charset val="204"/>
      <scheme val="minor"/>
    </font>
    <font>
      <sz val="10"/>
      <color theme="1"/>
      <name val="Times New Roman"/>
      <family val="1"/>
      <charset val="204"/>
    </font>
    <font>
      <sz val="11"/>
      <name val="Times New Roman"/>
      <family val="1"/>
      <charset val="204"/>
    </font>
    <font>
      <sz val="10"/>
      <color rgb="FF000000"/>
      <name val="Times New Roman"/>
      <family val="1"/>
      <charset val="204"/>
    </font>
    <font>
      <sz val="11"/>
      <name val="Calibri"/>
      <family val="2"/>
      <scheme val="minor"/>
    </font>
    <font>
      <sz val="10"/>
      <color theme="1"/>
      <name val="Calibri"/>
      <family val="2"/>
      <charset val="204"/>
      <scheme val="minor"/>
    </font>
    <font>
      <sz val="11"/>
      <color rgb="FFFF0000"/>
      <name val="Calibri"/>
      <family val="2"/>
      <charset val="204"/>
      <scheme val="minor"/>
    </font>
    <font>
      <sz val="10"/>
      <color rgb="FFFF0000"/>
      <name val="Times New Roman"/>
      <family val="1"/>
      <charset val="204"/>
    </font>
    <font>
      <sz val="10"/>
      <color theme="1"/>
      <name val="Arial"/>
      <family val="2"/>
      <charset val="204"/>
    </font>
    <font>
      <sz val="8"/>
      <color theme="1"/>
      <name val="Calibri"/>
      <family val="2"/>
      <charset val="204"/>
      <scheme val="minor"/>
    </font>
    <font>
      <sz val="11"/>
      <color rgb="FF000000"/>
      <name val="Calibri"/>
      <family val="2"/>
      <charset val="204"/>
      <scheme val="minor"/>
    </font>
    <font>
      <sz val="10"/>
      <color rgb="FF000000"/>
      <name val="Calibri"/>
      <family val="2"/>
      <charset val="204"/>
      <scheme val="minor"/>
    </font>
    <font>
      <sz val="7"/>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
      <sz val="16"/>
      <name val="Calibri"/>
      <family val="2"/>
      <charset val="204"/>
      <scheme val="minor"/>
    </font>
    <font>
      <b/>
      <sz val="16"/>
      <color theme="1"/>
      <name val="Calibri"/>
      <family val="2"/>
      <charset val="204"/>
      <scheme val="minor"/>
    </font>
  </fonts>
  <fills count="4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EC52C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CCFF"/>
        <bgColor indexed="64"/>
      </patternFill>
    </fill>
    <fill>
      <patternFill patternType="solid">
        <fgColor rgb="FFFF9396"/>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rgb="FFFD2BC1"/>
        <bgColor indexed="64"/>
      </patternFill>
    </fill>
    <fill>
      <patternFill patternType="solid">
        <fgColor theme="4" tint="0.79998168889431442"/>
        <bgColor indexed="64"/>
      </patternFill>
    </fill>
    <fill>
      <patternFill patternType="solid">
        <fgColor rgb="FFA6CC98"/>
        <bgColor indexed="64"/>
      </patternFill>
    </fill>
    <fill>
      <patternFill patternType="solid">
        <fgColor indexed="9"/>
        <bgColor indexed="64"/>
      </patternFill>
    </fill>
    <fill>
      <patternFill patternType="solid">
        <fgColor rgb="FFC6EFCE"/>
      </patternFill>
    </fill>
    <fill>
      <patternFill patternType="solid">
        <fgColor rgb="FFFFCCCC"/>
        <bgColor indexed="64"/>
      </patternFill>
    </fill>
    <fill>
      <patternFill patternType="solid">
        <fgColor rgb="FF99FFCC"/>
        <bgColor indexed="64"/>
      </patternFill>
    </fill>
    <fill>
      <patternFill patternType="solid">
        <fgColor rgb="FF99CCFF"/>
        <bgColor indexed="64"/>
      </patternFill>
    </fill>
    <fill>
      <patternFill patternType="solid">
        <fgColor rgb="FF9FDB57"/>
        <bgColor indexed="64"/>
      </patternFill>
    </fill>
    <fill>
      <patternFill patternType="solid">
        <fgColor rgb="FFCCCCFF"/>
        <bgColor indexed="64"/>
      </patternFill>
    </fill>
    <fill>
      <patternFill patternType="solid">
        <fgColor rgb="FF7DC2D5"/>
        <bgColor indexed="64"/>
      </patternFill>
    </fill>
    <fill>
      <patternFill patternType="solid">
        <fgColor rgb="FF7FC1D3"/>
        <bgColor indexed="64"/>
      </patternFill>
    </fill>
    <fill>
      <patternFill patternType="solid">
        <fgColor theme="9" tint="0.599963377788628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top style="thin">
        <color indexed="55"/>
      </top>
      <bottom/>
      <diagonal/>
    </border>
    <border>
      <left style="thin">
        <color indexed="64"/>
      </left>
      <right/>
      <top/>
      <bottom style="thin">
        <color indexed="64"/>
      </bottom>
      <diagonal/>
    </border>
  </borders>
  <cellStyleXfs count="12">
    <xf numFmtId="0" fontId="0" fillId="0" borderId="0"/>
    <xf numFmtId="0" fontId="2" fillId="0" borderId="0" applyNumberFormat="0" applyFill="0" applyBorder="0" applyAlignment="0" applyProtection="0"/>
    <xf numFmtId="0" fontId="4" fillId="0" borderId="0"/>
    <xf numFmtId="0" fontId="3" fillId="0" borderId="0"/>
    <xf numFmtId="0" fontId="3" fillId="0" borderId="0"/>
    <xf numFmtId="0" fontId="5" fillId="0" borderId="0"/>
    <xf numFmtId="164" fontId="6" fillId="0" borderId="0" applyFont="0" applyFill="0" applyBorder="0" applyAlignment="0" applyProtection="0"/>
    <xf numFmtId="0" fontId="6" fillId="0" borderId="0"/>
    <xf numFmtId="0" fontId="13" fillId="0" borderId="0">
      <alignment horizontal="left" vertical="center"/>
    </xf>
    <xf numFmtId="0" fontId="15" fillId="0" borderId="0"/>
    <xf numFmtId="43" fontId="3" fillId="0" borderId="0" applyFont="0" applyFill="0" applyBorder="0" applyAlignment="0" applyProtection="0"/>
    <xf numFmtId="0" fontId="17" fillId="34" borderId="0" applyNumberFormat="0" applyBorder="0" applyAlignment="0" applyProtection="0"/>
  </cellStyleXfs>
  <cellXfs count="694">
    <xf numFmtId="0" fontId="0" fillId="0" borderId="0" xfId="0"/>
    <xf numFmtId="0" fontId="37" fillId="36"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5" xfId="0" applyFill="1" applyBorder="1" applyAlignment="1">
      <alignment horizontal="center" vertical="center" wrapText="1"/>
    </xf>
    <xf numFmtId="0" fontId="0" fillId="0" borderId="0" xfId="0"/>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justify" vertical="center"/>
    </xf>
    <xf numFmtId="0" fontId="0" fillId="0" borderId="0" xfId="0" applyAlignment="1">
      <alignment horizontal="right" vertical="center"/>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39" xfId="0" applyBorder="1" applyAlignment="1">
      <alignment horizontal="center" vertical="center" wrapText="1"/>
    </xf>
    <xf numFmtId="4" fontId="0" fillId="0" borderId="7" xfId="0" applyNumberFormat="1" applyBorder="1" applyAlignment="1">
      <alignment horizontal="center" vertical="center" wrapText="1"/>
    </xf>
    <xf numFmtId="4" fontId="0" fillId="0" borderId="8" xfId="0" applyNumberFormat="1" applyBorder="1" applyAlignment="1">
      <alignment horizontal="center" vertical="center" wrapText="1"/>
    </xf>
    <xf numFmtId="4" fontId="0" fillId="0" borderId="9"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9"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10" xfId="0" applyNumberFormat="1" applyBorder="1" applyAlignment="1">
      <alignment horizontal="center" vertical="center" wrapText="1"/>
    </xf>
    <xf numFmtId="4" fontId="0" fillId="0" borderId="14" xfId="0" applyNumberFormat="1" applyBorder="1" applyAlignment="1">
      <alignment horizontal="center" vertical="center" wrapText="1"/>
    </xf>
    <xf numFmtId="0" fontId="0" fillId="0" borderId="32" xfId="0" applyBorder="1"/>
    <xf numFmtId="0" fontId="0" fillId="0" borderId="0" xfId="0" applyBorder="1"/>
    <xf numFmtId="0" fontId="0" fillId="0" borderId="33" xfId="0" applyBorder="1"/>
    <xf numFmtId="0" fontId="0" fillId="2" borderId="36" xfId="0" applyFill="1" applyBorder="1" applyAlignment="1">
      <alignment vertical="center" wrapText="1"/>
    </xf>
    <xf numFmtId="0" fontId="0" fillId="2" borderId="38" xfId="0" applyFill="1" applyBorder="1" applyAlignment="1">
      <alignment vertical="center" wrapText="1"/>
    </xf>
    <xf numFmtId="0" fontId="0" fillId="0" borderId="42" xfId="0" applyBorder="1" applyAlignment="1">
      <alignment horizontal="center" vertical="center" wrapText="1"/>
    </xf>
    <xf numFmtId="0" fontId="0" fillId="0" borderId="44" xfId="0" applyNumberFormat="1" applyBorder="1" applyAlignment="1">
      <alignment horizontal="center" vertical="center" wrapText="1"/>
    </xf>
    <xf numFmtId="0" fontId="0" fillId="10" borderId="36" xfId="0" applyFill="1" applyBorder="1" applyAlignment="1">
      <alignment vertical="center" wrapText="1"/>
    </xf>
    <xf numFmtId="0" fontId="0" fillId="10" borderId="38" xfId="0" applyFill="1" applyBorder="1" applyAlignment="1">
      <alignment vertical="center" wrapText="1"/>
    </xf>
    <xf numFmtId="0" fontId="0" fillId="0" borderId="45" xfId="0" applyBorder="1"/>
    <xf numFmtId="0" fontId="0" fillId="0" borderId="30" xfId="0" applyFill="1" applyBorder="1" applyAlignment="1">
      <alignment horizontal="center" vertical="center" wrapText="1"/>
    </xf>
    <xf numFmtId="0" fontId="0" fillId="0" borderId="0" xfId="0" applyFill="1"/>
    <xf numFmtId="0" fontId="0" fillId="0" borderId="1" xfId="0" applyBorder="1"/>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4" fontId="0" fillId="2" borderId="5"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6" xfId="0" applyNumberFormat="1" applyFill="1" applyBorder="1" applyAlignment="1">
      <alignment horizontal="center" vertical="center" wrapText="1"/>
    </xf>
    <xf numFmtId="4" fontId="0" fillId="0" borderId="5"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4" fontId="0" fillId="0" borderId="6"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6"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NumberFormat="1" applyFill="1" applyBorder="1" applyAlignment="1">
      <alignment horizontal="center" vertical="center" wrapText="1"/>
    </xf>
    <xf numFmtId="4" fontId="0" fillId="0" borderId="2" xfId="0" applyNumberFormat="1" applyBorder="1" applyAlignment="1">
      <alignment horizontal="center" vertical="center" wrapText="1"/>
    </xf>
    <xf numFmtId="0" fontId="0" fillId="0" borderId="12" xfId="0" applyFill="1" applyBorder="1" applyAlignment="1">
      <alignment horizontal="center" vertical="center" wrapText="1"/>
    </xf>
    <xf numFmtId="4" fontId="0" fillId="0" borderId="12" xfId="0" applyNumberFormat="1" applyBorder="1" applyAlignment="1">
      <alignment horizontal="center" vertical="center" wrapText="1"/>
    </xf>
    <xf numFmtId="4" fontId="0" fillId="0" borderId="12" xfId="0" applyNumberFormat="1" applyFill="1" applyBorder="1" applyAlignment="1">
      <alignment horizontal="center" vertical="center" wrapText="1"/>
    </xf>
    <xf numFmtId="4" fontId="0" fillId="0" borderId="2" xfId="0" applyNumberFormat="1" applyFill="1" applyBorder="1" applyAlignment="1">
      <alignment horizontal="center" vertical="center" wrapText="1"/>
    </xf>
    <xf numFmtId="0" fontId="0" fillId="0" borderId="3"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13" borderId="36" xfId="0" applyFill="1" applyBorder="1" applyAlignment="1">
      <alignment vertical="center" wrapText="1"/>
    </xf>
    <xf numFmtId="0" fontId="0" fillId="13" borderId="38" xfId="0" applyFill="1" applyBorder="1" applyAlignment="1">
      <alignment vertical="center" wrapText="1"/>
    </xf>
    <xf numFmtId="0" fontId="0" fillId="13" borderId="37" xfId="0" applyFill="1" applyBorder="1" applyAlignment="1">
      <alignment vertical="center" wrapText="1"/>
    </xf>
    <xf numFmtId="0" fontId="0" fillId="0" borderId="5"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4"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6" xfId="0" applyNumberFormat="1" applyBorder="1" applyAlignment="1">
      <alignment horizontal="center" vertical="center" wrapText="1"/>
    </xf>
    <xf numFmtId="0" fontId="0" fillId="9" borderId="36" xfId="0" applyFill="1" applyBorder="1" applyAlignment="1">
      <alignment vertical="center" wrapText="1"/>
    </xf>
    <xf numFmtId="0" fontId="0" fillId="9" borderId="43" xfId="0" applyFill="1" applyBorder="1" applyAlignment="1">
      <alignment vertical="center" wrapText="1"/>
    </xf>
    <xf numFmtId="0" fontId="0" fillId="9" borderId="38" xfId="0" applyFill="1" applyBorder="1" applyAlignment="1">
      <alignment vertical="center" wrapText="1"/>
    </xf>
    <xf numFmtId="0" fontId="0" fillId="9" borderId="32" xfId="0" applyFill="1" applyBorder="1" applyAlignment="1">
      <alignment vertical="center" wrapText="1"/>
    </xf>
    <xf numFmtId="4" fontId="0" fillId="0" borderId="3" xfId="0" applyNumberFormat="1" applyBorder="1" applyAlignment="1">
      <alignment horizontal="center" vertical="center" wrapText="1"/>
    </xf>
    <xf numFmtId="4" fontId="0" fillId="0" borderId="4" xfId="0" applyNumberFormat="1" applyBorder="1" applyAlignment="1">
      <alignment horizontal="center" vertical="center" wrapText="1"/>
    </xf>
    <xf numFmtId="4" fontId="0" fillId="0" borderId="29" xfId="0" applyNumberFormat="1" applyBorder="1" applyAlignment="1">
      <alignment horizontal="center" vertical="center" wrapText="1"/>
    </xf>
    <xf numFmtId="4" fontId="0" fillId="0" borderId="46" xfId="0" applyNumberFormat="1" applyBorder="1" applyAlignment="1">
      <alignment horizontal="center" vertical="center" wrapText="1"/>
    </xf>
    <xf numFmtId="0" fontId="0" fillId="0" borderId="17" xfId="0" applyBorder="1" applyAlignment="1">
      <alignment horizontal="center"/>
    </xf>
    <xf numFmtId="0" fontId="0" fillId="0" borderId="12" xfId="0" applyNumberFormat="1" applyBorder="1" applyAlignment="1">
      <alignment horizontal="center" vertical="center" wrapText="1"/>
    </xf>
    <xf numFmtId="0" fontId="0" fillId="0" borderId="14" xfId="0" applyNumberFormat="1" applyBorder="1" applyAlignment="1">
      <alignment horizontal="center" vertical="center" wrapText="1"/>
    </xf>
    <xf numFmtId="4" fontId="0" fillId="0" borderId="13" xfId="0" applyNumberFormat="1" applyBorder="1" applyAlignment="1">
      <alignment horizontal="center" vertical="center" wrapText="1"/>
    </xf>
    <xf numFmtId="0" fontId="0" fillId="14" borderId="4" xfId="0" applyNumberFormat="1" applyFill="1" applyBorder="1" applyAlignment="1">
      <alignment horizontal="center" vertical="center" wrapText="1"/>
    </xf>
    <xf numFmtId="0" fontId="0" fillId="14" borderId="1" xfId="0" applyNumberFormat="1" applyFill="1" applyBorder="1" applyAlignment="1">
      <alignment horizontal="center" vertical="center" wrapText="1"/>
    </xf>
    <xf numFmtId="0" fontId="0" fillId="14" borderId="8" xfId="0" applyNumberFormat="1" applyFill="1" applyBorder="1" applyAlignment="1">
      <alignment horizontal="center" vertical="center" wrapText="1"/>
    </xf>
    <xf numFmtId="0" fontId="0" fillId="17" borderId="3" xfId="0" applyNumberFormat="1" applyFill="1" applyBorder="1" applyAlignment="1">
      <alignment horizontal="center" vertical="center" wrapText="1"/>
    </xf>
    <xf numFmtId="0" fontId="0" fillId="17" borderId="4" xfId="0" applyNumberFormat="1" applyFill="1" applyBorder="1" applyAlignment="1">
      <alignment horizontal="center" vertical="center" wrapText="1"/>
    </xf>
    <xf numFmtId="0" fontId="0" fillId="17" borderId="5" xfId="0" applyNumberFormat="1" applyFill="1" applyBorder="1" applyAlignment="1">
      <alignment horizontal="center" vertical="center" wrapText="1"/>
    </xf>
    <xf numFmtId="0" fontId="0" fillId="17" borderId="1" xfId="0" applyNumberFormat="1" applyFill="1" applyBorder="1" applyAlignment="1">
      <alignment horizontal="center" vertical="center" wrapText="1"/>
    </xf>
    <xf numFmtId="0" fontId="0" fillId="14" borderId="29" xfId="0" applyNumberFormat="1" applyFill="1" applyBorder="1" applyAlignment="1">
      <alignment horizontal="center" vertical="center" wrapText="1"/>
    </xf>
    <xf numFmtId="0" fontId="0" fillId="14" borderId="6" xfId="0" applyNumberFormat="1" applyFill="1" applyBorder="1" applyAlignment="1">
      <alignment horizontal="center" vertical="center" wrapText="1"/>
    </xf>
    <xf numFmtId="0" fontId="0" fillId="14" borderId="9" xfId="0" applyNumberFormat="1" applyFill="1" applyBorder="1" applyAlignment="1">
      <alignment horizontal="center" vertical="center" wrapText="1"/>
    </xf>
    <xf numFmtId="0" fontId="0" fillId="18" borderId="4" xfId="0" applyNumberFormat="1" applyFill="1" applyBorder="1" applyAlignment="1">
      <alignment horizontal="center" vertical="center" wrapText="1"/>
    </xf>
    <xf numFmtId="0" fontId="0" fillId="18" borderId="29" xfId="0" applyNumberFormat="1" applyFill="1" applyBorder="1" applyAlignment="1">
      <alignment horizontal="center" vertical="center" wrapText="1"/>
    </xf>
    <xf numFmtId="0" fontId="0" fillId="18" borderId="1" xfId="0" applyNumberFormat="1" applyFill="1" applyBorder="1" applyAlignment="1">
      <alignment horizontal="center" vertical="center" wrapText="1"/>
    </xf>
    <xf numFmtId="0" fontId="0" fillId="18" borderId="6" xfId="0" applyNumberFormat="1" applyFill="1" applyBorder="1" applyAlignment="1">
      <alignment horizontal="center" vertical="center" wrapText="1"/>
    </xf>
    <xf numFmtId="0" fontId="0" fillId="18" borderId="8" xfId="0" applyNumberFormat="1" applyFill="1" applyBorder="1" applyAlignment="1">
      <alignment horizontal="center" vertical="center" wrapText="1"/>
    </xf>
    <xf numFmtId="4" fontId="0" fillId="19" borderId="4" xfId="0" applyNumberFormat="1" applyFill="1" applyBorder="1" applyAlignment="1">
      <alignment horizontal="center" vertical="center" wrapText="1"/>
    </xf>
    <xf numFmtId="4" fontId="0" fillId="19" borderId="1" xfId="0" applyNumberFormat="1" applyFill="1" applyBorder="1" applyAlignment="1">
      <alignment horizontal="center" vertical="center" wrapText="1"/>
    </xf>
    <xf numFmtId="4" fontId="0" fillId="11" borderId="3" xfId="0" applyNumberFormat="1" applyFill="1" applyBorder="1" applyAlignment="1">
      <alignment horizontal="center" vertical="center" wrapText="1"/>
    </xf>
    <xf numFmtId="4" fontId="0" fillId="11" borderId="4" xfId="0" applyNumberFormat="1" applyFill="1" applyBorder="1" applyAlignment="1">
      <alignment horizontal="center" vertical="center" wrapText="1"/>
    </xf>
    <xf numFmtId="4" fontId="0" fillId="11" borderId="5" xfId="0" applyNumberFormat="1" applyFill="1" applyBorder="1" applyAlignment="1">
      <alignment horizontal="center" vertical="center" wrapText="1"/>
    </xf>
    <xf numFmtId="4" fontId="0" fillId="11" borderId="1" xfId="0" applyNumberFormat="1" applyFill="1" applyBorder="1" applyAlignment="1">
      <alignment horizontal="center" vertical="center" wrapText="1"/>
    </xf>
    <xf numFmtId="4" fontId="0" fillId="11" borderId="7" xfId="0" applyNumberFormat="1" applyFill="1" applyBorder="1" applyAlignment="1">
      <alignment horizontal="center" vertical="center" wrapText="1"/>
    </xf>
    <xf numFmtId="4" fontId="0" fillId="11" borderId="8" xfId="0" applyNumberFormat="1" applyFill="1" applyBorder="1" applyAlignment="1">
      <alignment horizontal="center" vertical="center" wrapText="1"/>
    </xf>
    <xf numFmtId="4" fontId="0" fillId="15" borderId="4" xfId="0" applyNumberFormat="1" applyFill="1" applyBorder="1" applyAlignment="1">
      <alignment horizontal="center" vertical="center" wrapText="1"/>
    </xf>
    <xf numFmtId="4" fontId="0" fillId="15" borderId="29" xfId="0" applyNumberFormat="1" applyFill="1" applyBorder="1" applyAlignment="1">
      <alignment horizontal="center" vertical="center" wrapText="1"/>
    </xf>
    <xf numFmtId="4" fontId="0" fillId="15" borderId="1" xfId="0" applyNumberFormat="1" applyFill="1" applyBorder="1" applyAlignment="1">
      <alignment horizontal="center" vertical="center" wrapText="1"/>
    </xf>
    <xf numFmtId="4" fontId="0" fillId="15" borderId="6" xfId="0" applyNumberFormat="1" applyFill="1" applyBorder="1" applyAlignment="1">
      <alignment horizontal="center" vertical="center" wrapText="1"/>
    </xf>
    <xf numFmtId="4" fontId="0" fillId="15" borderId="8" xfId="0" applyNumberFormat="1" applyFill="1" applyBorder="1" applyAlignment="1">
      <alignment horizontal="center" vertical="center" wrapText="1"/>
    </xf>
    <xf numFmtId="4" fontId="0" fillId="15" borderId="9" xfId="0" applyNumberFormat="1" applyFill="1" applyBorder="1" applyAlignment="1">
      <alignment horizontal="center" vertical="center" wrapText="1"/>
    </xf>
    <xf numFmtId="4" fontId="0" fillId="19" borderId="29" xfId="0" applyNumberFormat="1" applyFill="1" applyBorder="1" applyAlignment="1">
      <alignment horizontal="center" vertical="center" wrapText="1"/>
    </xf>
    <xf numFmtId="4" fontId="0" fillId="19" borderId="6" xfId="0" applyNumberFormat="1" applyFill="1" applyBorder="1" applyAlignment="1">
      <alignment horizontal="center" vertical="center" wrapText="1"/>
    </xf>
    <xf numFmtId="4" fontId="0" fillId="2" borderId="3" xfId="0" applyNumberFormat="1" applyFill="1" applyBorder="1" applyAlignment="1">
      <alignment horizontal="center" vertical="center" wrapText="1"/>
    </xf>
    <xf numFmtId="4" fontId="0" fillId="5" borderId="29" xfId="0" applyNumberFormat="1" applyFill="1" applyBorder="1" applyAlignment="1">
      <alignment horizontal="center" vertical="center" wrapText="1"/>
    </xf>
    <xf numFmtId="4" fontId="0" fillId="5" borderId="6" xfId="0" applyNumberFormat="1" applyFill="1" applyBorder="1" applyAlignment="1">
      <alignment horizontal="center" vertical="center" wrapText="1"/>
    </xf>
    <xf numFmtId="4" fontId="0" fillId="6" borderId="6" xfId="0" applyNumberFormat="1" applyFill="1" applyBorder="1" applyAlignment="1">
      <alignment horizontal="center" vertical="center" wrapText="1"/>
    </xf>
    <xf numFmtId="0" fontId="0" fillId="0" borderId="12" xfId="0" applyNumberFormat="1" applyFill="1" applyBorder="1" applyAlignment="1">
      <alignment horizontal="center" vertical="center" wrapText="1"/>
    </xf>
    <xf numFmtId="4" fontId="0" fillId="0" borderId="10" xfId="0" applyNumberFormat="1" applyBorder="1" applyAlignment="1">
      <alignment horizontal="center" vertical="center" wrapText="1"/>
    </xf>
    <xf numFmtId="4" fontId="0" fillId="3" borderId="13" xfId="0" applyNumberFormat="1" applyFill="1" applyBorder="1" applyAlignment="1">
      <alignment horizontal="center" vertical="center" wrapText="1"/>
    </xf>
    <xf numFmtId="4" fontId="0" fillId="4" borderId="3" xfId="0" applyNumberFormat="1" applyFill="1" applyBorder="1" applyAlignment="1">
      <alignment horizontal="center" vertical="center" wrapText="1"/>
    </xf>
    <xf numFmtId="4" fontId="0" fillId="7" borderId="3" xfId="0" applyNumberFormat="1" applyFill="1" applyBorder="1" applyAlignment="1">
      <alignment horizontal="center" vertical="center" wrapText="1"/>
    </xf>
    <xf numFmtId="4" fontId="0" fillId="7" borderId="5" xfId="0" applyNumberFormat="1" applyFill="1" applyBorder="1" applyAlignment="1">
      <alignment horizontal="center" vertical="center" wrapText="1"/>
    </xf>
    <xf numFmtId="0" fontId="0" fillId="7" borderId="4" xfId="0" applyNumberFormat="1" applyFill="1" applyBorder="1" applyAlignment="1">
      <alignment horizontal="center" vertical="center" wrapText="1"/>
    </xf>
    <xf numFmtId="0" fontId="0" fillId="7" borderId="1" xfId="0" applyNumberFormat="1" applyFill="1" applyBorder="1" applyAlignment="1">
      <alignment horizontal="center" vertical="center" wrapText="1"/>
    </xf>
    <xf numFmtId="0" fontId="0" fillId="0" borderId="32" xfId="0" applyBorder="1" applyAlignment="1">
      <alignment horizontal="center" vertical="center" wrapText="1"/>
    </xf>
    <xf numFmtId="4" fontId="0" fillId="0" borderId="0" xfId="0" applyNumberFormat="1" applyBorder="1" applyAlignment="1">
      <alignment horizontal="center" vertical="center" wrapText="1"/>
    </xf>
    <xf numFmtId="0" fontId="0" fillId="17" borderId="0" xfId="0" applyNumberFormat="1" applyFill="1" applyBorder="1" applyAlignment="1">
      <alignment horizontal="center" vertical="center" wrapText="1"/>
    </xf>
    <xf numFmtId="0" fontId="0" fillId="18" borderId="0" xfId="0" applyNumberFormat="1" applyFill="1" applyBorder="1" applyAlignment="1">
      <alignment horizontal="center" vertical="center" wrapText="1"/>
    </xf>
    <xf numFmtId="0" fontId="0" fillId="0" borderId="0" xfId="0" applyNumberFormat="1" applyBorder="1" applyAlignment="1">
      <alignment horizontal="center" vertical="center" wrapText="1"/>
    </xf>
    <xf numFmtId="4" fontId="0" fillId="11" borderId="0" xfId="0" applyNumberFormat="1" applyFill="1" applyBorder="1" applyAlignment="1">
      <alignment horizontal="center" vertical="center" wrapText="1"/>
    </xf>
    <xf numFmtId="4" fontId="0" fillId="19" borderId="0" xfId="0" applyNumberFormat="1" applyFill="1" applyBorder="1" applyAlignment="1">
      <alignment horizontal="center" vertical="center" wrapText="1"/>
    </xf>
    <xf numFmtId="0" fontId="0" fillId="0" borderId="0" xfId="0" applyBorder="1" applyAlignment="1">
      <alignment horizontal="center" vertical="center" wrapText="1"/>
    </xf>
    <xf numFmtId="4" fontId="0" fillId="0" borderId="33" xfId="0" applyNumberFormat="1" applyBorder="1" applyAlignment="1">
      <alignment horizontal="center" vertical="center" wrapText="1"/>
    </xf>
    <xf numFmtId="0" fontId="0" fillId="0" borderId="32" xfId="0" applyFill="1" applyBorder="1" applyAlignment="1">
      <alignment horizontal="center" vertical="center" wrapText="1"/>
    </xf>
    <xf numFmtId="0" fontId="0" fillId="0" borderId="0" xfId="0" applyFill="1" applyBorder="1" applyAlignment="1">
      <alignment vertical="center" wrapText="1"/>
    </xf>
    <xf numFmtId="4" fontId="0" fillId="0" borderId="0" xfId="0" applyNumberFormat="1"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4" fontId="0" fillId="0" borderId="33" xfId="0" applyNumberFormat="1" applyFill="1" applyBorder="1" applyAlignment="1">
      <alignment horizontal="center" vertical="center" wrapText="1"/>
    </xf>
    <xf numFmtId="0" fontId="0" fillId="0" borderId="48" xfId="0" applyNumberFormat="1" applyBorder="1" applyAlignment="1">
      <alignment horizontal="center" vertical="center" wrapText="1"/>
    </xf>
    <xf numFmtId="4" fontId="0" fillId="16" borderId="13" xfId="0" applyNumberFormat="1" applyFill="1" applyBorder="1" applyAlignment="1">
      <alignment horizontal="center" vertical="center" wrapText="1"/>
    </xf>
    <xf numFmtId="4" fontId="0" fillId="16" borderId="12" xfId="0" applyNumberFormat="1" applyFill="1" applyBorder="1" applyAlignment="1">
      <alignment horizontal="center" vertical="center" wrapText="1"/>
    </xf>
    <xf numFmtId="0" fontId="0" fillId="16" borderId="13" xfId="0" applyNumberFormat="1" applyFill="1" applyBorder="1" applyAlignment="1">
      <alignment horizontal="center" vertical="center" wrapText="1"/>
    </xf>
    <xf numFmtId="0" fontId="0" fillId="16" borderId="12" xfId="0" applyNumberFormat="1" applyFill="1" applyBorder="1" applyAlignment="1">
      <alignment horizontal="center" vertical="center" wrapText="1"/>
    </xf>
    <xf numFmtId="4" fontId="0" fillId="0" borderId="40" xfId="0" applyNumberFormat="1" applyBorder="1" applyAlignment="1">
      <alignment horizontal="center" vertical="center" wrapText="1"/>
    </xf>
    <xf numFmtId="0" fontId="2" fillId="12" borderId="26"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4" fontId="0" fillId="12" borderId="49" xfId="0" applyNumberFormat="1" applyFill="1" applyBorder="1" applyAlignment="1">
      <alignment horizontal="center" vertical="center" wrapText="1"/>
    </xf>
    <xf numFmtId="4" fontId="2" fillId="12" borderId="49" xfId="0" applyNumberFormat="1" applyFont="1" applyFill="1" applyBorder="1" applyAlignment="1">
      <alignment horizontal="center" vertical="center" wrapText="1"/>
    </xf>
    <xf numFmtId="4" fontId="2" fillId="12" borderId="50" xfId="0" applyNumberFormat="1" applyFont="1" applyFill="1" applyBorder="1" applyAlignment="1">
      <alignment horizontal="center" vertical="center" wrapText="1"/>
    </xf>
    <xf numFmtId="4" fontId="0" fillId="12" borderId="16" xfId="0" applyNumberFormat="1" applyFill="1" applyBorder="1" applyAlignment="1">
      <alignment horizontal="center" vertical="center" wrapText="1"/>
    </xf>
    <xf numFmtId="4" fontId="0" fillId="12" borderId="26" xfId="0" applyNumberFormat="1" applyFill="1" applyBorder="1" applyAlignment="1">
      <alignment horizontal="center" vertical="center" wrapText="1"/>
    </xf>
    <xf numFmtId="0" fontId="0" fillId="8" borderId="3" xfId="0" applyNumberFormat="1" applyFill="1" applyBorder="1" applyAlignment="1">
      <alignment horizontal="center" vertical="center" wrapText="1"/>
    </xf>
    <xf numFmtId="0" fontId="0" fillId="8" borderId="4" xfId="0" applyNumberFormat="1" applyFill="1" applyBorder="1" applyAlignment="1">
      <alignment horizontal="center" vertical="center" wrapText="1"/>
    </xf>
    <xf numFmtId="0" fontId="0" fillId="8" borderId="5" xfId="0" applyNumberFormat="1" applyFill="1" applyBorder="1" applyAlignment="1">
      <alignment horizontal="center" vertical="center" wrapText="1"/>
    </xf>
    <xf numFmtId="0" fontId="0" fillId="8" borderId="1" xfId="0" applyNumberFormat="1" applyFill="1" applyBorder="1" applyAlignment="1">
      <alignment horizontal="center" vertical="center" wrapText="1"/>
    </xf>
    <xf numFmtId="0" fontId="0" fillId="8" borderId="7" xfId="0" applyNumberFormat="1" applyFill="1" applyBorder="1" applyAlignment="1">
      <alignment horizontal="center" vertical="center" wrapText="1"/>
    </xf>
    <xf numFmtId="0" fontId="0" fillId="8" borderId="8" xfId="0" applyNumberFormat="1" applyFill="1" applyBorder="1" applyAlignment="1">
      <alignment horizontal="center" vertical="center" wrapText="1"/>
    </xf>
    <xf numFmtId="4" fontId="0" fillId="20" borderId="4" xfId="0" applyNumberFormat="1" applyFill="1" applyBorder="1" applyAlignment="1">
      <alignment horizontal="center" vertical="center" wrapText="1"/>
    </xf>
    <xf numFmtId="4" fontId="0" fillId="20" borderId="1" xfId="0" applyNumberFormat="1" applyFill="1" applyBorder="1" applyAlignment="1">
      <alignment horizontal="center" vertical="center" wrapText="1"/>
    </xf>
    <xf numFmtId="4" fontId="0" fillId="20" borderId="8" xfId="0" applyNumberFormat="1" applyFill="1" applyBorder="1" applyAlignment="1">
      <alignment horizontal="center" vertical="center" wrapText="1"/>
    </xf>
    <xf numFmtId="4" fontId="0" fillId="4" borderId="4" xfId="0" applyNumberFormat="1" applyFill="1" applyBorder="1" applyAlignment="1">
      <alignment horizontal="center" vertical="center" wrapText="1"/>
    </xf>
    <xf numFmtId="4" fontId="0" fillId="3" borderId="4" xfId="0" applyNumberFormat="1" applyFill="1" applyBorder="1" applyAlignment="1">
      <alignment horizontal="center" vertical="center" wrapText="1"/>
    </xf>
    <xf numFmtId="4" fontId="0" fillId="3" borderId="29" xfId="0" applyNumberFormat="1" applyFill="1" applyBorder="1" applyAlignment="1">
      <alignment horizontal="center" vertical="center" wrapText="1"/>
    </xf>
    <xf numFmtId="0" fontId="0" fillId="7" borderId="3" xfId="0" applyNumberFormat="1" applyFill="1" applyBorder="1" applyAlignment="1">
      <alignment horizontal="center" vertical="center" wrapText="1"/>
    </xf>
    <xf numFmtId="0" fontId="0" fillId="7" borderId="5" xfId="0" applyNumberFormat="1" applyFill="1" applyBorder="1" applyAlignment="1">
      <alignment horizontal="center" vertical="center" wrapText="1"/>
    </xf>
    <xf numFmtId="4" fontId="0" fillId="20" borderId="13" xfId="0" applyNumberFormat="1" applyFill="1" applyBorder="1" applyAlignment="1">
      <alignment horizontal="center" vertical="center" wrapText="1"/>
    </xf>
    <xf numFmtId="4" fontId="0" fillId="20" borderId="12" xfId="0" applyNumberFormat="1" applyFill="1" applyBorder="1" applyAlignment="1">
      <alignment horizontal="center" vertical="center" wrapText="1"/>
    </xf>
    <xf numFmtId="4" fontId="0" fillId="20" borderId="14" xfId="0" applyNumberFormat="1" applyFill="1" applyBorder="1" applyAlignment="1">
      <alignment horizontal="center" vertical="center" wrapText="1"/>
    </xf>
    <xf numFmtId="4" fontId="0" fillId="22" borderId="29" xfId="0" applyNumberFormat="1" applyFill="1" applyBorder="1" applyAlignment="1">
      <alignment horizontal="center" vertical="center" wrapText="1"/>
    </xf>
    <xf numFmtId="4" fontId="0" fillId="22" borderId="6" xfId="0" applyNumberFormat="1" applyFill="1" applyBorder="1" applyAlignment="1">
      <alignment horizontal="center" vertical="center" wrapText="1"/>
    </xf>
    <xf numFmtId="0" fontId="0" fillId="22" borderId="13" xfId="0" applyNumberFormat="1" applyFill="1" applyBorder="1" applyAlignment="1">
      <alignment horizontal="center" vertical="center" wrapText="1"/>
    </xf>
    <xf numFmtId="0" fontId="0" fillId="22" borderId="12" xfId="0" applyNumberFormat="1" applyFill="1" applyBorder="1" applyAlignment="1">
      <alignment horizontal="center" vertical="center" wrapText="1"/>
    </xf>
    <xf numFmtId="4" fontId="0" fillId="22" borderId="13" xfId="0" applyNumberFormat="1" applyFill="1" applyBorder="1" applyAlignment="1">
      <alignment horizontal="center" vertical="center" wrapText="1"/>
    </xf>
    <xf numFmtId="4" fontId="0" fillId="22" borderId="12" xfId="0" applyNumberFormat="1" applyFill="1" applyBorder="1" applyAlignment="1">
      <alignment horizontal="center" vertical="center" wrapText="1"/>
    </xf>
    <xf numFmtId="4" fontId="0" fillId="0" borderId="3" xfId="0" applyNumberFormat="1" applyFill="1" applyBorder="1" applyAlignment="1">
      <alignment horizontal="center" vertical="center" wrapText="1"/>
    </xf>
    <xf numFmtId="4" fontId="0" fillId="21" borderId="3" xfId="0" applyNumberFormat="1" applyFill="1" applyBorder="1" applyAlignment="1">
      <alignment horizontal="center" vertical="center" wrapText="1"/>
    </xf>
    <xf numFmtId="4" fontId="0" fillId="21" borderId="5" xfId="0" applyNumberFormat="1" applyFill="1" applyBorder="1" applyAlignment="1">
      <alignment horizontal="center" vertical="center" wrapText="1"/>
    </xf>
    <xf numFmtId="4" fontId="0" fillId="21" borderId="7" xfId="0" applyNumberFormat="1" applyFill="1" applyBorder="1" applyAlignment="1">
      <alignment horizontal="center" vertical="center" wrapText="1"/>
    </xf>
    <xf numFmtId="4" fontId="0" fillId="0" borderId="9"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21" borderId="5" xfId="0" applyNumberFormat="1" applyFill="1" applyBorder="1" applyAlignment="1">
      <alignment horizontal="center" vertical="center" wrapText="1"/>
    </xf>
    <xf numFmtId="0" fontId="0" fillId="21" borderId="40" xfId="0" applyNumberFormat="1" applyFill="1" applyBorder="1" applyAlignment="1">
      <alignment horizontal="center" vertical="center" wrapText="1"/>
    </xf>
    <xf numFmtId="0" fontId="0" fillId="0" borderId="48" xfId="0" applyNumberFormat="1" applyFill="1" applyBorder="1" applyAlignment="1">
      <alignment horizontal="center" vertical="center" wrapText="1"/>
    </xf>
    <xf numFmtId="4" fontId="2" fillId="12" borderId="16" xfId="0" applyNumberFormat="1" applyFont="1" applyFill="1" applyBorder="1" applyAlignment="1">
      <alignment horizontal="center" vertical="center" wrapText="1"/>
    </xf>
    <xf numFmtId="4" fontId="2" fillId="12" borderId="18" xfId="0" applyNumberFormat="1" applyFont="1" applyFill="1" applyBorder="1" applyAlignment="1">
      <alignment horizontal="center" vertical="center" wrapText="1"/>
    </xf>
    <xf numFmtId="4" fontId="0" fillId="0" borderId="14" xfId="0" applyNumberFormat="1" applyFill="1" applyBorder="1" applyAlignment="1">
      <alignment horizontal="center" vertical="center" wrapText="1"/>
    </xf>
    <xf numFmtId="0" fontId="0" fillId="21" borderId="4" xfId="0" applyNumberFormat="1" applyFill="1" applyBorder="1" applyAlignment="1">
      <alignment horizontal="center" vertical="center" wrapText="1"/>
    </xf>
    <xf numFmtId="0" fontId="0" fillId="21" borderId="1"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4" fontId="0" fillId="0" borderId="7" xfId="0" applyNumberFormat="1" applyFill="1" applyBorder="1" applyAlignment="1">
      <alignment horizontal="center" vertical="center" wrapText="1"/>
    </xf>
    <xf numFmtId="0" fontId="0" fillId="18" borderId="3" xfId="0" applyNumberFormat="1" applyFill="1" applyBorder="1" applyAlignment="1">
      <alignment horizontal="center" vertical="center" wrapText="1"/>
    </xf>
    <xf numFmtId="0" fontId="0" fillId="18" borderId="5" xfId="0" applyNumberFormat="1" applyFill="1" applyBorder="1" applyAlignment="1">
      <alignment horizontal="center" vertical="center" wrapText="1"/>
    </xf>
    <xf numFmtId="0" fontId="0" fillId="18" borderId="7" xfId="0" applyNumberFormat="1" applyFill="1" applyBorder="1" applyAlignment="1">
      <alignment horizontal="center" vertical="center" wrapText="1"/>
    </xf>
    <xf numFmtId="0" fontId="0" fillId="21" borderId="44" xfId="0" applyNumberFormat="1" applyFill="1" applyBorder="1" applyAlignment="1">
      <alignment horizontal="center" vertical="center" wrapText="1"/>
    </xf>
    <xf numFmtId="4" fontId="0" fillId="12" borderId="34" xfId="0" applyNumberFormat="1" applyFill="1" applyBorder="1" applyAlignment="1">
      <alignment horizontal="center" vertical="center" wrapText="1"/>
    </xf>
    <xf numFmtId="4" fontId="0" fillId="0" borderId="41" xfId="0" applyNumberFormat="1" applyBorder="1" applyAlignment="1">
      <alignment horizontal="center" vertical="center" wrapText="1"/>
    </xf>
    <xf numFmtId="4" fontId="2" fillId="12" borderId="34" xfId="0" applyNumberFormat="1" applyFont="1" applyFill="1" applyBorder="1" applyAlignment="1">
      <alignment horizontal="center" vertical="center" wrapText="1"/>
    </xf>
    <xf numFmtId="0" fontId="0" fillId="0" borderId="17" xfId="0" applyBorder="1" applyAlignment="1">
      <alignment horizontal="center"/>
    </xf>
    <xf numFmtId="4" fontId="0" fillId="0" borderId="51" xfId="0" applyNumberFormat="1" applyBorder="1" applyAlignment="1">
      <alignment horizontal="center" vertical="center" wrapText="1"/>
    </xf>
    <xf numFmtId="4" fontId="0" fillId="0" borderId="47" xfId="0" applyNumberFormat="1" applyBorder="1" applyAlignment="1">
      <alignment horizontal="center" vertical="center" wrapText="1"/>
    </xf>
    <xf numFmtId="4" fontId="0" fillId="0" borderId="52" xfId="0" applyNumberFormat="1" applyBorder="1" applyAlignment="1">
      <alignment horizontal="center" vertical="center" wrapText="1"/>
    </xf>
    <xf numFmtId="4" fontId="2" fillId="12" borderId="0" xfId="0" applyNumberFormat="1" applyFont="1" applyFill="1" applyBorder="1" applyAlignment="1">
      <alignment horizontal="center" vertical="center" wrapText="1"/>
    </xf>
    <xf numFmtId="0" fontId="0" fillId="23" borderId="1" xfId="0" applyNumberFormat="1" applyFill="1" applyBorder="1" applyAlignment="1">
      <alignment horizontal="center" vertical="center" wrapText="1"/>
    </xf>
    <xf numFmtId="4" fontId="0" fillId="24" borderId="1" xfId="0" applyNumberForma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4" fontId="0" fillId="23" borderId="1" xfId="0" applyNumberFormat="1" applyFill="1" applyBorder="1" applyAlignment="1">
      <alignment horizontal="center" vertical="center" wrapText="1"/>
    </xf>
    <xf numFmtId="0" fontId="0" fillId="0" borderId="0" xfId="0" applyBorder="1" applyAlignment="1">
      <alignment horizontal="center"/>
    </xf>
    <xf numFmtId="4" fontId="0" fillId="0" borderId="53" xfId="0" applyNumberFormat="1" applyBorder="1" applyAlignment="1">
      <alignment horizontal="center" vertical="center" wrapText="1"/>
    </xf>
    <xf numFmtId="0" fontId="0" fillId="0" borderId="11" xfId="0" applyBorder="1"/>
    <xf numFmtId="0" fontId="0" fillId="0" borderId="17" xfId="0" applyFill="1" applyBorder="1" applyAlignment="1">
      <alignment horizontal="center" vertical="center" wrapText="1"/>
    </xf>
    <xf numFmtId="4" fontId="0" fillId="0" borderId="47" xfId="0" applyNumberFormat="1" applyFill="1" applyBorder="1" applyAlignment="1">
      <alignment horizontal="center" vertical="center" wrapText="1"/>
    </xf>
    <xf numFmtId="4" fontId="0" fillId="25" borderId="0" xfId="0" applyNumberFormat="1" applyFill="1" applyBorder="1" applyAlignment="1">
      <alignment horizontal="center" vertical="center" wrapText="1"/>
    </xf>
    <xf numFmtId="4" fontId="0" fillId="25" borderId="16" xfId="0" applyNumberFormat="1" applyFill="1" applyBorder="1" applyAlignment="1">
      <alignment horizontal="center" vertical="center" wrapText="1"/>
    </xf>
    <xf numFmtId="4" fontId="0" fillId="25" borderId="26" xfId="0" applyNumberFormat="1" applyFill="1" applyBorder="1" applyAlignment="1">
      <alignment horizontal="center" vertical="center" wrapText="1"/>
    </xf>
    <xf numFmtId="4" fontId="2" fillId="26" borderId="1" xfId="0" applyNumberFormat="1" applyFont="1" applyFill="1" applyBorder="1"/>
    <xf numFmtId="4" fontId="0" fillId="6" borderId="1" xfId="0" applyNumberFormat="1" applyFill="1" applyBorder="1" applyAlignment="1">
      <alignment horizontal="center" vertical="center" wrapText="1"/>
    </xf>
    <xf numFmtId="0" fontId="0" fillId="0" borderId="1" xfId="0" applyFill="1" applyBorder="1"/>
    <xf numFmtId="0" fontId="0" fillId="10" borderId="1" xfId="0" applyFill="1" applyBorder="1" applyAlignment="1">
      <alignment horizontal="center" vertical="center" wrapText="1"/>
    </xf>
    <xf numFmtId="0" fontId="0" fillId="28" borderId="0" xfId="0" applyFill="1"/>
    <xf numFmtId="0" fontId="0" fillId="29" borderId="1" xfId="0" applyFill="1" applyBorder="1" applyAlignment="1">
      <alignment horizontal="center" vertical="center" wrapText="1"/>
    </xf>
    <xf numFmtId="0" fontId="0" fillId="28" borderId="36" xfId="0" applyFill="1" applyBorder="1" applyAlignment="1">
      <alignment vertical="center" wrapText="1"/>
    </xf>
    <xf numFmtId="0" fontId="0" fillId="28" borderId="38" xfId="0" applyFill="1" applyBorder="1" applyAlignment="1">
      <alignment vertical="center" wrapText="1"/>
    </xf>
    <xf numFmtId="0" fontId="0" fillId="28" borderId="35" xfId="0" applyFill="1" applyBorder="1" applyAlignment="1">
      <alignment vertical="center" wrapText="1"/>
    </xf>
    <xf numFmtId="4" fontId="0" fillId="29" borderId="5" xfId="0" applyNumberFormat="1" applyFill="1" applyBorder="1" applyAlignment="1">
      <alignment horizontal="center" vertical="center" wrapText="1"/>
    </xf>
    <xf numFmtId="4" fontId="0" fillId="29" borderId="1" xfId="0" applyNumberFormat="1" applyFill="1" applyBorder="1" applyAlignment="1">
      <alignment horizontal="center" vertical="center" wrapText="1"/>
    </xf>
    <xf numFmtId="4" fontId="0" fillId="29" borderId="6" xfId="0" applyNumberFormat="1" applyFill="1" applyBorder="1" applyAlignment="1">
      <alignment horizontal="center" vertical="center" wrapText="1"/>
    </xf>
    <xf numFmtId="0" fontId="0" fillId="29" borderId="5" xfId="0" applyNumberFormat="1" applyFill="1" applyBorder="1" applyAlignment="1">
      <alignment horizontal="center" vertical="center" wrapText="1"/>
    </xf>
    <xf numFmtId="0" fontId="0" fillId="29" borderId="1" xfId="0" applyNumberFormat="1" applyFill="1" applyBorder="1" applyAlignment="1">
      <alignment horizontal="center" vertical="center" wrapText="1"/>
    </xf>
    <xf numFmtId="0" fontId="0" fillId="29" borderId="6" xfId="0" applyNumberFormat="1" applyFill="1" applyBorder="1" applyAlignment="1">
      <alignment horizontal="center" vertical="center" wrapText="1"/>
    </xf>
    <xf numFmtId="4" fontId="0" fillId="29" borderId="7" xfId="0" applyNumberFormat="1" applyFill="1" applyBorder="1" applyAlignment="1">
      <alignment horizontal="center" vertical="center" wrapText="1"/>
    </xf>
    <xf numFmtId="4" fontId="0" fillId="29" borderId="8" xfId="0" applyNumberFormat="1" applyFill="1" applyBorder="1" applyAlignment="1">
      <alignment horizontal="center" vertical="center" wrapText="1"/>
    </xf>
    <xf numFmtId="4" fontId="0" fillId="29" borderId="9" xfId="0" applyNumberFormat="1" applyFill="1" applyBorder="1" applyAlignment="1">
      <alignment horizontal="center" vertical="center" wrapText="1"/>
    </xf>
    <xf numFmtId="0" fontId="0" fillId="29" borderId="7" xfId="0" applyNumberFormat="1" applyFill="1" applyBorder="1" applyAlignment="1">
      <alignment horizontal="center" vertical="center" wrapText="1"/>
    </xf>
    <xf numFmtId="0" fontId="0" fillId="29" borderId="8" xfId="0" applyNumberFormat="1" applyFill="1" applyBorder="1" applyAlignment="1">
      <alignment horizontal="center" vertical="center" wrapText="1"/>
    </xf>
    <xf numFmtId="0" fontId="0" fillId="29" borderId="9" xfId="0" applyNumberFormat="1" applyFill="1" applyBorder="1" applyAlignment="1">
      <alignment horizontal="center" vertical="center" wrapText="1"/>
    </xf>
    <xf numFmtId="4" fontId="0" fillId="29" borderId="2" xfId="0" applyNumberFormat="1" applyFill="1" applyBorder="1" applyAlignment="1">
      <alignment horizontal="center" vertical="center" wrapText="1"/>
    </xf>
    <xf numFmtId="4" fontId="0" fillId="29" borderId="12" xfId="0" applyNumberFormat="1" applyFill="1" applyBorder="1" applyAlignment="1">
      <alignment horizontal="center" vertical="center" wrapText="1"/>
    </xf>
    <xf numFmtId="0" fontId="0" fillId="28"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 fontId="0" fillId="28" borderId="1" xfId="0" applyNumberFormat="1" applyFill="1" applyBorder="1" applyAlignment="1">
      <alignment horizontal="center" vertical="center" wrapText="1"/>
    </xf>
    <xf numFmtId="0" fontId="0" fillId="28" borderId="1" xfId="0" applyNumberForma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vertical="center" wrapText="1"/>
    </xf>
    <xf numFmtId="0" fontId="0" fillId="28" borderId="1" xfId="0" applyFill="1" applyBorder="1" applyAlignment="1">
      <alignment vertical="center" wrapText="1"/>
    </xf>
    <xf numFmtId="0" fontId="0" fillId="0" borderId="0" xfId="0" applyFill="1" applyBorder="1"/>
    <xf numFmtId="0" fontId="0" fillId="0" borderId="1" xfId="0" applyBorder="1" applyAlignment="1">
      <alignment horizontal="left" vertical="center" wrapText="1"/>
    </xf>
    <xf numFmtId="4" fontId="0" fillId="29" borderId="0" xfId="0" applyNumberFormat="1" applyFill="1" applyBorder="1" applyAlignment="1">
      <alignment horizontal="center" vertical="center" wrapText="1"/>
    </xf>
    <xf numFmtId="0" fontId="0" fillId="28" borderId="1" xfId="0" applyFill="1" applyBorder="1"/>
    <xf numFmtId="4" fontId="2" fillId="0" borderId="0" xfId="0" applyNumberFormat="1" applyFont="1" applyFill="1" applyBorder="1"/>
    <xf numFmtId="0" fontId="0" fillId="0" borderId="0" xfId="0" applyFill="1" applyBorder="1" applyAlignment="1">
      <alignment horizontal="left" vertical="center" wrapText="1"/>
    </xf>
    <xf numFmtId="0" fontId="0" fillId="0" borderId="0" xfId="0" applyFill="1" applyBorder="1" applyAlignment="1"/>
    <xf numFmtId="0" fontId="0" fillId="31" borderId="1" xfId="0" applyFill="1" applyBorder="1" applyAlignment="1">
      <alignment horizontal="center" vertical="center" wrapText="1"/>
    </xf>
    <xf numFmtId="0" fontId="0" fillId="31" borderId="1" xfId="0" applyFill="1" applyBorder="1" applyAlignment="1">
      <alignment horizontal="left" vertical="center" wrapText="1"/>
    </xf>
    <xf numFmtId="4" fontId="0" fillId="31" borderId="1" xfId="0" applyNumberFormat="1" applyFill="1" applyBorder="1" applyAlignment="1">
      <alignment horizontal="center" vertical="center" wrapText="1"/>
    </xf>
    <xf numFmtId="0" fontId="0" fillId="31" borderId="1" xfId="0" applyNumberFormat="1" applyFill="1" applyBorder="1" applyAlignment="1">
      <alignment horizontal="center" vertical="center" wrapText="1"/>
    </xf>
    <xf numFmtId="0" fontId="0" fillId="29" borderId="1" xfId="0" applyFill="1" applyBorder="1" applyAlignment="1">
      <alignment horizontal="left" vertical="center" wrapText="1"/>
    </xf>
    <xf numFmtId="0" fontId="0" fillId="10" borderId="1" xfId="0" applyFill="1" applyBorder="1"/>
    <xf numFmtId="4" fontId="0" fillId="10" borderId="1" xfId="0" applyNumberFormat="1" applyFill="1" applyBorder="1" applyAlignment="1">
      <alignment horizontal="center" vertical="center" wrapText="1"/>
    </xf>
    <xf numFmtId="0" fontId="0" fillId="10" borderId="1" xfId="0" applyNumberFormat="1" applyFill="1" applyBorder="1" applyAlignment="1">
      <alignment horizontal="center" vertical="center" wrapText="1"/>
    </xf>
    <xf numFmtId="4" fontId="0" fillId="10" borderId="0" xfId="0" applyNumberFormat="1" applyFill="1" applyBorder="1" applyAlignment="1">
      <alignment horizontal="center" vertical="center" wrapText="1"/>
    </xf>
    <xf numFmtId="0" fontId="0" fillId="10" borderId="0" xfId="0" applyNumberFormat="1" applyFill="1" applyBorder="1" applyAlignment="1">
      <alignment horizontal="center" vertical="center" wrapText="1"/>
    </xf>
    <xf numFmtId="0" fontId="0" fillId="10" borderId="0" xfId="0" applyFill="1" applyBorder="1" applyAlignment="1"/>
    <xf numFmtId="0" fontId="0" fillId="29" borderId="0" xfId="0" applyNumberFormat="1" applyFill="1" applyBorder="1" applyAlignment="1">
      <alignment horizontal="center" vertical="center" wrapText="1"/>
    </xf>
    <xf numFmtId="0" fontId="0" fillId="29" borderId="0" xfId="0" applyFill="1" applyBorder="1" applyAlignment="1">
      <alignment horizontal="left" vertical="center" wrapText="1"/>
    </xf>
    <xf numFmtId="4" fontId="0" fillId="31" borderId="0" xfId="0" applyNumberFormat="1" applyFill="1" applyBorder="1" applyAlignment="1">
      <alignment horizontal="center" vertical="center" wrapText="1"/>
    </xf>
    <xf numFmtId="0" fontId="0" fillId="31" borderId="0" xfId="0" applyNumberFormat="1" applyFill="1" applyBorder="1" applyAlignment="1">
      <alignment horizontal="center" vertical="center" wrapText="1"/>
    </xf>
    <xf numFmtId="0" fontId="0" fillId="31" borderId="0" xfId="0" applyFill="1" applyBorder="1" applyAlignment="1">
      <alignment horizontal="center" vertical="center" wrapText="1"/>
    </xf>
    <xf numFmtId="0" fontId="0" fillId="31" borderId="0" xfId="0" applyFill="1" applyBorder="1" applyAlignment="1">
      <alignment horizontal="left" vertical="center" wrapText="1"/>
    </xf>
    <xf numFmtId="0" fontId="2"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30" borderId="1" xfId="0" applyFill="1" applyBorder="1" applyAlignment="1">
      <alignment vertical="center" wrapText="1"/>
    </xf>
    <xf numFmtId="4" fontId="0" fillId="30" borderId="1" xfId="0" applyNumberFormat="1" applyFill="1" applyBorder="1" applyAlignment="1">
      <alignment horizontal="center" vertical="center" wrapText="1"/>
    </xf>
    <xf numFmtId="4" fontId="0" fillId="30" borderId="1"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center" vertical="center" wrapText="1"/>
    </xf>
    <xf numFmtId="0" fontId="0" fillId="29" borderId="0" xfId="0" applyFill="1" applyBorder="1" applyAlignment="1">
      <alignment horizontal="center" vertical="center" wrapText="1"/>
    </xf>
    <xf numFmtId="0" fontId="0" fillId="29" borderId="0" xfId="0" applyFill="1" applyBorder="1"/>
    <xf numFmtId="0" fontId="0" fillId="31" borderId="0" xfId="0" applyFill="1" applyBorder="1"/>
    <xf numFmtId="4" fontId="0" fillId="28" borderId="1" xfId="0" applyNumberFormat="1" applyFont="1" applyFill="1" applyBorder="1" applyAlignment="1">
      <alignment horizontal="center" vertical="center" wrapText="1"/>
    </xf>
    <xf numFmtId="0" fontId="0" fillId="6" borderId="0" xfId="0" applyNumberFormat="1" applyFill="1" applyBorder="1" applyAlignment="1">
      <alignment horizontal="center" vertical="center" wrapText="1"/>
    </xf>
    <xf numFmtId="0" fontId="0" fillId="10" borderId="0" xfId="0" applyFill="1" applyBorder="1" applyAlignment="1">
      <alignment horizontal="center" vertical="center" wrapText="1"/>
    </xf>
    <xf numFmtId="0" fontId="0" fillId="10" borderId="0" xfId="0" applyFill="1" applyBorder="1"/>
    <xf numFmtId="3" fontId="0" fillId="10" borderId="1" xfId="0" applyNumberFormat="1" applyFill="1" applyBorder="1" applyAlignment="1">
      <alignment horizontal="center" vertical="center" wrapText="1"/>
    </xf>
    <xf numFmtId="4" fontId="0" fillId="26" borderId="1" xfId="0" applyNumberFormat="1" applyFill="1" applyBorder="1" applyAlignment="1">
      <alignment horizontal="center" vertical="center"/>
    </xf>
    <xf numFmtId="4" fontId="2" fillId="26" borderId="1" xfId="0" applyNumberFormat="1" applyFont="1" applyFill="1" applyBorder="1" applyAlignment="1">
      <alignment horizontal="center" vertical="center"/>
    </xf>
    <xf numFmtId="0" fontId="0" fillId="0" borderId="47" xfId="0" applyBorder="1" applyAlignment="1"/>
    <xf numFmtId="0" fontId="0" fillId="0" borderId="1" xfId="0" applyBorder="1" applyAlignment="1">
      <alignment horizontal="center" vertical="center" wrapText="1"/>
    </xf>
    <xf numFmtId="0" fontId="0" fillId="31" borderId="2" xfId="0" applyFill="1" applyBorder="1" applyAlignment="1">
      <alignment horizontal="center" vertical="center" wrapText="1"/>
    </xf>
    <xf numFmtId="0" fontId="0" fillId="10" borderId="47" xfId="0" applyFill="1" applyBorder="1" applyAlignment="1">
      <alignment horizontal="center" vertical="center" wrapText="1"/>
    </xf>
    <xf numFmtId="0" fontId="0" fillId="31" borderId="12" xfId="0" applyFill="1" applyBorder="1" applyAlignment="1">
      <alignment horizontal="center"/>
    </xf>
    <xf numFmtId="0" fontId="0" fillId="29" borderId="12" xfId="0" applyFill="1" applyBorder="1" applyAlignment="1">
      <alignment horizontal="center"/>
    </xf>
    <xf numFmtId="4" fontId="2" fillId="27" borderId="1" xfId="0" applyNumberFormat="1" applyFont="1" applyFill="1" applyBorder="1" applyAlignment="1">
      <alignment horizontal="center" vertical="center"/>
    </xf>
    <xf numFmtId="4" fontId="0" fillId="27" borderId="1" xfId="0" applyNumberFormat="1" applyFill="1" applyBorder="1" applyAlignment="1">
      <alignment horizontal="center" vertical="center"/>
    </xf>
    <xf numFmtId="0" fontId="0" fillId="30" borderId="1" xfId="0" applyFill="1" applyBorder="1" applyAlignment="1">
      <alignment horizontal="center" vertical="center"/>
    </xf>
    <xf numFmtId="166" fontId="0" fillId="30" borderId="1" xfId="0" applyNumberFormat="1" applyFill="1" applyBorder="1" applyAlignment="1">
      <alignment horizontal="center" vertical="center"/>
    </xf>
    <xf numFmtId="0" fontId="7" fillId="0" borderId="0" xfId="0" applyFont="1" applyFill="1"/>
    <xf numFmtId="0" fontId="7" fillId="0" borderId="13" xfId="0" applyFont="1" applyFill="1" applyBorder="1" applyAlignment="1">
      <alignment horizontal="center" vertical="center" wrapText="1"/>
    </xf>
    <xf numFmtId="0" fontId="0" fillId="32" borderId="0" xfId="0" applyFill="1"/>
    <xf numFmtId="0" fontId="0" fillId="0" borderId="0" xfId="0" applyFill="1" applyAlignment="1">
      <alignment horizontal="center" vertical="center"/>
    </xf>
    <xf numFmtId="0" fontId="0" fillId="0" borderId="54" xfId="0" applyFill="1" applyBorder="1" applyAlignment="1">
      <alignment horizontal="center" vertical="center" wrapText="1"/>
    </xf>
    <xf numFmtId="49" fontId="0" fillId="0" borderId="0" xfId="0" applyNumberFormat="1" applyFill="1"/>
    <xf numFmtId="49" fontId="0" fillId="0" borderId="3" xfId="0" applyNumberFormat="1" applyFill="1" applyBorder="1" applyAlignment="1">
      <alignment horizontal="center" vertical="center" wrapText="1"/>
    </xf>
    <xf numFmtId="0" fontId="12" fillId="33" borderId="55" xfId="7" applyFont="1" applyFill="1" applyBorder="1" applyAlignment="1" applyProtection="1">
      <alignment vertical="center" wrapText="1"/>
    </xf>
    <xf numFmtId="0" fontId="12" fillId="33" borderId="0" xfId="7" applyFont="1" applyFill="1" applyBorder="1" applyAlignment="1" applyProtection="1">
      <alignment vertical="center" wrapText="1"/>
    </xf>
    <xf numFmtId="0" fontId="12" fillId="33" borderId="55" xfId="9" applyNumberFormat="1" applyFont="1" applyFill="1" applyBorder="1" applyAlignment="1" applyProtection="1">
      <alignment horizontal="center" wrapText="1"/>
    </xf>
    <xf numFmtId="14" fontId="12" fillId="33" borderId="1" xfId="9" applyNumberFormat="1" applyFont="1" applyFill="1" applyBorder="1" applyAlignment="1" applyProtection="1">
      <alignment horizontal="center" vertical="center" wrapText="1"/>
    </xf>
    <xf numFmtId="49" fontId="12" fillId="33" borderId="1" xfId="9" applyNumberFormat="1" applyFont="1" applyFill="1" applyBorder="1" applyAlignment="1" applyProtection="1">
      <alignment horizontal="center" vertical="center" wrapText="1"/>
    </xf>
    <xf numFmtId="0" fontId="12" fillId="0" borderId="1" xfId="9" applyNumberFormat="1" applyFont="1" applyFill="1" applyBorder="1" applyAlignment="1" applyProtection="1">
      <alignment horizontal="center" vertical="center" wrapText="1"/>
    </xf>
    <xf numFmtId="0" fontId="14" fillId="33" borderId="1" xfId="8" applyFont="1" applyFill="1" applyBorder="1" applyAlignment="1" applyProtection="1">
      <alignment horizontal="center" vertical="center" wrapText="1"/>
    </xf>
    <xf numFmtId="0" fontId="12" fillId="33" borderId="1" xfId="7" applyFont="1" applyFill="1" applyBorder="1" applyAlignment="1" applyProtection="1">
      <alignment vertical="center" wrapText="1"/>
    </xf>
    <xf numFmtId="0" fontId="12" fillId="0" borderId="55" xfId="7" applyFont="1" applyFill="1" applyBorder="1" applyAlignment="1" applyProtection="1">
      <alignment vertical="center" wrapText="1"/>
    </xf>
    <xf numFmtId="0" fontId="12" fillId="0" borderId="0" xfId="7" applyFont="1" applyFill="1" applyBorder="1" applyAlignment="1" applyProtection="1">
      <alignment vertical="center" wrapText="1"/>
    </xf>
    <xf numFmtId="0" fontId="12" fillId="0" borderId="0" xfId="9" applyNumberFormat="1" applyFont="1" applyFill="1" applyBorder="1" applyAlignment="1" applyProtection="1">
      <alignment horizontal="center" vertical="center" wrapText="1"/>
    </xf>
    <xf numFmtId="0" fontId="14" fillId="0" borderId="0" xfId="9" applyNumberFormat="1" applyFont="1" applyFill="1" applyBorder="1" applyAlignment="1" applyProtection="1">
      <alignment horizontal="center" vertical="center" wrapText="1"/>
    </xf>
    <xf numFmtId="0" fontId="14" fillId="0" borderId="0" xfId="8" applyFont="1" applyFill="1" applyBorder="1" applyAlignment="1" applyProtection="1">
      <alignment horizontal="right" vertical="center" wrapText="1" indent="1"/>
    </xf>
    <xf numFmtId="49" fontId="12" fillId="0" borderId="0" xfId="9" applyNumberFormat="1" applyFont="1" applyFill="1" applyBorder="1" applyAlignment="1" applyProtection="1">
      <alignment horizontal="center" vertical="center" wrapText="1"/>
    </xf>
    <xf numFmtId="0" fontId="16" fillId="0" borderId="0" xfId="9" applyNumberFormat="1" applyFont="1" applyFill="1" applyBorder="1" applyAlignment="1" applyProtection="1">
      <alignment horizontal="center" vertical="center" wrapText="1"/>
    </xf>
    <xf numFmtId="49" fontId="14" fillId="0" borderId="0" xfId="8" applyNumberFormat="1" applyFont="1" applyFill="1" applyBorder="1" applyAlignment="1" applyProtection="1">
      <alignment horizontal="right" vertical="center" wrapText="1" indent="1"/>
    </xf>
    <xf numFmtId="0" fontId="11" fillId="0" borderId="0" xfId="0" applyFont="1"/>
    <xf numFmtId="0" fontId="0" fillId="0" borderId="44" xfId="0" applyBorder="1"/>
    <xf numFmtId="0" fontId="7" fillId="0" borderId="1" xfId="0" applyFont="1" applyFill="1" applyBorder="1" applyAlignment="1">
      <alignment horizontal="center" vertical="center" wrapText="1"/>
    </xf>
    <xf numFmtId="49" fontId="14" fillId="22" borderId="1" xfId="8" applyNumberFormat="1" applyFont="1" applyFill="1" applyBorder="1" applyAlignment="1" applyProtection="1">
      <alignment horizontal="center" vertical="center" wrapText="1"/>
      <protection locked="0"/>
    </xf>
    <xf numFmtId="0" fontId="0" fillId="0" borderId="54" xfId="0" applyFill="1" applyBorder="1" applyAlignment="1">
      <alignment horizontal="center" vertical="top" wrapText="1"/>
    </xf>
    <xf numFmtId="0" fontId="0" fillId="0" borderId="54" xfId="0" applyFill="1" applyBorder="1" applyAlignment="1">
      <alignment horizontal="center" wrapText="1"/>
    </xf>
    <xf numFmtId="3"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167" fontId="20" fillId="0" borderId="1" xfId="11"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2" fontId="0" fillId="20" borderId="1" xfId="0" applyNumberFormat="1" applyFill="1" applyBorder="1" applyAlignment="1">
      <alignment horizontal="center" vertical="center" wrapText="1"/>
    </xf>
    <xf numFmtId="167" fontId="20" fillId="0" borderId="1" xfId="11"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2" fontId="18"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49" fontId="0" fillId="20" borderId="1" xfId="0" applyNumberFormat="1" applyFill="1" applyBorder="1" applyAlignment="1">
      <alignment vertical="center"/>
    </xf>
    <xf numFmtId="49" fontId="7" fillId="20" borderId="1" xfId="0" applyNumberFormat="1" applyFont="1" applyFill="1" applyBorder="1" applyAlignment="1">
      <alignment vertical="center"/>
    </xf>
    <xf numFmtId="0" fontId="7" fillId="20" borderId="1" xfId="0" applyFont="1" applyFill="1" applyBorder="1" applyAlignment="1">
      <alignment horizontal="center" vertical="center"/>
    </xf>
    <xf numFmtId="0" fontId="0" fillId="20" borderId="1" xfId="0" applyFill="1" applyBorder="1" applyAlignment="1">
      <alignment vertical="center"/>
    </xf>
    <xf numFmtId="0" fontId="0" fillId="0" borderId="0" xfId="0" applyFill="1" applyAlignment="1">
      <alignment vertical="center"/>
    </xf>
    <xf numFmtId="49" fontId="0" fillId="0" borderId="1" xfId="0" applyNumberFormat="1" applyFill="1" applyBorder="1" applyAlignment="1">
      <alignment vertical="center"/>
    </xf>
    <xf numFmtId="0" fontId="7" fillId="0" borderId="1" xfId="0"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49" fontId="20" fillId="0" borderId="1" xfId="0" applyNumberFormat="1" applyFont="1" applyFill="1" applyBorder="1" applyAlignment="1">
      <alignment horizontal="left" vertical="center" wrapText="1"/>
    </xf>
    <xf numFmtId="2" fontId="0" fillId="0" borderId="1" xfId="0" applyNumberFormat="1" applyFill="1" applyBorder="1" applyAlignment="1">
      <alignment horizontal="center" vertical="center"/>
    </xf>
    <xf numFmtId="0" fontId="27"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 fontId="21" fillId="0" borderId="1" xfId="3" applyNumberFormat="1" applyFont="1" applyFill="1" applyBorder="1" applyAlignment="1">
      <alignment horizontal="center" vertical="center" wrapText="1"/>
    </xf>
    <xf numFmtId="166" fontId="7" fillId="0" borderId="1" xfId="0" applyNumberFormat="1" applyFont="1" applyFill="1" applyBorder="1" applyAlignment="1">
      <alignment horizontal="right" vertical="center"/>
    </xf>
    <xf numFmtId="0" fontId="0" fillId="0" borderId="40" xfId="0" applyNumberForma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0" borderId="0" xfId="0" applyFont="1" applyFill="1" applyAlignment="1">
      <alignment horizontal="center" vertical="center"/>
    </xf>
    <xf numFmtId="166" fontId="25" fillId="20" borderId="1" xfId="0" applyNumberFormat="1" applyFont="1" applyFill="1" applyBorder="1" applyAlignment="1">
      <alignment vertical="center"/>
    </xf>
    <xf numFmtId="166" fontId="25" fillId="0" borderId="1" xfId="0" applyNumberFormat="1" applyFont="1" applyFill="1" applyBorder="1" applyAlignment="1">
      <alignment vertical="center"/>
    </xf>
    <xf numFmtId="166" fontId="0" fillId="20" borderId="1" xfId="0" applyNumberFormat="1" applyFill="1" applyBorder="1" applyAlignment="1">
      <alignment horizontal="right" vertical="center" wrapText="1"/>
    </xf>
    <xf numFmtId="166" fontId="0" fillId="0" borderId="1" xfId="0" applyNumberFormat="1" applyFill="1" applyBorder="1" applyAlignment="1">
      <alignment horizontal="right" vertical="center"/>
    </xf>
    <xf numFmtId="166" fontId="21" fillId="0" borderId="1" xfId="0" applyNumberFormat="1" applyFont="1" applyFill="1" applyBorder="1" applyAlignment="1">
      <alignment horizontal="right" vertical="center" wrapText="1"/>
    </xf>
    <xf numFmtId="166" fontId="18" fillId="0" borderId="1" xfId="0" applyNumberFormat="1" applyFont="1" applyFill="1" applyBorder="1" applyAlignment="1">
      <alignment horizontal="right" vertical="center" wrapText="1"/>
    </xf>
    <xf numFmtId="166" fontId="26" fillId="0" borderId="1" xfId="0" applyNumberFormat="1" applyFont="1" applyFill="1" applyBorder="1" applyAlignment="1">
      <alignment horizontal="right" vertical="center"/>
    </xf>
    <xf numFmtId="49" fontId="25" fillId="0" borderId="1" xfId="0" applyNumberFormat="1" applyFont="1" applyFill="1" applyBorder="1" applyAlignment="1">
      <alignment horizontal="left" vertical="center" wrapText="1"/>
    </xf>
    <xf numFmtId="166" fontId="1"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166" fontId="24" fillId="0" borderId="1" xfId="10" applyNumberFormat="1" applyFont="1" applyFill="1" applyBorder="1" applyAlignment="1">
      <alignment horizontal="right" vertical="center"/>
    </xf>
    <xf numFmtId="166" fontId="0" fillId="20" borderId="1" xfId="0" applyNumberFormat="1" applyFill="1" applyBorder="1" applyAlignment="1">
      <alignment horizontal="right" vertical="center"/>
    </xf>
    <xf numFmtId="165" fontId="29"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0" fillId="0" borderId="0" xfId="0" applyNumberFormat="1" applyFill="1" applyAlignment="1">
      <alignment horizontal="center" vertical="center"/>
    </xf>
    <xf numFmtId="0" fontId="7" fillId="0" borderId="12" xfId="0" applyFont="1" applyFill="1" applyBorder="1" applyAlignment="1">
      <alignment horizontal="left" vertical="center" wrapText="1"/>
    </xf>
    <xf numFmtId="0" fontId="0" fillId="0"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xf>
    <xf numFmtId="0" fontId="0" fillId="0" borderId="54" xfId="0" applyFont="1" applyFill="1" applyBorder="1" applyAlignment="1">
      <alignment horizontal="center" vertical="top" wrapText="1"/>
    </xf>
    <xf numFmtId="0" fontId="0" fillId="0" borderId="54"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40" xfId="0" applyNumberFormat="1" applyFont="1" applyFill="1" applyBorder="1" applyAlignment="1">
      <alignment horizontal="center" vertical="center" wrapText="1"/>
    </xf>
    <xf numFmtId="1" fontId="0" fillId="20" borderId="1" xfId="0" applyNumberFormat="1" applyFont="1" applyFill="1" applyBorder="1" applyAlignment="1">
      <alignment horizontal="center" vertical="center" wrapText="1"/>
    </xf>
    <xf numFmtId="166" fontId="0" fillId="20" borderId="1" xfId="0" applyNumberFormat="1" applyFont="1" applyFill="1" applyBorder="1" applyAlignment="1">
      <alignment horizontal="right" vertical="center" wrapText="1"/>
    </xf>
    <xf numFmtId="0" fontId="0" fillId="20" borderId="1" xfId="0" applyFont="1" applyFill="1" applyBorder="1" applyAlignment="1">
      <alignment vertical="center"/>
    </xf>
    <xf numFmtId="166" fontId="0" fillId="20" borderId="1" xfId="0" applyNumberFormat="1" applyFont="1" applyFill="1" applyBorder="1" applyAlignment="1">
      <alignment vertical="center"/>
    </xf>
    <xf numFmtId="1" fontId="0" fillId="0" borderId="1" xfId="0" applyNumberFormat="1" applyFont="1" applyFill="1" applyBorder="1" applyAlignment="1">
      <alignment horizontal="center" vertical="center"/>
    </xf>
    <xf numFmtId="166" fontId="0" fillId="0" borderId="1" xfId="0" applyNumberFormat="1" applyFont="1" applyFill="1" applyBorder="1" applyAlignment="1">
      <alignment horizontal="right" vertical="center"/>
    </xf>
    <xf numFmtId="166" fontId="0" fillId="0" borderId="1" xfId="0" applyNumberFormat="1" applyFont="1" applyFill="1" applyBorder="1" applyAlignment="1">
      <alignment vertical="center"/>
    </xf>
    <xf numFmtId="1" fontId="25" fillId="0" borderId="1" xfId="3"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66" fontId="0" fillId="35" borderId="1" xfId="0" applyNumberFormat="1" applyFont="1" applyFill="1" applyBorder="1" applyAlignment="1">
      <alignment horizontal="right" vertical="center"/>
    </xf>
    <xf numFmtId="1" fontId="0" fillId="0" borderId="1" xfId="0" applyNumberFormat="1" applyFont="1" applyFill="1" applyBorder="1" applyAlignment="1">
      <alignment vertical="center"/>
    </xf>
    <xf numFmtId="1" fontId="20"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20" fillId="0" borderId="1" xfId="3" applyNumberFormat="1" applyFont="1" applyFill="1" applyBorder="1" applyAlignment="1">
      <alignment horizontal="center" vertical="center" wrapText="1"/>
    </xf>
    <xf numFmtId="1" fontId="20" fillId="0" borderId="1" xfId="10" applyNumberFormat="1" applyFont="1" applyFill="1" applyBorder="1" applyAlignment="1">
      <alignment horizontal="center" vertical="center"/>
    </xf>
    <xf numFmtId="166" fontId="20" fillId="0" borderId="1" xfId="0" applyNumberFormat="1" applyFont="1" applyFill="1" applyBorder="1" applyAlignment="1">
      <alignment horizontal="right" vertical="center" wrapText="1"/>
    </xf>
    <xf numFmtId="166" fontId="7" fillId="0" borderId="1" xfId="10" applyNumberFormat="1" applyFont="1" applyFill="1" applyBorder="1" applyAlignment="1">
      <alignment horizontal="right" vertical="center"/>
    </xf>
    <xf numFmtId="166" fontId="25" fillId="0" borderId="1" xfId="0" applyNumberFormat="1" applyFont="1" applyFill="1" applyBorder="1" applyAlignment="1">
      <alignment horizontal="right" vertical="center" wrapText="1"/>
    </xf>
    <xf numFmtId="0" fontId="0" fillId="0" borderId="11" xfId="0" applyFont="1" applyFill="1" applyBorder="1" applyAlignment="1">
      <alignment horizontal="center" vertical="center" wrapText="1"/>
    </xf>
    <xf numFmtId="0" fontId="0" fillId="0" borderId="0" xfId="0" applyFont="1"/>
    <xf numFmtId="0" fontId="0" fillId="32" borderId="0" xfId="0" applyFont="1" applyFill="1"/>
    <xf numFmtId="166" fontId="0" fillId="36" borderId="1" xfId="0" applyNumberFormat="1" applyFont="1" applyFill="1" applyBorder="1" applyAlignment="1">
      <alignment horizontal="right" vertical="center"/>
    </xf>
    <xf numFmtId="0" fontId="0" fillId="0" borderId="0" xfId="0" applyFont="1" applyAlignment="1">
      <alignment horizontal="center" vertical="center"/>
    </xf>
    <xf numFmtId="166" fontId="20" fillId="36" borderId="1" xfId="0" applyNumberFormat="1" applyFont="1" applyFill="1" applyBorder="1" applyAlignment="1">
      <alignment horizontal="right" vertical="center" wrapText="1"/>
    </xf>
    <xf numFmtId="168" fontId="20" fillId="0"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6" fontId="1" fillId="36" borderId="1" xfId="0" applyNumberFormat="1" applyFont="1" applyFill="1" applyBorder="1" applyAlignment="1">
      <alignment horizontal="right" vertical="center"/>
    </xf>
    <xf numFmtId="1" fontId="3" fillId="20" borderId="1" xfId="1" applyNumberFormat="1" applyFont="1" applyFill="1" applyBorder="1" applyAlignment="1">
      <alignment horizontal="center" vertical="center" wrapText="1"/>
    </xf>
    <xf numFmtId="166" fontId="7" fillId="36" borderId="1" xfId="10" applyNumberFormat="1" applyFont="1" applyFill="1" applyBorder="1" applyAlignment="1">
      <alignment horizontal="right" vertical="center"/>
    </xf>
    <xf numFmtId="166" fontId="25" fillId="36" borderId="1" xfId="0" applyNumberFormat="1" applyFont="1" applyFill="1" applyBorder="1" applyAlignment="1">
      <alignment horizontal="right" vertical="center" wrapText="1"/>
    </xf>
    <xf numFmtId="0" fontId="7" fillId="0" borderId="0" xfId="0" applyNumberFormat="1" applyFont="1" applyFill="1" applyAlignment="1">
      <alignment horizontal="left" vertical="center"/>
    </xf>
    <xf numFmtId="0" fontId="7" fillId="0" borderId="1" xfId="0" applyNumberFormat="1" applyFont="1" applyFill="1" applyBorder="1" applyAlignment="1">
      <alignment horizontal="left" vertical="center" wrapText="1"/>
    </xf>
    <xf numFmtId="0" fontId="7" fillId="0" borderId="53"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xf>
    <xf numFmtId="0" fontId="7" fillId="20" borderId="1" xfId="0" applyNumberFormat="1" applyFont="1" applyFill="1" applyBorder="1" applyAlignment="1">
      <alignment horizontal="left" vertical="center"/>
    </xf>
    <xf numFmtId="0" fontId="7" fillId="0" borderId="1" xfId="11" applyNumberFormat="1" applyFont="1" applyFill="1" applyBorder="1" applyAlignment="1">
      <alignment horizontal="left" vertical="center" wrapText="1"/>
    </xf>
    <xf numFmtId="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wrapText="1"/>
    </xf>
    <xf numFmtId="0" fontId="3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xf>
    <xf numFmtId="0" fontId="7" fillId="0" borderId="1" xfId="0" applyNumberFormat="1" applyFont="1" applyFill="1" applyBorder="1" applyAlignment="1">
      <alignment horizontal="center" vertical="center" wrapText="1"/>
    </xf>
    <xf numFmtId="165" fontId="32" fillId="0" borderId="1" xfId="0" applyNumberFormat="1" applyFont="1" applyFill="1" applyBorder="1" applyAlignment="1">
      <alignment horizontal="center" vertical="center" wrapText="1"/>
    </xf>
    <xf numFmtId="0" fontId="7" fillId="0" borderId="53" xfId="0" applyNumberFormat="1" applyFont="1" applyFill="1" applyBorder="1" applyAlignment="1">
      <alignment horizontal="center" vertical="center" wrapText="1"/>
    </xf>
    <xf numFmtId="49" fontId="0" fillId="37" borderId="1" xfId="0" applyNumberFormat="1" applyFill="1" applyBorder="1" applyAlignment="1">
      <alignment vertical="center"/>
    </xf>
    <xf numFmtId="0" fontId="30" fillId="37" borderId="1" xfId="0" applyFont="1" applyFill="1" applyBorder="1" applyAlignment="1">
      <alignment vertical="center" wrapText="1"/>
    </xf>
    <xf numFmtId="0" fontId="30" fillId="37" borderId="1" xfId="0" applyNumberFormat="1" applyFont="1" applyFill="1" applyBorder="1" applyAlignment="1">
      <alignment horizontal="left" vertical="center" wrapText="1"/>
    </xf>
    <xf numFmtId="49" fontId="7" fillId="37" borderId="1" xfId="0" applyNumberFormat="1" applyFont="1" applyFill="1" applyBorder="1" applyAlignment="1">
      <alignment horizontal="center" vertical="center" wrapText="1"/>
    </xf>
    <xf numFmtId="1" fontId="0" fillId="37" borderId="1" xfId="0" applyNumberFormat="1" applyFont="1" applyFill="1" applyBorder="1" applyAlignment="1">
      <alignment horizontal="center" vertical="center" wrapText="1"/>
    </xf>
    <xf numFmtId="166" fontId="0" fillId="37" borderId="1" xfId="0" applyNumberFormat="1" applyFont="1" applyFill="1" applyBorder="1" applyAlignment="1">
      <alignment horizontal="right" vertical="center" wrapText="1"/>
    </xf>
    <xf numFmtId="0" fontId="0" fillId="37" borderId="1" xfId="0" applyFont="1" applyFill="1" applyBorder="1" applyAlignment="1">
      <alignment vertical="center"/>
    </xf>
    <xf numFmtId="166" fontId="0" fillId="37" borderId="1" xfId="0" applyNumberFormat="1" applyFont="1" applyFill="1" applyBorder="1" applyAlignment="1">
      <alignment vertical="center"/>
    </xf>
    <xf numFmtId="49" fontId="0" fillId="38" borderId="1" xfId="0" applyNumberFormat="1" applyFill="1" applyBorder="1" applyAlignment="1">
      <alignment vertical="center"/>
    </xf>
    <xf numFmtId="0" fontId="30" fillId="38" borderId="1" xfId="0" applyFont="1" applyFill="1" applyBorder="1" applyAlignment="1">
      <alignment vertical="center" wrapText="1"/>
    </xf>
    <xf numFmtId="0" fontId="30" fillId="38" borderId="1" xfId="0" applyNumberFormat="1" applyFont="1" applyFill="1" applyBorder="1" applyAlignment="1">
      <alignment horizontal="left" vertical="center" wrapText="1"/>
    </xf>
    <xf numFmtId="49" fontId="7" fillId="38" borderId="1" xfId="0" applyNumberFormat="1" applyFont="1" applyFill="1" applyBorder="1" applyAlignment="1">
      <alignment horizontal="center" vertical="center" wrapText="1"/>
    </xf>
    <xf numFmtId="1" fontId="0" fillId="38" borderId="1" xfId="0" applyNumberFormat="1" applyFont="1" applyFill="1" applyBorder="1" applyAlignment="1">
      <alignment horizontal="center" vertical="center" wrapText="1"/>
    </xf>
    <xf numFmtId="166" fontId="0" fillId="38" borderId="1" xfId="0" applyNumberFormat="1" applyFont="1" applyFill="1" applyBorder="1" applyAlignment="1">
      <alignment horizontal="right" vertical="center" wrapText="1"/>
    </xf>
    <xf numFmtId="0" fontId="0" fillId="38" borderId="1" xfId="0" applyFont="1" applyFill="1" applyBorder="1" applyAlignment="1">
      <alignment vertical="center"/>
    </xf>
    <xf numFmtId="166" fontId="25" fillId="38" borderId="1" xfId="0" applyNumberFormat="1" applyFont="1" applyFill="1" applyBorder="1" applyAlignment="1">
      <alignment vertical="center"/>
    </xf>
    <xf numFmtId="166" fontId="0" fillId="38" borderId="1" xfId="0" applyNumberFormat="1" applyFont="1" applyFill="1" applyBorder="1" applyAlignment="1">
      <alignment vertical="center"/>
    </xf>
    <xf numFmtId="0" fontId="19" fillId="38" borderId="1" xfId="0" applyFont="1" applyFill="1" applyBorder="1" applyAlignment="1">
      <alignment vertical="center" wrapText="1"/>
    </xf>
    <xf numFmtId="2" fontId="0" fillId="38" borderId="1" xfId="0" applyNumberFormat="1" applyFill="1" applyBorder="1" applyAlignment="1">
      <alignment horizontal="center" vertical="center" wrapText="1"/>
    </xf>
    <xf numFmtId="166" fontId="0" fillId="38" borderId="1" xfId="0" applyNumberFormat="1" applyFill="1" applyBorder="1" applyAlignment="1">
      <alignment horizontal="right" vertical="center" wrapText="1"/>
    </xf>
    <xf numFmtId="0" fontId="0" fillId="38" borderId="1" xfId="0" applyFill="1" applyBorder="1" applyAlignment="1">
      <alignment vertical="center"/>
    </xf>
    <xf numFmtId="166" fontId="0" fillId="38" borderId="1" xfId="0" applyNumberFormat="1" applyFill="1" applyBorder="1" applyAlignment="1">
      <alignment horizontal="right" vertical="center"/>
    </xf>
    <xf numFmtId="0" fontId="19" fillId="37" borderId="1" xfId="0" applyFont="1" applyFill="1" applyBorder="1" applyAlignment="1">
      <alignment vertical="center" wrapText="1"/>
    </xf>
    <xf numFmtId="2" fontId="0" fillId="37" borderId="1" xfId="0" applyNumberFormat="1" applyFill="1" applyBorder="1" applyAlignment="1">
      <alignment horizontal="center" vertical="center" wrapText="1"/>
    </xf>
    <xf numFmtId="166" fontId="0" fillId="37" borderId="1" xfId="0" applyNumberFormat="1" applyFill="1" applyBorder="1" applyAlignment="1">
      <alignment horizontal="right" vertical="center" wrapText="1"/>
    </xf>
    <xf numFmtId="0" fontId="0" fillId="37" borderId="1" xfId="0" applyFill="1" applyBorder="1" applyAlignment="1">
      <alignment vertical="center"/>
    </xf>
    <xf numFmtId="166" fontId="0" fillId="37" borderId="1" xfId="0" applyNumberFormat="1" applyFill="1" applyBorder="1" applyAlignment="1">
      <alignment horizontal="right" vertical="center"/>
    </xf>
    <xf numFmtId="0" fontId="0" fillId="39" borderId="54" xfId="0" applyFont="1" applyFill="1" applyBorder="1" applyAlignment="1">
      <alignment horizontal="center" vertical="center" wrapText="1"/>
    </xf>
    <xf numFmtId="0" fontId="0" fillId="39" borderId="54" xfId="0" applyFill="1" applyBorder="1" applyAlignment="1">
      <alignment horizontal="center" vertical="center" wrapText="1"/>
    </xf>
    <xf numFmtId="49" fontId="0" fillId="40" borderId="1" xfId="0" applyNumberFormat="1" applyFill="1" applyBorder="1" applyAlignment="1">
      <alignment vertical="center"/>
    </xf>
    <xf numFmtId="0" fontId="30" fillId="40" borderId="1" xfId="0" applyFont="1" applyFill="1" applyBorder="1" applyAlignment="1">
      <alignment vertical="center" wrapText="1"/>
    </xf>
    <xf numFmtId="0" fontId="30" fillId="40" borderId="1" xfId="0" applyNumberFormat="1" applyFont="1" applyFill="1" applyBorder="1" applyAlignment="1">
      <alignment horizontal="left" vertical="center" wrapText="1"/>
    </xf>
    <xf numFmtId="49" fontId="7" fillId="40" borderId="1" xfId="0" applyNumberFormat="1" applyFont="1" applyFill="1" applyBorder="1" applyAlignment="1">
      <alignment horizontal="center" vertical="center" wrapText="1"/>
    </xf>
    <xf numFmtId="1" fontId="0" fillId="40" borderId="1" xfId="0" applyNumberFormat="1" applyFont="1" applyFill="1" applyBorder="1" applyAlignment="1">
      <alignment horizontal="center" vertical="center" wrapText="1"/>
    </xf>
    <xf numFmtId="166" fontId="0" fillId="40" borderId="1" xfId="0" applyNumberFormat="1" applyFont="1" applyFill="1" applyBorder="1" applyAlignment="1">
      <alignment horizontal="right" vertical="center" wrapText="1"/>
    </xf>
    <xf numFmtId="0" fontId="0" fillId="40" borderId="1" xfId="0" applyFont="1" applyFill="1" applyBorder="1" applyAlignment="1">
      <alignment vertical="center"/>
    </xf>
    <xf numFmtId="166" fontId="0" fillId="40" borderId="1" xfId="0" applyNumberFormat="1" applyFont="1" applyFill="1" applyBorder="1" applyAlignment="1">
      <alignment vertical="center"/>
    </xf>
    <xf numFmtId="0" fontId="19" fillId="40" borderId="1" xfId="0" applyFont="1" applyFill="1" applyBorder="1" applyAlignment="1">
      <alignment vertical="center" wrapText="1"/>
    </xf>
    <xf numFmtId="2" fontId="0" fillId="40" borderId="1" xfId="0" applyNumberFormat="1" applyFill="1" applyBorder="1" applyAlignment="1">
      <alignment horizontal="center" vertical="center" wrapText="1"/>
    </xf>
    <xf numFmtId="166" fontId="0" fillId="40" borderId="1" xfId="0" applyNumberFormat="1" applyFill="1" applyBorder="1" applyAlignment="1">
      <alignment horizontal="right" vertical="center" wrapText="1"/>
    </xf>
    <xf numFmtId="0" fontId="0" fillId="40" borderId="1" xfId="0" applyFill="1" applyBorder="1" applyAlignment="1">
      <alignment vertical="center"/>
    </xf>
    <xf numFmtId="166" fontId="0" fillId="40" borderId="1" xfId="0" applyNumberFormat="1" applyFill="1" applyBorder="1" applyAlignment="1">
      <alignment horizontal="right" vertical="center"/>
    </xf>
    <xf numFmtId="49" fontId="0" fillId="41" borderId="1" xfId="0" applyNumberFormat="1" applyFill="1" applyBorder="1" applyAlignment="1">
      <alignment vertical="center"/>
    </xf>
    <xf numFmtId="0" fontId="30" fillId="41" borderId="1" xfId="0" applyFont="1" applyFill="1" applyBorder="1" applyAlignment="1">
      <alignment vertical="center" wrapText="1"/>
    </xf>
    <xf numFmtId="49" fontId="7" fillId="41" borderId="1" xfId="0" applyNumberFormat="1" applyFont="1" applyFill="1" applyBorder="1" applyAlignment="1">
      <alignment horizontal="center" vertical="center" wrapText="1"/>
    </xf>
    <xf numFmtId="1" fontId="0" fillId="41" borderId="1" xfId="0" applyNumberFormat="1" applyFont="1" applyFill="1" applyBorder="1" applyAlignment="1">
      <alignment horizontal="center" vertical="center" wrapText="1"/>
    </xf>
    <xf numFmtId="166" fontId="0" fillId="41" borderId="1" xfId="0" applyNumberFormat="1" applyFont="1" applyFill="1" applyBorder="1" applyAlignment="1">
      <alignment horizontal="right" vertical="center" wrapText="1"/>
    </xf>
    <xf numFmtId="0" fontId="0" fillId="41" borderId="1" xfId="0" applyFont="1" applyFill="1" applyBorder="1" applyAlignment="1">
      <alignment vertical="center"/>
    </xf>
    <xf numFmtId="166" fontId="0" fillId="41" borderId="1" xfId="0" applyNumberFormat="1" applyFont="1" applyFill="1" applyBorder="1" applyAlignment="1">
      <alignment vertical="center"/>
    </xf>
    <xf numFmtId="49" fontId="33" fillId="0" borderId="0" xfId="0" applyNumberFormat="1" applyFont="1" applyFill="1"/>
    <xf numFmtId="0" fontId="34" fillId="0" borderId="0" xfId="0" applyFont="1" applyFill="1"/>
    <xf numFmtId="0" fontId="34" fillId="0" borderId="0" xfId="0" applyNumberFormat="1" applyFont="1" applyFill="1" applyAlignment="1">
      <alignment horizontal="left" vertical="center"/>
    </xf>
    <xf numFmtId="0" fontId="34" fillId="0" borderId="0" xfId="0" applyFont="1" applyFill="1" applyAlignment="1">
      <alignment horizontal="center" vertical="center"/>
    </xf>
    <xf numFmtId="0" fontId="33" fillId="0" borderId="0" xfId="0" applyFont="1" applyFill="1"/>
    <xf numFmtId="0" fontId="33" fillId="28" borderId="0" xfId="0" applyFont="1" applyFill="1"/>
    <xf numFmtId="1" fontId="0" fillId="0" borderId="0" xfId="0" applyNumberFormat="1" applyFill="1"/>
    <xf numFmtId="1" fontId="0" fillId="0" borderId="1" xfId="0" applyNumberFormat="1" applyFill="1" applyBorder="1" applyAlignment="1">
      <alignment horizontal="center" vertical="top" wrapText="1"/>
    </xf>
    <xf numFmtId="1" fontId="0" fillId="0" borderId="40" xfId="0" applyNumberFormat="1" applyFill="1" applyBorder="1" applyAlignment="1">
      <alignment horizontal="center" vertical="center" wrapText="1"/>
    </xf>
    <xf numFmtId="1" fontId="0" fillId="37" borderId="1" xfId="0" applyNumberFormat="1" applyFill="1" applyBorder="1" applyAlignment="1">
      <alignment horizontal="center" vertical="center" wrapText="1"/>
    </xf>
    <xf numFmtId="1" fontId="0" fillId="20" borderId="1" xfId="0" applyNumberForma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xf>
    <xf numFmtId="1" fontId="0" fillId="0" borderId="1" xfId="0" applyNumberFormat="1" applyFill="1" applyBorder="1" applyAlignment="1">
      <alignment vertical="center"/>
    </xf>
    <xf numFmtId="1" fontId="0" fillId="38" borderId="1" xfId="0" applyNumberFormat="1" applyFill="1" applyBorder="1" applyAlignment="1">
      <alignment horizontal="center" vertical="center" wrapText="1"/>
    </xf>
    <xf numFmtId="1" fontId="18" fillId="0" borderId="1" xfId="10" applyNumberFormat="1" applyFont="1" applyFill="1" applyBorder="1" applyAlignment="1">
      <alignment horizontal="center" vertical="center"/>
    </xf>
    <xf numFmtId="1" fontId="21" fillId="0" borderId="1" xfId="0" applyNumberFormat="1" applyFont="1" applyFill="1" applyBorder="1" applyAlignment="1">
      <alignment horizontal="center" vertical="center" wrapText="1"/>
    </xf>
    <xf numFmtId="1" fontId="0" fillId="40" borderId="1" xfId="0" applyNumberFormat="1" applyFill="1" applyBorder="1" applyAlignment="1">
      <alignment horizontal="center" vertical="center" wrapText="1"/>
    </xf>
    <xf numFmtId="1" fontId="0" fillId="0" borderId="1" xfId="0" applyNumberFormat="1" applyFill="1" applyBorder="1" applyAlignment="1">
      <alignment horizontal="center" vertical="center"/>
    </xf>
    <xf numFmtId="1" fontId="0" fillId="0" borderId="0" xfId="0" applyNumberFormat="1"/>
    <xf numFmtId="0" fontId="0" fillId="0" borderId="1" xfId="0" applyFont="1" applyFill="1" applyBorder="1" applyAlignment="1">
      <alignment vertical="center" wrapText="1"/>
    </xf>
    <xf numFmtId="0" fontId="26" fillId="0" borderId="1" xfId="11" applyNumberFormat="1" applyFont="1" applyFill="1" applyBorder="1" applyAlignment="1">
      <alignment horizontal="left" vertical="center" wrapText="1"/>
    </xf>
    <xf numFmtId="0" fontId="7" fillId="35" borderId="56" xfId="0" applyFont="1" applyFill="1" applyBorder="1" applyAlignment="1">
      <alignment horizontal="left" vertical="center" wrapText="1" shrinkToFit="1"/>
    </xf>
    <xf numFmtId="0" fontId="7" fillId="36" borderId="1" xfId="0" applyFont="1" applyFill="1" applyBorder="1" applyAlignment="1">
      <alignment horizontal="left" vertical="center" wrapText="1"/>
    </xf>
    <xf numFmtId="0" fontId="7" fillId="36" borderId="1" xfId="0" applyFont="1" applyFill="1" applyBorder="1" applyAlignment="1">
      <alignment vertical="center"/>
    </xf>
    <xf numFmtId="0" fontId="20" fillId="36" borderId="1" xfId="0" applyFont="1" applyFill="1" applyBorder="1" applyAlignment="1">
      <alignment horizontal="left" vertical="center" wrapText="1"/>
    </xf>
    <xf numFmtId="0" fontId="22" fillId="36" borderId="1" xfId="0" applyFont="1" applyFill="1" applyBorder="1" applyAlignment="1">
      <alignment horizontal="left" vertical="center" wrapText="1"/>
    </xf>
    <xf numFmtId="0" fontId="7" fillId="36" borderId="1" xfId="0" applyFont="1" applyFill="1" applyBorder="1" applyAlignment="1">
      <alignment horizontal="left" vertical="center" wrapText="1" shrinkToFit="1"/>
    </xf>
    <xf numFmtId="0" fontId="7" fillId="36" borderId="56" xfId="0" applyFont="1" applyFill="1" applyBorder="1" applyAlignment="1">
      <alignment horizontal="left" vertical="center" wrapText="1" shrinkToFit="1"/>
    </xf>
    <xf numFmtId="0" fontId="0" fillId="37" borderId="1" xfId="0" applyFont="1" applyFill="1" applyBorder="1" applyAlignment="1">
      <alignment horizontal="center" vertical="center"/>
    </xf>
    <xf numFmtId="0" fontId="0" fillId="2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38" borderId="1" xfId="0" applyFont="1" applyFill="1" applyBorder="1" applyAlignment="1">
      <alignment horizontal="center" vertical="center"/>
    </xf>
    <xf numFmtId="0" fontId="0" fillId="41" borderId="1" xfId="0" applyFont="1" applyFill="1" applyBorder="1" applyAlignment="1">
      <alignment horizontal="center" vertical="center"/>
    </xf>
    <xf numFmtId="0" fontId="0" fillId="40" borderId="1" xfId="0" applyFont="1" applyFill="1" applyBorder="1" applyAlignment="1">
      <alignment horizontal="center" vertical="center"/>
    </xf>
    <xf numFmtId="0" fontId="0" fillId="37" borderId="1" xfId="0" applyFill="1" applyBorder="1" applyAlignment="1">
      <alignment horizontal="center" vertical="center"/>
    </xf>
    <xf numFmtId="0" fontId="0" fillId="20" borderId="1" xfId="0" applyFill="1" applyBorder="1" applyAlignment="1">
      <alignment horizontal="center" vertical="center"/>
    </xf>
    <xf numFmtId="0" fontId="0" fillId="38" borderId="1" xfId="0" applyFill="1" applyBorder="1" applyAlignment="1">
      <alignment horizontal="center" vertical="center"/>
    </xf>
    <xf numFmtId="0" fontId="0" fillId="40" borderId="1" xfId="0" applyFill="1" applyBorder="1" applyAlignment="1">
      <alignment horizontal="center" vertical="center"/>
    </xf>
    <xf numFmtId="0" fontId="35" fillId="38" borderId="1" xfId="0" applyNumberFormat="1" applyFont="1" applyFill="1" applyBorder="1" applyAlignment="1">
      <alignment horizontal="left" vertical="center" wrapText="1"/>
    </xf>
    <xf numFmtId="167" fontId="7" fillId="0" borderId="1" xfId="11" applyNumberFormat="1" applyFont="1" applyFill="1" applyBorder="1" applyAlignment="1">
      <alignment horizontal="left" vertical="center" wrapText="1"/>
    </xf>
    <xf numFmtId="0" fontId="0" fillId="0" borderId="1" xfId="0" applyBorder="1" applyAlignment="1">
      <alignment vertical="center" wrapText="1"/>
    </xf>
    <xf numFmtId="0" fontId="0" fillId="0" borderId="0" xfId="0" applyFill="1" applyBorder="1" applyAlignment="1">
      <alignment wrapText="1"/>
    </xf>
    <xf numFmtId="0" fontId="2" fillId="0" borderId="1" xfId="0" applyFont="1" applyBorder="1" applyAlignment="1">
      <alignment vertical="center"/>
    </xf>
    <xf numFmtId="0" fontId="0" fillId="21" borderId="1" xfId="0" applyFill="1" applyBorder="1" applyAlignment="1">
      <alignment horizontal="center" vertical="center" wrapText="1"/>
    </xf>
    <xf numFmtId="0" fontId="0" fillId="21" borderId="1" xfId="0" applyFill="1" applyBorder="1"/>
    <xf numFmtId="0" fontId="0" fillId="21" borderId="1" xfId="0" applyFill="1" applyBorder="1" applyAlignment="1">
      <alignment wrapText="1"/>
    </xf>
    <xf numFmtId="0" fontId="0" fillId="20" borderId="1" xfId="0" applyFill="1" applyBorder="1" applyAlignment="1">
      <alignment horizontal="left" vertical="center" wrapText="1"/>
    </xf>
    <xf numFmtId="0" fontId="0" fillId="22" borderId="1" xfId="0" applyFill="1" applyBorder="1"/>
    <xf numFmtId="0" fontId="14" fillId="21" borderId="1" xfId="8" applyFont="1" applyFill="1" applyBorder="1" applyAlignment="1" applyProtection="1">
      <alignment horizontal="center" vertical="center"/>
      <protection locked="0"/>
    </xf>
    <xf numFmtId="49" fontId="14" fillId="20" borderId="1" xfId="8" applyNumberFormat="1" applyFont="1" applyFill="1" applyBorder="1" applyAlignment="1" applyProtection="1">
      <alignment horizontal="center" vertical="center" wrapText="1"/>
    </xf>
    <xf numFmtId="0" fontId="0" fillId="20" borderId="1" xfId="7" applyNumberFormat="1" applyFont="1" applyFill="1" applyBorder="1" applyAlignment="1" applyProtection="1">
      <alignment horizontal="center" vertical="center" wrapText="1"/>
    </xf>
    <xf numFmtId="0" fontId="11" fillId="0" borderId="0" xfId="0" applyFont="1" applyFill="1" applyAlignment="1">
      <alignment horizontal="center" vertical="center"/>
    </xf>
    <xf numFmtId="0" fontId="7" fillId="11" borderId="1" xfId="0" applyFont="1" applyFill="1" applyBorder="1" applyAlignment="1">
      <alignment horizontal="left" vertical="center" wrapText="1"/>
    </xf>
    <xf numFmtId="0" fontId="7" fillId="11" borderId="1" xfId="0" applyFont="1" applyFill="1" applyBorder="1" applyAlignment="1">
      <alignment vertical="center"/>
    </xf>
    <xf numFmtId="166" fontId="0" fillId="11" borderId="1" xfId="0" applyNumberFormat="1" applyFont="1" applyFill="1" applyBorder="1" applyAlignment="1">
      <alignment horizontal="right" vertical="center"/>
    </xf>
    <xf numFmtId="166" fontId="7" fillId="11" borderId="1" xfId="10" applyNumberFormat="1" applyFont="1" applyFill="1" applyBorder="1" applyAlignment="1">
      <alignment horizontal="right" vertical="center"/>
    </xf>
    <xf numFmtId="166" fontId="20" fillId="11" borderId="1" xfId="0" applyNumberFormat="1" applyFont="1" applyFill="1" applyBorder="1" applyAlignment="1">
      <alignment horizontal="right" vertical="center" wrapText="1"/>
    </xf>
    <xf numFmtId="49" fontId="7" fillId="0" borderId="1" xfId="11"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0" fillId="7" borderId="1" xfId="0" applyNumberFormat="1" applyFill="1" applyBorder="1" applyAlignment="1">
      <alignment vertical="center"/>
    </xf>
    <xf numFmtId="0" fontId="30" fillId="7" borderId="1" xfId="0" applyFont="1" applyFill="1" applyBorder="1" applyAlignment="1">
      <alignment vertical="center" wrapText="1"/>
    </xf>
    <xf numFmtId="0" fontId="30" fillId="7" borderId="1" xfId="0" applyNumberFormat="1" applyFont="1" applyFill="1" applyBorder="1" applyAlignment="1">
      <alignment horizontal="left" vertical="center" wrapText="1"/>
    </xf>
    <xf numFmtId="49" fontId="7" fillId="7" borderId="1" xfId="0" applyNumberFormat="1" applyFont="1" applyFill="1" applyBorder="1" applyAlignment="1">
      <alignment horizontal="center" vertical="center" wrapText="1"/>
    </xf>
    <xf numFmtId="1" fontId="0" fillId="7" borderId="1" xfId="0" applyNumberFormat="1" applyFont="1" applyFill="1" applyBorder="1" applyAlignment="1">
      <alignment horizontal="center" vertical="center" wrapText="1"/>
    </xf>
    <xf numFmtId="166" fontId="0" fillId="7" borderId="1" xfId="0" applyNumberFormat="1" applyFont="1" applyFill="1" applyBorder="1" applyAlignment="1">
      <alignment horizontal="right" vertical="center" wrapText="1"/>
    </xf>
    <xf numFmtId="0" fontId="0" fillId="7" borderId="1" xfId="0" applyFont="1" applyFill="1" applyBorder="1" applyAlignment="1">
      <alignment vertical="center"/>
    </xf>
    <xf numFmtId="0" fontId="0" fillId="7" borderId="1" xfId="0" applyFont="1" applyFill="1" applyBorder="1" applyAlignment="1">
      <alignment horizontal="center" vertical="center"/>
    </xf>
    <xf numFmtId="166" fontId="0" fillId="7" borderId="1" xfId="0" applyNumberFormat="1" applyFont="1" applyFill="1" applyBorder="1" applyAlignment="1">
      <alignment vertical="center"/>
    </xf>
    <xf numFmtId="49" fontId="0" fillId="21" borderId="1" xfId="0" applyNumberFormat="1" applyFill="1" applyBorder="1" applyAlignment="1">
      <alignment vertical="center"/>
    </xf>
    <xf numFmtId="1" fontId="0" fillId="21" borderId="1" xfId="0" applyNumberFormat="1" applyFont="1" applyFill="1" applyBorder="1" applyAlignment="1">
      <alignment horizontal="center" vertical="center" wrapText="1"/>
    </xf>
    <xf numFmtId="166" fontId="0" fillId="21" borderId="1" xfId="0" applyNumberFormat="1" applyFont="1" applyFill="1" applyBorder="1" applyAlignment="1">
      <alignment horizontal="right" vertical="center" wrapText="1"/>
    </xf>
    <xf numFmtId="0" fontId="0" fillId="21" borderId="1" xfId="0" applyFont="1" applyFill="1" applyBorder="1" applyAlignment="1">
      <alignment vertical="center"/>
    </xf>
    <xf numFmtId="0" fontId="0" fillId="21" borderId="1" xfId="0" applyFont="1" applyFill="1" applyBorder="1" applyAlignment="1">
      <alignment horizontal="center" vertical="center"/>
    </xf>
    <xf numFmtId="166" fontId="0" fillId="21" borderId="1" xfId="0" applyNumberFormat="1" applyFont="1" applyFill="1" applyBorder="1" applyAlignment="1">
      <alignment vertical="center"/>
    </xf>
    <xf numFmtId="0" fontId="7" fillId="21" borderId="1" xfId="0" applyNumberFormat="1" applyFont="1" applyFill="1" applyBorder="1" applyAlignment="1">
      <alignment horizontal="left" vertical="center"/>
    </xf>
    <xf numFmtId="0" fontId="7" fillId="21" borderId="1" xfId="0" applyFont="1" applyFill="1" applyBorder="1" applyAlignment="1">
      <alignment horizontal="center" vertical="center"/>
    </xf>
    <xf numFmtId="49" fontId="7" fillId="21" borderId="1" xfId="0" applyNumberFormat="1" applyFont="1" applyFill="1" applyBorder="1" applyAlignment="1">
      <alignment vertical="center" wrapText="1"/>
    </xf>
    <xf numFmtId="0" fontId="7" fillId="11" borderId="12" xfId="0" applyFont="1" applyFill="1" applyBorder="1" applyAlignment="1">
      <alignment horizontal="left" vertical="center" wrapText="1"/>
    </xf>
    <xf numFmtId="0" fontId="7" fillId="0" borderId="56" xfId="0" applyFont="1" applyFill="1" applyBorder="1" applyAlignment="1">
      <alignment horizontal="left" vertical="center" wrapText="1" shrinkToFit="1"/>
    </xf>
    <xf numFmtId="166" fontId="1" fillId="11" borderId="1" xfId="0" applyNumberFormat="1" applyFont="1" applyFill="1" applyBorder="1" applyAlignment="1">
      <alignment horizontal="right" vertical="center"/>
    </xf>
    <xf numFmtId="3" fontId="22" fillId="0" borderId="1" xfId="0" applyNumberFormat="1" applyFont="1" applyFill="1" applyBorder="1" applyAlignment="1">
      <alignment horizontal="center" vertical="center" wrapText="1"/>
    </xf>
    <xf numFmtId="166" fontId="7" fillId="11" borderId="1" xfId="0" applyNumberFormat="1" applyFont="1" applyFill="1" applyBorder="1" applyAlignment="1">
      <alignment horizontal="right" vertical="center" wrapText="1"/>
    </xf>
    <xf numFmtId="166" fontId="25" fillId="11" borderId="1" xfId="0" applyNumberFormat="1" applyFont="1" applyFill="1" applyBorder="1" applyAlignment="1">
      <alignment horizontal="right" vertical="center" wrapText="1"/>
    </xf>
    <xf numFmtId="2" fontId="20"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2" borderId="1" xfId="0" applyFont="1" applyFill="1" applyBorder="1" applyAlignment="1">
      <alignment vertical="center"/>
    </xf>
    <xf numFmtId="166" fontId="0" fillId="2" borderId="1" xfId="0" applyNumberFormat="1" applyFont="1" applyFill="1" applyBorder="1" applyAlignment="1">
      <alignment horizontal="right" vertical="center"/>
    </xf>
    <xf numFmtId="0" fontId="7" fillId="2" borderId="1" xfId="0" applyFont="1" applyFill="1" applyBorder="1" applyAlignment="1">
      <alignment horizontal="left" vertical="center" wrapText="1"/>
    </xf>
    <xf numFmtId="166" fontId="20" fillId="2" borderId="1" xfId="0" applyNumberFormat="1" applyFont="1" applyFill="1" applyBorder="1" applyAlignment="1">
      <alignment horizontal="right" vertical="center" wrapText="1"/>
    </xf>
    <xf numFmtId="166" fontId="25" fillId="2" borderId="1" xfId="0" applyNumberFormat="1" applyFont="1" applyFill="1" applyBorder="1" applyAlignment="1">
      <alignment horizontal="right" vertical="center" wrapText="1"/>
    </xf>
    <xf numFmtId="0" fontId="7" fillId="2" borderId="56" xfId="0" applyFont="1" applyFill="1" applyBorder="1" applyAlignment="1">
      <alignment horizontal="left" vertical="center" wrapText="1"/>
    </xf>
    <xf numFmtId="0" fontId="7" fillId="2" borderId="1" xfId="0" applyFont="1" applyFill="1" applyBorder="1" applyAlignment="1">
      <alignment horizontal="left" vertical="center" wrapText="1" shrinkToFit="1"/>
    </xf>
    <xf numFmtId="0" fontId="7" fillId="2" borderId="56" xfId="0" applyFont="1" applyFill="1" applyBorder="1" applyAlignment="1">
      <alignment horizontal="left" vertical="center" wrapText="1" shrinkToFit="1"/>
    </xf>
    <xf numFmtId="166" fontId="7" fillId="2" borderId="1" xfId="0" applyNumberFormat="1" applyFont="1" applyFill="1" applyBorder="1" applyAlignment="1">
      <alignment horizontal="right" vertical="center" wrapText="1"/>
    </xf>
    <xf numFmtId="166" fontId="7" fillId="0" borderId="1" xfId="0" applyNumberFormat="1" applyFont="1" applyFill="1" applyBorder="1" applyAlignment="1">
      <alignment horizontal="right" vertical="center" wrapText="1"/>
    </xf>
    <xf numFmtId="1"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56" xfId="0" applyFont="1" applyFill="1" applyBorder="1" applyAlignment="1">
      <alignment horizontal="left" vertical="center" wrapText="1"/>
    </xf>
    <xf numFmtId="166" fontId="7" fillId="2" borderId="1" xfId="10" applyNumberFormat="1" applyFont="1" applyFill="1" applyBorder="1" applyAlignment="1">
      <alignment horizontal="right" vertical="center"/>
    </xf>
    <xf numFmtId="0" fontId="0" fillId="0" borderId="0" xfId="0" applyFont="1" applyFill="1" applyAlignment="1">
      <alignment horizontal="center" vertical="center" wrapText="1"/>
    </xf>
    <xf numFmtId="1" fontId="0" fillId="0" borderId="1" xfId="3"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 fontId="30" fillId="0" borderId="1" xfId="0" applyNumberFormat="1" applyFont="1" applyFill="1" applyBorder="1" applyAlignment="1">
      <alignment horizontal="center" vertical="center" wrapText="1"/>
    </xf>
    <xf numFmtId="1" fontId="7" fillId="0" borderId="1" xfId="3"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7" fillId="0" borderId="1" xfId="10"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 fontId="0" fillId="20" borderId="1" xfId="1" applyNumberFormat="1"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6" fillId="0" borderId="0" xfId="0" applyFont="1" applyFill="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xf numFmtId="0" fontId="37" fillId="42" borderId="1" xfId="0" applyFont="1" applyFill="1" applyBorder="1" applyAlignment="1">
      <alignment horizontal="center" vertical="center" wrapText="1"/>
    </xf>
    <xf numFmtId="0" fontId="2" fillId="0" borderId="12" xfId="0" applyFont="1" applyBorder="1" applyAlignment="1">
      <alignment vertical="center" wrapText="1"/>
    </xf>
    <xf numFmtId="0" fontId="0" fillId="0" borderId="2" xfId="0" applyBorder="1" applyAlignment="1">
      <alignment vertical="center" wrapText="1"/>
    </xf>
    <xf numFmtId="0" fontId="2" fillId="0" borderId="12" xfId="0" applyFont="1" applyFill="1" applyBorder="1" applyAlignment="1">
      <alignment vertical="center" wrapText="1"/>
    </xf>
    <xf numFmtId="4" fontId="0" fillId="6" borderId="12" xfId="0" applyNumberFormat="1" applyFill="1" applyBorder="1" applyAlignment="1">
      <alignment horizontal="center" vertical="center" wrapText="1"/>
    </xf>
    <xf numFmtId="0" fontId="0" fillId="6" borderId="47" xfId="0" applyFill="1" applyBorder="1" applyAlignment="1">
      <alignment horizontal="center" vertical="center" wrapText="1"/>
    </xf>
    <xf numFmtId="0" fontId="0" fillId="0" borderId="2" xfId="0" applyBorder="1" applyAlignment="1">
      <alignment horizontal="center" vertical="center" wrapText="1"/>
    </xf>
    <xf numFmtId="0" fontId="0" fillId="31" borderId="12" xfId="0" applyFill="1" applyBorder="1" applyAlignment="1">
      <alignment horizontal="center" vertical="center" wrapText="1"/>
    </xf>
    <xf numFmtId="0" fontId="0" fillId="31" borderId="47" xfId="0" applyFill="1" applyBorder="1" applyAlignment="1">
      <alignment horizontal="center" vertical="center" wrapText="1"/>
    </xf>
    <xf numFmtId="0" fontId="0" fillId="0" borderId="12" xfId="0" applyBorder="1" applyAlignment="1">
      <alignment horizontal="center" vertical="center" wrapText="1"/>
    </xf>
    <xf numFmtId="0" fontId="0" fillId="0" borderId="47" xfId="0" applyBorder="1" applyAlignment="1">
      <alignment horizontal="center" vertical="center" wrapText="1"/>
    </xf>
    <xf numFmtId="0" fontId="0" fillId="29" borderId="12" xfId="0" applyFill="1" applyBorder="1" applyAlignment="1">
      <alignment horizontal="center" vertical="center" wrapText="1"/>
    </xf>
    <xf numFmtId="0" fontId="0" fillId="29" borderId="47" xfId="0" applyFill="1" applyBorder="1" applyAlignment="1">
      <alignment horizontal="center" vertical="center" wrapText="1"/>
    </xf>
    <xf numFmtId="0" fontId="0" fillId="0" borderId="12" xfId="0"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4" borderId="12" xfId="0" applyFill="1" applyBorder="1" applyAlignment="1">
      <alignment horizontal="center"/>
    </xf>
    <xf numFmtId="0" fontId="0" fillId="4" borderId="47" xfId="0" applyFill="1" applyBorder="1" applyAlignment="1">
      <alignment horizontal="center"/>
    </xf>
    <xf numFmtId="0" fontId="0" fillId="0" borderId="47" xfId="0" applyBorder="1" applyAlignment="1">
      <alignment horizontal="center"/>
    </xf>
    <xf numFmtId="0" fontId="0" fillId="0" borderId="2" xfId="0" applyBorder="1" applyAlignment="1">
      <alignment horizontal="center"/>
    </xf>
    <xf numFmtId="4" fontId="0" fillId="0" borderId="47" xfId="0" applyNumberFormat="1" applyFill="1" applyBorder="1" applyAlignment="1">
      <alignment horizontal="center" vertical="center" wrapText="1"/>
    </xf>
    <xf numFmtId="0" fontId="0" fillId="0" borderId="47" xfId="0" applyBorder="1" applyAlignment="1"/>
    <xf numFmtId="4" fontId="0" fillId="6" borderId="47" xfId="0" applyNumberFormat="1" applyFill="1" applyBorder="1" applyAlignment="1">
      <alignment horizontal="center" vertical="center" wrapText="1"/>
    </xf>
    <xf numFmtId="4" fontId="0" fillId="0" borderId="12" xfId="0" applyNumberFormat="1" applyFill="1" applyBorder="1" applyAlignment="1">
      <alignment horizontal="center" vertical="center" wrapText="1"/>
    </xf>
    <xf numFmtId="0" fontId="0" fillId="27" borderId="1" xfId="0" applyFill="1" applyBorder="1" applyAlignment="1">
      <alignment horizontal="center" vertical="center" wrapText="1"/>
    </xf>
    <xf numFmtId="0" fontId="0" fillId="27" borderId="1" xfId="0" applyFill="1" applyBorder="1" applyAlignment="1"/>
    <xf numFmtId="0" fontId="0" fillId="31" borderId="1" xfId="0" applyFill="1" applyBorder="1" applyAlignment="1">
      <alignment horizontal="center"/>
    </xf>
    <xf numFmtId="0" fontId="0" fillId="29" borderId="1" xfId="0" applyFill="1" applyBorder="1" applyAlignment="1">
      <alignment horizontal="center"/>
    </xf>
    <xf numFmtId="0" fontId="0" fillId="31" borderId="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47" xfId="0" applyFill="1" applyBorder="1" applyAlignment="1">
      <alignment horizontal="center" vertical="center" wrapText="1"/>
    </xf>
    <xf numFmtId="0" fontId="0" fillId="10" borderId="2" xfId="0" applyFill="1" applyBorder="1" applyAlignment="1">
      <alignment horizontal="center" vertical="center" wrapText="1"/>
    </xf>
    <xf numFmtId="0" fontId="0" fillId="30" borderId="12" xfId="0" applyFill="1" applyBorder="1" applyAlignment="1">
      <alignment horizontal="center" vertical="center"/>
    </xf>
    <xf numFmtId="0" fontId="0" fillId="30" borderId="47" xfId="0" applyFill="1" applyBorder="1" applyAlignment="1"/>
    <xf numFmtId="0" fontId="0" fillId="30" borderId="2" xfId="0" applyFill="1" applyBorder="1" applyAlignment="1"/>
    <xf numFmtId="0" fontId="0" fillId="26" borderId="12" xfId="0" applyFill="1" applyBorder="1" applyAlignment="1">
      <alignment horizontal="center" vertical="center" wrapText="1"/>
    </xf>
    <xf numFmtId="0" fontId="0" fillId="26" borderId="47" xfId="0" applyFill="1" applyBorder="1" applyAlignment="1">
      <alignment horizontal="center" vertical="center" wrapText="1"/>
    </xf>
    <xf numFmtId="4" fontId="0" fillId="6" borderId="48" xfId="0" applyNumberFormat="1" applyFill="1" applyBorder="1" applyAlignment="1">
      <alignment horizontal="center" vertical="center" wrapText="1"/>
    </xf>
    <xf numFmtId="0" fontId="0" fillId="6" borderId="53" xfId="0" applyFill="1" applyBorder="1" applyAlignment="1">
      <alignment horizontal="center" vertical="center" wrapText="1"/>
    </xf>
    <xf numFmtId="0" fontId="0" fillId="0" borderId="53" xfId="0" applyBorder="1" applyAlignment="1">
      <alignment horizontal="center" vertical="center" wrapText="1"/>
    </xf>
    <xf numFmtId="0" fontId="0" fillId="3" borderId="12" xfId="0" applyFill="1" applyBorder="1" applyAlignment="1">
      <alignment horizontal="center"/>
    </xf>
    <xf numFmtId="0" fontId="0" fillId="3" borderId="47" xfId="0" applyFill="1" applyBorder="1" applyAlignment="1">
      <alignment horizontal="center"/>
    </xf>
    <xf numFmtId="4" fontId="0" fillId="6" borderId="53" xfId="0" applyNumberFormat="1" applyFill="1" applyBorder="1" applyAlignment="1">
      <alignment horizontal="center" vertical="center" wrapText="1"/>
    </xf>
    <xf numFmtId="0" fontId="0" fillId="5" borderId="12" xfId="0" applyFill="1" applyBorder="1" applyAlignment="1">
      <alignment horizontal="center"/>
    </xf>
    <xf numFmtId="0" fontId="0" fillId="5" borderId="47" xfId="0" applyFill="1" applyBorder="1" applyAlignment="1">
      <alignment horizontal="center"/>
    </xf>
    <xf numFmtId="0" fontId="0" fillId="10" borderId="12" xfId="0" applyFill="1" applyBorder="1" applyAlignment="1">
      <alignment horizontal="center"/>
    </xf>
    <xf numFmtId="0" fontId="0" fillId="10" borderId="47" xfId="0" applyFill="1" applyBorder="1" applyAlignment="1">
      <alignment horizont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26" borderId="17" xfId="0" applyFill="1" applyBorder="1" applyAlignment="1">
      <alignment horizontal="center" vertical="center" wrapText="1"/>
    </xf>
    <xf numFmtId="0" fontId="0" fillId="0" borderId="17" xfId="0" applyBorder="1" applyAlignment="1">
      <alignment horizontal="center" vertical="center" wrapText="1"/>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2" borderId="1" xfId="0" applyFill="1" applyBorder="1" applyAlignment="1">
      <alignment horizontal="center"/>
    </xf>
    <xf numFmtId="0" fontId="0" fillId="36" borderId="12" xfId="0" applyFill="1" applyBorder="1" applyAlignment="1">
      <alignment horizontal="center"/>
    </xf>
    <xf numFmtId="0" fontId="0" fillId="36" borderId="47" xfId="0" applyFill="1" applyBorder="1" applyAlignment="1">
      <alignment horizontal="center"/>
    </xf>
    <xf numFmtId="0" fontId="0" fillId="36" borderId="2" xfId="0" applyFill="1" applyBorder="1" applyAlignment="1">
      <alignment horizontal="center"/>
    </xf>
    <xf numFmtId="0" fontId="0" fillId="11" borderId="1" xfId="0" applyFill="1" applyBorder="1" applyAlignment="1">
      <alignment horizontal="center"/>
    </xf>
    <xf numFmtId="0" fontId="2" fillId="0" borderId="2" xfId="0" applyFont="1" applyFill="1" applyBorder="1" applyAlignment="1">
      <alignment vertical="center" wrapText="1"/>
    </xf>
    <xf numFmtId="0" fontId="0" fillId="0" borderId="12" xfId="0" applyFill="1" applyBorder="1" applyAlignment="1">
      <alignment vertical="center"/>
    </xf>
    <xf numFmtId="0" fontId="0" fillId="0" borderId="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2" xfId="0" applyBorder="1" applyAlignment="1">
      <alignment horizontal="left" vertical="top" wrapText="1"/>
    </xf>
  </cellXfs>
  <cellStyles count="12">
    <cellStyle name="Обычный" xfId="0" builtinId="0"/>
    <cellStyle name="Обычный 2" xfId="2"/>
    <cellStyle name="Обычный 3" xfId="3"/>
    <cellStyle name="Обычный 3 2" xfId="4"/>
    <cellStyle name="Обычный 4" xfId="5"/>
    <cellStyle name="Обычный_SIMPLE_1_massive2" xfId="8"/>
    <cellStyle name="Обычный_ЖКУ_проект3" xfId="7"/>
    <cellStyle name="Обычный_форма 1 водопровод для орг_CALC.KV.4.78(v1.0)" xfId="9"/>
    <cellStyle name="УровеньСтолб_1" xfId="1" builtinId="2" iLevel="0"/>
    <cellStyle name="Финансовый" xfId="10" builtinId="3"/>
    <cellStyle name="Финансовый 2" xfId="6"/>
    <cellStyle name="Хороший" xfId="11" builtinId="26"/>
  </cellStyles>
  <dxfs count="2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color rgb="FF99CCFF"/>
      <color rgb="FF00FF00"/>
      <color rgb="FFFFFF99"/>
      <color rgb="FFFFCCCC"/>
      <color rgb="FFFFFF66"/>
      <color rgb="FFFF6600"/>
      <color rgb="FF7FC1D3"/>
      <color rgb="FF60C4BF"/>
      <color rgb="FF6ECA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rmach_mv/Desktop/46EP.ST(v2.3)-%202017%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D2" t="str">
            <v>январь</v>
          </cell>
          <cell r="E2">
            <v>2016</v>
          </cell>
          <cell r="F2" t="str">
            <v>Да</v>
          </cell>
        </row>
        <row r="3">
          <cell r="D3" t="str">
            <v>февраль</v>
          </cell>
          <cell r="E3">
            <v>2017</v>
          </cell>
          <cell r="F3" t="str">
            <v>Нет</v>
          </cell>
        </row>
        <row r="4">
          <cell r="D4" t="str">
            <v>март</v>
          </cell>
          <cell r="E4">
            <v>2018</v>
          </cell>
        </row>
        <row r="5">
          <cell r="D5" t="str">
            <v>апрель</v>
          </cell>
          <cell r="E5">
            <v>2019</v>
          </cell>
        </row>
        <row r="6">
          <cell r="D6" t="str">
            <v>май</v>
          </cell>
          <cell r="E6">
            <v>2020</v>
          </cell>
        </row>
        <row r="7">
          <cell r="D7" t="str">
            <v>июнь</v>
          </cell>
        </row>
        <row r="8">
          <cell r="D8" t="str">
            <v>июль</v>
          </cell>
        </row>
        <row r="9">
          <cell r="D9" t="str">
            <v>август</v>
          </cell>
        </row>
        <row r="10">
          <cell r="D10" t="str">
            <v>сентябрь</v>
          </cell>
        </row>
        <row r="11">
          <cell r="D11" t="str">
            <v>октябрь</v>
          </cell>
        </row>
        <row r="12">
          <cell r="D12" t="str">
            <v>ноябрь</v>
          </cell>
        </row>
        <row r="13">
          <cell r="D13" t="str">
            <v>декабрь</v>
          </cell>
        </row>
        <row r="14">
          <cell r="D14" t="str">
            <v>год</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E2" t="str">
            <v>Анучинский муниципальный район</v>
          </cell>
        </row>
        <row r="3">
          <cell r="E3" t="str">
            <v>Арсеньевский городской округ</v>
          </cell>
        </row>
        <row r="4">
          <cell r="E4" t="str">
            <v>Артемовский городской округ</v>
          </cell>
        </row>
        <row r="5">
          <cell r="E5" t="str">
            <v>Владивостокский городской округ</v>
          </cell>
        </row>
        <row r="6">
          <cell r="E6" t="str">
            <v>Городской округ Спасск-Дальний</v>
          </cell>
        </row>
        <row r="7">
          <cell r="E7" t="str">
            <v>Дальнегорский городской округ</v>
          </cell>
        </row>
        <row r="8">
          <cell r="E8" t="str">
            <v>Дальнереченский городской округ</v>
          </cell>
        </row>
        <row r="9">
          <cell r="B9" t="str">
            <v>Владивостокский городской округ</v>
          </cell>
          <cell r="E9" t="str">
            <v>Дальнереченский муниципальный район</v>
          </cell>
        </row>
        <row r="10">
          <cell r="E10" t="str">
            <v>Кавалеровский муниципальный район</v>
          </cell>
        </row>
        <row r="11">
          <cell r="E11" t="str">
            <v>Кировский муниципальный район</v>
          </cell>
        </row>
        <row r="12">
          <cell r="E12" t="str">
            <v>Красноармейский муниципальный район</v>
          </cell>
        </row>
        <row r="13">
          <cell r="E13" t="str">
            <v>Лазовский муниципальный район</v>
          </cell>
        </row>
        <row r="14">
          <cell r="E14" t="str">
            <v>Лесозаводский городской округ</v>
          </cell>
        </row>
        <row r="15">
          <cell r="E15" t="str">
            <v>Михайловский муниципальный район</v>
          </cell>
        </row>
        <row r="16">
          <cell r="E16" t="str">
            <v>Надеждинский муниципальный район</v>
          </cell>
        </row>
        <row r="17">
          <cell r="E17" t="str">
            <v>Находкинский городской округ</v>
          </cell>
        </row>
        <row r="18">
          <cell r="E18" t="str">
            <v>Октябрьский муниципальный район</v>
          </cell>
        </row>
        <row r="19">
          <cell r="E19" t="str">
            <v>Ольгинский муниципальный район</v>
          </cell>
        </row>
        <row r="20">
          <cell r="E20" t="str">
            <v>Партизанский городской округ</v>
          </cell>
        </row>
        <row r="21">
          <cell r="E21" t="str">
            <v>Партизанский муниципальный район</v>
          </cell>
        </row>
        <row r="22">
          <cell r="E22" t="str">
            <v>Пограничный муниципальный район</v>
          </cell>
        </row>
        <row r="23">
          <cell r="E23" t="str">
            <v>Пожарский муниципальный район</v>
          </cell>
        </row>
        <row r="24">
          <cell r="E24" t="str">
            <v>Спасский муниципальный район</v>
          </cell>
        </row>
        <row r="25">
          <cell r="E25" t="str">
            <v>Тернейский муниципальный район</v>
          </cell>
        </row>
        <row r="26">
          <cell r="E26" t="str">
            <v>Уссурийский городской округ</v>
          </cell>
        </row>
        <row r="27">
          <cell r="E27" t="str">
            <v>Ханкайский муниципальный район</v>
          </cell>
        </row>
        <row r="28">
          <cell r="E28" t="str">
            <v>Хасанский муниципальный район</v>
          </cell>
        </row>
        <row r="29">
          <cell r="E29" t="str">
            <v>Хорольский муниципальный район</v>
          </cell>
        </row>
        <row r="30">
          <cell r="E30" t="str">
            <v>Черниговский муниципальный район</v>
          </cell>
        </row>
        <row r="31">
          <cell r="E31" t="str">
            <v>Чугуевский муниципальный район</v>
          </cell>
        </row>
        <row r="32">
          <cell r="E32" t="str">
            <v>Шкотовский муниципальный район</v>
          </cell>
        </row>
        <row r="33">
          <cell r="E33" t="str">
            <v>Яковлевский муниципальный район</v>
          </cell>
        </row>
        <row r="34">
          <cell r="E34" t="str">
            <v>городской округ Большой Камень</v>
          </cell>
        </row>
        <row r="35">
          <cell r="E35" t="str">
            <v>городской округ ЗАТО Фокино</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6" sqref="C6"/>
    </sheetView>
  </sheetViews>
  <sheetFormatPr defaultRowHeight="14.4" x14ac:dyDescent="0.3"/>
  <cols>
    <col min="1" max="1" width="5.109375" customWidth="1"/>
    <col min="2" max="2" width="39.88671875" customWidth="1"/>
    <col min="3" max="3" width="52.5546875" customWidth="1"/>
  </cols>
  <sheetData>
    <row r="1" spans="1:3" ht="15" x14ac:dyDescent="0.25">
      <c r="A1" s="46"/>
      <c r="B1" s="46"/>
    </row>
    <row r="2" spans="1:3" ht="15" x14ac:dyDescent="0.25">
      <c r="A2" s="327"/>
      <c r="B2" s="327"/>
      <c r="C2" s="319"/>
    </row>
    <row r="3" spans="1:3" ht="15" x14ac:dyDescent="0.25">
      <c r="A3" s="328"/>
      <c r="B3" s="328"/>
      <c r="C3" s="320"/>
    </row>
    <row r="4" spans="1:3" x14ac:dyDescent="0.3">
      <c r="A4" s="329"/>
      <c r="B4" s="330"/>
      <c r="C4" s="321" t="s">
        <v>144</v>
      </c>
    </row>
    <row r="5" spans="1:3" x14ac:dyDescent="0.3">
      <c r="A5" s="329"/>
      <c r="B5" s="331" t="s">
        <v>162</v>
      </c>
      <c r="C5" s="539">
        <v>2022</v>
      </c>
    </row>
    <row r="6" spans="1:3" ht="15" x14ac:dyDescent="0.25">
      <c r="A6" s="329"/>
      <c r="B6" s="332"/>
      <c r="C6" s="322"/>
    </row>
    <row r="7" spans="1:3" ht="28.8" x14ac:dyDescent="0.3">
      <c r="A7" s="329"/>
      <c r="B7" s="331" t="s">
        <v>145</v>
      </c>
      <c r="C7" s="541" t="s">
        <v>397</v>
      </c>
    </row>
    <row r="8" spans="1:3" x14ac:dyDescent="0.3">
      <c r="A8" s="329"/>
      <c r="B8" s="331" t="s">
        <v>146</v>
      </c>
      <c r="C8" s="540" t="s">
        <v>394</v>
      </c>
    </row>
    <row r="9" spans="1:3" x14ac:dyDescent="0.3">
      <c r="A9" s="329"/>
      <c r="B9" s="331" t="s">
        <v>147</v>
      </c>
      <c r="C9" s="540" t="s">
        <v>393</v>
      </c>
    </row>
    <row r="10" spans="1:3" x14ac:dyDescent="0.3">
      <c r="A10" s="329"/>
      <c r="B10" s="329"/>
      <c r="C10" s="323"/>
    </row>
    <row r="11" spans="1:3" x14ac:dyDescent="0.3">
      <c r="A11" s="329"/>
      <c r="B11" s="333"/>
      <c r="C11" s="324"/>
    </row>
    <row r="12" spans="1:3" x14ac:dyDescent="0.3">
      <c r="A12" s="329"/>
      <c r="B12" s="331"/>
      <c r="C12" s="325" t="s">
        <v>148</v>
      </c>
    </row>
    <row r="13" spans="1:3" x14ac:dyDescent="0.3">
      <c r="A13" s="328"/>
      <c r="B13" s="331" t="s">
        <v>149</v>
      </c>
      <c r="C13" s="338" t="s">
        <v>395</v>
      </c>
    </row>
    <row r="14" spans="1:3" x14ac:dyDescent="0.3">
      <c r="A14" s="328"/>
      <c r="B14" s="331" t="s">
        <v>150</v>
      </c>
      <c r="C14" s="338" t="s">
        <v>395</v>
      </c>
    </row>
    <row r="15" spans="1:3" x14ac:dyDescent="0.3">
      <c r="A15" s="329"/>
      <c r="B15" s="331"/>
      <c r="C15" s="326"/>
    </row>
    <row r="16" spans="1:3" x14ac:dyDescent="0.3">
      <c r="A16" s="328"/>
      <c r="B16" s="331"/>
      <c r="C16" s="325" t="s">
        <v>151</v>
      </c>
    </row>
    <row r="17" spans="1:3" x14ac:dyDescent="0.3">
      <c r="A17" s="328"/>
      <c r="B17" s="334" t="s">
        <v>152</v>
      </c>
      <c r="C17" s="338" t="s">
        <v>396</v>
      </c>
    </row>
    <row r="18" spans="1:3" x14ac:dyDescent="0.3">
      <c r="A18" s="328"/>
      <c r="B18" s="334" t="s">
        <v>153</v>
      </c>
      <c r="C18" s="338" t="s">
        <v>402</v>
      </c>
    </row>
    <row r="19" spans="1:3" x14ac:dyDescent="0.3">
      <c r="A19" s="329"/>
      <c r="B19" s="331"/>
      <c r="C19" s="326"/>
    </row>
    <row r="20" spans="1:3" x14ac:dyDescent="0.3">
      <c r="A20" s="328"/>
      <c r="B20" s="331"/>
      <c r="C20" s="325" t="s">
        <v>154</v>
      </c>
    </row>
    <row r="21" spans="1:3" x14ac:dyDescent="0.3">
      <c r="A21" s="332"/>
      <c r="B21" s="334" t="s">
        <v>152</v>
      </c>
      <c r="C21" s="338" t="s">
        <v>398</v>
      </c>
    </row>
    <row r="22" spans="1:3" x14ac:dyDescent="0.3">
      <c r="A22" s="332"/>
      <c r="B22" s="334" t="s">
        <v>155</v>
      </c>
      <c r="C22" s="338" t="s">
        <v>587</v>
      </c>
    </row>
    <row r="23" spans="1:3" x14ac:dyDescent="0.3">
      <c r="A23" s="332"/>
      <c r="B23" s="334" t="s">
        <v>153</v>
      </c>
      <c r="C23" s="338" t="s">
        <v>400</v>
      </c>
    </row>
    <row r="24" spans="1:3" x14ac:dyDescent="0.3">
      <c r="A24" s="332"/>
      <c r="B24" s="334" t="s">
        <v>156</v>
      </c>
      <c r="C24" s="338" t="s">
        <v>401</v>
      </c>
    </row>
    <row r="25" spans="1:3" x14ac:dyDescent="0.3">
      <c r="A25" s="46"/>
      <c r="B25" s="46"/>
    </row>
    <row r="26" spans="1:3" x14ac:dyDescent="0.3">
      <c r="A26" s="46"/>
      <c r="B26" s="46"/>
    </row>
  </sheetData>
  <dataValidations count="5">
    <dataValidation allowBlank="1" showInputMessage="1" promptTitle="Ввод" sqref="C7"/>
    <dataValidation type="list" allowBlank="1" showInputMessage="1" showErrorMessage="1" errorTitle="Ошибка" error="Необходимо выбрать значение из списка!" promptTitle="Ввод" prompt="Необходимо выбрать значение из списка" sqref="C5">
      <formula1>YEAR</formula1>
    </dataValidation>
    <dataValidation operator="equal" allowBlank="1" showInputMessage="1" showErrorMessage="1" sqref="C10"/>
    <dataValidation type="textLength" operator="equal" allowBlank="1" showInputMessage="1" showErrorMessage="1" sqref="C11">
      <formula1>9</formula1>
    </dataValidation>
    <dataValidation type="textLength" operator="lessThanOrEqual" allowBlank="1" showInputMessage="1" showErrorMessage="1" errorTitle="Ошибка" error="Допускается ввод не более 900 символов!" sqref="C21:C24 C13:C14 C17:C18">
      <formula1>900</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772"/>
  <sheetViews>
    <sheetView view="pageBreakPreview" zoomScale="90" zoomScaleNormal="65" zoomScaleSheetLayoutView="90" workbookViewId="0">
      <pane ySplit="9" topLeftCell="A428" activePane="bottomLeft" state="frozen"/>
      <selection pane="bottomLeft" activeCell="X7" sqref="X7:AP7"/>
    </sheetView>
  </sheetViews>
  <sheetFormatPr defaultColWidth="9.109375" defaultRowHeight="14.4" outlineLevelCol="3" x14ac:dyDescent="0.3"/>
  <cols>
    <col min="1" max="1" width="9.33203125" style="317" customWidth="1"/>
    <col min="2" max="2" width="35.6640625" style="312" customWidth="1"/>
    <col min="3" max="3" width="15.5546875" style="428" customWidth="1"/>
    <col min="4" max="4" width="8.77734375" style="372" customWidth="1"/>
    <col min="5" max="5" width="8.77734375" style="417" hidden="1" customWidth="1" outlineLevel="3"/>
    <col min="6" max="7" width="8.77734375" style="420" hidden="1" customWidth="1" outlineLevel="3"/>
    <col min="8" max="8" width="14.77734375" style="417" hidden="1" customWidth="1" outlineLevel="3"/>
    <col min="9" max="17" width="13.77734375" style="417" hidden="1" customWidth="1" outlineLevel="3"/>
    <col min="18" max="20" width="9.77734375" style="417" hidden="1" customWidth="1" outlineLevel="3"/>
    <col min="21" max="21" width="9.77734375" style="420" hidden="1" customWidth="1" outlineLevel="3"/>
    <col min="22" max="22" width="10.77734375" style="418" hidden="1" customWidth="1" outlineLevel="3"/>
    <col min="23" max="23" width="9.77734375" style="418" hidden="1" customWidth="1" outlineLevel="3"/>
    <col min="24" max="24" width="8.77734375" style="417" hidden="1" customWidth="1" outlineLevel="2"/>
    <col min="25" max="26" width="8.77734375" style="420" hidden="1" customWidth="1" outlineLevel="2"/>
    <col min="27" max="27" width="14.77734375" style="417" hidden="1" customWidth="1" outlineLevel="2"/>
    <col min="28" max="36" width="13.77734375" style="417" hidden="1" customWidth="1" outlineLevel="2"/>
    <col min="37" max="39" width="9.77734375" style="417" hidden="1" customWidth="1" outlineLevel="2"/>
    <col min="40" max="40" width="9.77734375" style="420" hidden="1" customWidth="1" outlineLevel="2"/>
    <col min="41" max="41" width="10.77734375" style="418" hidden="1" customWidth="1" outlineLevel="2"/>
    <col min="42" max="42" width="9.77734375" style="418" hidden="1" customWidth="1" outlineLevel="2"/>
    <col min="43" max="43" width="8.77734375" style="417" customWidth="1" outlineLevel="1" collapsed="1"/>
    <col min="44" max="45" width="8.77734375" style="420" customWidth="1" outlineLevel="1"/>
    <col min="46" max="46" width="14.77734375" style="417" customWidth="1" outlineLevel="1"/>
    <col min="47" max="55" width="13.77734375" style="417" customWidth="1" outlineLevel="1"/>
    <col min="56" max="58" width="9.77734375" style="417" customWidth="1" outlineLevel="1"/>
    <col min="59" max="59" width="9.77734375" style="420" customWidth="1" outlineLevel="1"/>
    <col min="60" max="60" width="10.77734375" style="418" customWidth="1" outlineLevel="1"/>
    <col min="61" max="61" width="9.77734375" style="418" customWidth="1" outlineLevel="1"/>
    <col min="62" max="70" width="9.109375" style="46"/>
    <col min="71" max="16384" width="9.109375" style="6"/>
  </cols>
  <sheetData>
    <row r="1" spans="1:70" s="46" customFormat="1" x14ac:dyDescent="0.3">
      <c r="A1" s="317"/>
      <c r="B1" s="312"/>
      <c r="C1" s="428"/>
      <c r="D1" s="372"/>
      <c r="E1" s="390"/>
      <c r="F1" s="391"/>
      <c r="G1" s="391"/>
      <c r="H1" s="390"/>
      <c r="I1" s="390"/>
      <c r="J1" s="390"/>
      <c r="K1" s="390"/>
      <c r="L1" s="390"/>
      <c r="M1" s="390"/>
      <c r="N1" s="390"/>
      <c r="O1" s="390"/>
      <c r="P1" s="390"/>
      <c r="Q1" s="390"/>
      <c r="R1" s="390"/>
      <c r="S1" s="390"/>
      <c r="T1" s="390"/>
      <c r="U1" s="391"/>
      <c r="V1" s="390"/>
      <c r="W1" s="390"/>
      <c r="X1" s="390"/>
      <c r="Y1" s="391"/>
      <c r="Z1" s="391"/>
      <c r="AA1" s="390"/>
      <c r="AB1" s="390"/>
      <c r="AC1" s="390"/>
      <c r="AD1" s="390"/>
      <c r="AE1" s="390"/>
      <c r="AF1" s="390"/>
      <c r="AG1" s="390"/>
      <c r="AH1" s="390"/>
      <c r="AI1" s="390"/>
      <c r="AJ1" s="390"/>
      <c r="AK1" s="390"/>
      <c r="AL1" s="390"/>
      <c r="AM1" s="390"/>
      <c r="AN1" s="391"/>
      <c r="AO1" s="390"/>
      <c r="AP1" s="390"/>
      <c r="AQ1" s="390"/>
      <c r="AR1" s="391"/>
      <c r="AS1" s="391"/>
      <c r="AT1" s="390"/>
      <c r="AU1" s="390"/>
      <c r="AV1" s="390"/>
      <c r="AW1" s="390"/>
      <c r="AX1" s="390"/>
      <c r="AY1" s="390"/>
      <c r="AZ1" s="390"/>
      <c r="BA1" s="390"/>
      <c r="BB1" s="390"/>
      <c r="BC1" s="390"/>
      <c r="BD1" s="390"/>
      <c r="BE1" s="390"/>
      <c r="BF1" s="390"/>
      <c r="BG1" s="391"/>
      <c r="BH1" s="390"/>
      <c r="BI1" s="390"/>
    </row>
    <row r="2" spans="1:70" s="46" customFormat="1" ht="14.4" customHeight="1" x14ac:dyDescent="0.3">
      <c r="A2" s="317"/>
      <c r="B2" s="312"/>
      <c r="C2" s="428"/>
      <c r="D2" s="37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594"/>
      <c r="AR2" s="594"/>
      <c r="AS2" s="594"/>
      <c r="AT2" s="2"/>
      <c r="AU2" s="2"/>
      <c r="AV2" s="2"/>
      <c r="AW2" s="2"/>
      <c r="AX2" s="2"/>
      <c r="AY2" s="2"/>
      <c r="AZ2" s="2"/>
      <c r="BA2" s="2"/>
      <c r="BB2" s="2"/>
      <c r="BC2" s="2"/>
      <c r="BD2" s="2"/>
      <c r="BE2" s="2"/>
      <c r="BF2" s="2"/>
      <c r="BG2" s="2"/>
      <c r="BH2" s="2"/>
      <c r="BI2" s="2"/>
    </row>
    <row r="3" spans="1:70" s="46" customFormat="1" ht="14.4" customHeight="1" x14ac:dyDescent="0.3">
      <c r="A3" s="317"/>
      <c r="B3" s="605" t="s">
        <v>174</v>
      </c>
      <c r="C3" s="606"/>
      <c r="D3" s="606"/>
      <c r="E3" s="607"/>
      <c r="F3" s="607"/>
      <c r="G3" s="607"/>
      <c r="H3" s="607"/>
      <c r="I3" s="607"/>
      <c r="J3" s="607"/>
      <c r="K3" s="607"/>
      <c r="L3" s="607"/>
      <c r="M3" s="607"/>
      <c r="N3" s="607"/>
      <c r="O3" s="607"/>
      <c r="P3" s="607"/>
      <c r="Q3" s="607"/>
      <c r="R3" s="607"/>
      <c r="S3" s="607"/>
      <c r="T3" s="607"/>
      <c r="U3" s="607"/>
      <c r="V3" s="607"/>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608"/>
      <c r="BI3" s="2"/>
    </row>
    <row r="4" spans="1:70" s="46" customFormat="1" ht="14.4" customHeight="1" x14ac:dyDescent="0.3">
      <c r="A4" s="317"/>
      <c r="B4" s="606"/>
      <c r="C4" s="606"/>
      <c r="D4" s="606"/>
      <c r="E4" s="607"/>
      <c r="F4" s="607"/>
      <c r="G4" s="607"/>
      <c r="H4" s="607"/>
      <c r="I4" s="607"/>
      <c r="J4" s="607"/>
      <c r="K4" s="607"/>
      <c r="L4" s="607"/>
      <c r="M4" s="607"/>
      <c r="N4" s="607"/>
      <c r="O4" s="607"/>
      <c r="P4" s="607"/>
      <c r="Q4" s="607"/>
      <c r="R4" s="607"/>
      <c r="S4" s="607"/>
      <c r="T4" s="607"/>
      <c r="U4" s="607"/>
      <c r="V4" s="607"/>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I4" s="2"/>
    </row>
    <row r="5" spans="1:70" s="46" customFormat="1" ht="14.4" customHeight="1" x14ac:dyDescent="0.3">
      <c r="A5" s="317"/>
      <c r="B5" s="606"/>
      <c r="C5" s="606"/>
      <c r="D5" s="606"/>
      <c r="E5" s="607"/>
      <c r="F5" s="607"/>
      <c r="G5" s="607"/>
      <c r="H5" s="607"/>
      <c r="I5" s="607"/>
      <c r="J5" s="607"/>
      <c r="K5" s="607"/>
      <c r="L5" s="607"/>
      <c r="M5" s="607"/>
      <c r="N5" s="607"/>
      <c r="O5" s="607"/>
      <c r="P5" s="607"/>
      <c r="Q5" s="607"/>
      <c r="R5" s="607"/>
      <c r="S5" s="607"/>
      <c r="T5" s="607"/>
      <c r="U5" s="607"/>
      <c r="V5" s="607"/>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I5" s="2"/>
    </row>
    <row r="6" spans="1:70" s="46" customFormat="1" x14ac:dyDescent="0.3">
      <c r="A6" s="317"/>
      <c r="B6" s="312"/>
      <c r="C6" s="428"/>
      <c r="D6" s="372"/>
      <c r="E6" s="390"/>
      <c r="F6" s="391"/>
      <c r="G6" s="391"/>
      <c r="H6" s="390"/>
      <c r="I6" s="390"/>
      <c r="J6" s="390"/>
      <c r="K6" s="390"/>
      <c r="L6" s="390"/>
      <c r="M6" s="390"/>
      <c r="N6" s="390"/>
      <c r="O6" s="390"/>
      <c r="P6" s="390"/>
      <c r="Q6" s="390"/>
      <c r="R6" s="390"/>
      <c r="S6" s="390"/>
      <c r="T6" s="390"/>
      <c r="U6" s="391"/>
      <c r="V6" s="390"/>
      <c r="W6" s="390"/>
      <c r="X6" s="390"/>
      <c r="Y6" s="391"/>
      <c r="Z6" s="391"/>
      <c r="AA6" s="390"/>
      <c r="AB6" s="390"/>
      <c r="AC6" s="390"/>
      <c r="AD6" s="390"/>
      <c r="AE6" s="390"/>
      <c r="AF6" s="390"/>
      <c r="AG6" s="390"/>
      <c r="AH6" s="390"/>
      <c r="AI6" s="390"/>
      <c r="AJ6" s="390"/>
      <c r="AK6" s="390"/>
      <c r="AL6" s="390"/>
      <c r="AM6" s="390"/>
      <c r="AN6" s="391"/>
      <c r="AO6" s="390"/>
      <c r="AP6" s="390"/>
      <c r="AQ6" s="390"/>
      <c r="AR6" s="391"/>
      <c r="AS6" s="391"/>
      <c r="AT6" s="390"/>
      <c r="AU6" s="390"/>
      <c r="AV6" s="390"/>
      <c r="AW6" s="390"/>
      <c r="AX6" s="390"/>
      <c r="AY6" s="390"/>
      <c r="AZ6" s="390"/>
      <c r="BA6" s="390"/>
      <c r="BB6" s="390"/>
      <c r="BC6" s="390"/>
      <c r="BD6" s="390"/>
      <c r="BE6" s="390"/>
      <c r="BF6" s="390"/>
      <c r="BG6" s="391"/>
      <c r="BH6" s="390"/>
      <c r="BI6" s="390"/>
    </row>
    <row r="7" spans="1:70" s="495" customFormat="1" ht="24" customHeight="1" thickBot="1" x14ac:dyDescent="0.35">
      <c r="A7" s="490"/>
      <c r="B7" s="491"/>
      <c r="C7" s="492"/>
      <c r="D7" s="493"/>
      <c r="E7" s="1">
        <v>2018</v>
      </c>
      <c r="F7" s="1"/>
      <c r="G7" s="1"/>
      <c r="H7" s="1"/>
      <c r="I7" s="1"/>
      <c r="J7" s="1"/>
      <c r="K7" s="1"/>
      <c r="L7" s="1"/>
      <c r="M7" s="1"/>
      <c r="N7" s="1"/>
      <c r="O7" s="1"/>
      <c r="P7" s="1"/>
      <c r="Q7" s="1"/>
      <c r="R7" s="1"/>
      <c r="S7" s="1"/>
      <c r="T7" s="1"/>
      <c r="U7" s="1"/>
      <c r="V7" s="1"/>
      <c r="W7" s="1"/>
      <c r="X7" s="603">
        <v>2019</v>
      </c>
      <c r="Y7" s="603"/>
      <c r="Z7" s="603"/>
      <c r="AA7" s="603"/>
      <c r="AB7" s="603"/>
      <c r="AC7" s="603"/>
      <c r="AD7" s="603"/>
      <c r="AE7" s="603"/>
      <c r="AF7" s="603"/>
      <c r="AG7" s="603"/>
      <c r="AH7" s="603"/>
      <c r="AI7" s="603"/>
      <c r="AJ7" s="603"/>
      <c r="AK7" s="603"/>
      <c r="AL7" s="603"/>
      <c r="AM7" s="603"/>
      <c r="AN7" s="603"/>
      <c r="AO7" s="603"/>
      <c r="AP7" s="603"/>
      <c r="AQ7" s="604">
        <v>2020</v>
      </c>
      <c r="AR7" s="604"/>
      <c r="AS7" s="604"/>
      <c r="AT7" s="604"/>
      <c r="AU7" s="604"/>
      <c r="AV7" s="604"/>
      <c r="AW7" s="604"/>
      <c r="AX7" s="604"/>
      <c r="AY7" s="604"/>
      <c r="AZ7" s="604"/>
      <c r="BA7" s="604"/>
      <c r="BB7" s="604"/>
      <c r="BC7" s="604"/>
      <c r="BD7" s="604"/>
      <c r="BE7" s="604"/>
      <c r="BF7" s="604"/>
      <c r="BG7" s="604"/>
      <c r="BH7" s="604"/>
      <c r="BI7" s="604"/>
      <c r="BJ7" s="494"/>
      <c r="BK7" s="494"/>
      <c r="BL7" s="494"/>
      <c r="BM7" s="494"/>
      <c r="BN7" s="494"/>
      <c r="BO7" s="494"/>
      <c r="BP7" s="494"/>
      <c r="BQ7" s="494"/>
      <c r="BR7" s="494"/>
    </row>
    <row r="8" spans="1:70" s="46" customFormat="1" ht="158.4" x14ac:dyDescent="0.3">
      <c r="A8" s="318" t="s">
        <v>0</v>
      </c>
      <c r="B8" s="313" t="s">
        <v>1</v>
      </c>
      <c r="C8" s="438" t="s">
        <v>390</v>
      </c>
      <c r="D8" s="337" t="s">
        <v>163</v>
      </c>
      <c r="E8" s="394" t="s">
        <v>2</v>
      </c>
      <c r="F8" s="393" t="s">
        <v>140</v>
      </c>
      <c r="G8" s="392" t="s">
        <v>138</v>
      </c>
      <c r="H8" s="392" t="s">
        <v>139</v>
      </c>
      <c r="I8" s="393" t="s">
        <v>168</v>
      </c>
      <c r="J8" s="392" t="s">
        <v>172</v>
      </c>
      <c r="K8" s="392" t="s">
        <v>171</v>
      </c>
      <c r="L8" s="393" t="s">
        <v>141</v>
      </c>
      <c r="M8" s="393" t="s">
        <v>164</v>
      </c>
      <c r="N8" s="393" t="s">
        <v>165</v>
      </c>
      <c r="O8" s="393" t="s">
        <v>166</v>
      </c>
      <c r="P8" s="392" t="s">
        <v>170</v>
      </c>
      <c r="Q8" s="392" t="s">
        <v>169</v>
      </c>
      <c r="R8" s="392" t="s">
        <v>142</v>
      </c>
      <c r="S8" s="392" t="s">
        <v>177</v>
      </c>
      <c r="T8" s="392" t="s">
        <v>176</v>
      </c>
      <c r="U8" s="392" t="s">
        <v>173</v>
      </c>
      <c r="V8" s="468" t="s">
        <v>85</v>
      </c>
      <c r="W8" s="468" t="s">
        <v>86</v>
      </c>
      <c r="X8" s="394" t="s">
        <v>2</v>
      </c>
      <c r="Y8" s="393" t="s">
        <v>140</v>
      </c>
      <c r="Z8" s="392" t="s">
        <v>138</v>
      </c>
      <c r="AA8" s="392" t="s">
        <v>139</v>
      </c>
      <c r="AB8" s="393" t="s">
        <v>168</v>
      </c>
      <c r="AC8" s="392" t="s">
        <v>172</v>
      </c>
      <c r="AD8" s="392" t="s">
        <v>171</v>
      </c>
      <c r="AE8" s="393" t="s">
        <v>141</v>
      </c>
      <c r="AF8" s="393" t="s">
        <v>164</v>
      </c>
      <c r="AG8" s="393" t="s">
        <v>165</v>
      </c>
      <c r="AH8" s="393" t="s">
        <v>166</v>
      </c>
      <c r="AI8" s="392" t="s">
        <v>170</v>
      </c>
      <c r="AJ8" s="392" t="s">
        <v>169</v>
      </c>
      <c r="AK8" s="392" t="s">
        <v>142</v>
      </c>
      <c r="AL8" s="392" t="s">
        <v>177</v>
      </c>
      <c r="AM8" s="392" t="s">
        <v>176</v>
      </c>
      <c r="AN8" s="392" t="s">
        <v>173</v>
      </c>
      <c r="AO8" s="468" t="s">
        <v>85</v>
      </c>
      <c r="AP8" s="468" t="s">
        <v>86</v>
      </c>
      <c r="AQ8" s="394" t="s">
        <v>2</v>
      </c>
      <c r="AR8" s="393" t="s">
        <v>140</v>
      </c>
      <c r="AS8" s="392" t="s">
        <v>138</v>
      </c>
      <c r="AT8" s="392" t="s">
        <v>139</v>
      </c>
      <c r="AU8" s="393" t="s">
        <v>168</v>
      </c>
      <c r="AV8" s="392" t="s">
        <v>714</v>
      </c>
      <c r="AW8" s="392" t="s">
        <v>171</v>
      </c>
      <c r="AX8" s="393" t="s">
        <v>141</v>
      </c>
      <c r="AY8" s="393" t="s">
        <v>164</v>
      </c>
      <c r="AZ8" s="393" t="s">
        <v>165</v>
      </c>
      <c r="BA8" s="393" t="s">
        <v>166</v>
      </c>
      <c r="BB8" s="392" t="s">
        <v>715</v>
      </c>
      <c r="BC8" s="392" t="s">
        <v>169</v>
      </c>
      <c r="BD8" s="392" t="s">
        <v>142</v>
      </c>
      <c r="BE8" s="392" t="s">
        <v>177</v>
      </c>
      <c r="BF8" s="392" t="s">
        <v>176</v>
      </c>
      <c r="BG8" s="392" t="s">
        <v>173</v>
      </c>
      <c r="BH8" s="468" t="s">
        <v>85</v>
      </c>
      <c r="BI8" s="468" t="s">
        <v>86</v>
      </c>
    </row>
    <row r="9" spans="1:70" s="387" customFormat="1" x14ac:dyDescent="0.3">
      <c r="A9" s="370">
        <v>1</v>
      </c>
      <c r="B9" s="371">
        <v>2</v>
      </c>
      <c r="C9" s="430"/>
      <c r="D9" s="395">
        <v>3</v>
      </c>
      <c r="E9" s="395">
        <v>42</v>
      </c>
      <c r="F9" s="395">
        <v>43</v>
      </c>
      <c r="G9" s="371">
        <v>44</v>
      </c>
      <c r="H9" s="395">
        <v>45</v>
      </c>
      <c r="I9" s="395">
        <v>46</v>
      </c>
      <c r="J9" s="371">
        <v>47</v>
      </c>
      <c r="K9" s="395">
        <v>48</v>
      </c>
      <c r="L9" s="395">
        <v>49</v>
      </c>
      <c r="M9" s="371">
        <v>50</v>
      </c>
      <c r="N9" s="395">
        <v>51</v>
      </c>
      <c r="O9" s="395">
        <v>52</v>
      </c>
      <c r="P9" s="371">
        <v>53</v>
      </c>
      <c r="Q9" s="395">
        <v>54</v>
      </c>
      <c r="R9" s="395">
        <v>55</v>
      </c>
      <c r="S9" s="371">
        <v>56</v>
      </c>
      <c r="T9" s="395">
        <v>57</v>
      </c>
      <c r="U9" s="395">
        <v>58</v>
      </c>
      <c r="V9" s="371">
        <v>59</v>
      </c>
      <c r="W9" s="395">
        <v>60</v>
      </c>
      <c r="X9" s="395">
        <v>42</v>
      </c>
      <c r="Y9" s="395">
        <v>43</v>
      </c>
      <c r="Z9" s="371">
        <v>44</v>
      </c>
      <c r="AA9" s="395">
        <v>45</v>
      </c>
      <c r="AB9" s="395">
        <v>46</v>
      </c>
      <c r="AC9" s="371">
        <v>47</v>
      </c>
      <c r="AD9" s="395">
        <v>48</v>
      </c>
      <c r="AE9" s="395">
        <v>49</v>
      </c>
      <c r="AF9" s="371">
        <v>50</v>
      </c>
      <c r="AG9" s="395">
        <v>51</v>
      </c>
      <c r="AH9" s="395">
        <v>52</v>
      </c>
      <c r="AI9" s="371">
        <v>53</v>
      </c>
      <c r="AJ9" s="395">
        <v>54</v>
      </c>
      <c r="AK9" s="395">
        <v>55</v>
      </c>
      <c r="AL9" s="371">
        <v>56</v>
      </c>
      <c r="AM9" s="395">
        <v>57</v>
      </c>
      <c r="AN9" s="395">
        <v>58</v>
      </c>
      <c r="AO9" s="371">
        <v>59</v>
      </c>
      <c r="AP9" s="395">
        <v>60</v>
      </c>
      <c r="AQ9" s="395">
        <v>42</v>
      </c>
      <c r="AR9" s="395">
        <v>43</v>
      </c>
      <c r="AS9" s="371">
        <v>44</v>
      </c>
      <c r="AT9" s="395">
        <v>45</v>
      </c>
      <c r="AU9" s="395">
        <v>46</v>
      </c>
      <c r="AV9" s="371">
        <v>47</v>
      </c>
      <c r="AW9" s="395">
        <v>48</v>
      </c>
      <c r="AX9" s="395">
        <v>49</v>
      </c>
      <c r="AY9" s="371">
        <v>50</v>
      </c>
      <c r="AZ9" s="395">
        <v>51</v>
      </c>
      <c r="BA9" s="395">
        <v>52</v>
      </c>
      <c r="BB9" s="371">
        <v>53</v>
      </c>
      <c r="BC9" s="395">
        <v>54</v>
      </c>
      <c r="BD9" s="395">
        <v>55</v>
      </c>
      <c r="BE9" s="371">
        <v>56</v>
      </c>
      <c r="BF9" s="395">
        <v>57</v>
      </c>
      <c r="BG9" s="395">
        <v>58</v>
      </c>
      <c r="BH9" s="371">
        <v>59</v>
      </c>
      <c r="BI9" s="395">
        <v>60</v>
      </c>
    </row>
    <row r="10" spans="1:70" s="359" customFormat="1" ht="88.8" customHeight="1" x14ac:dyDescent="0.3">
      <c r="A10" s="441" t="s">
        <v>181</v>
      </c>
      <c r="B10" s="442" t="s">
        <v>182</v>
      </c>
      <c r="C10" s="443"/>
      <c r="D10" s="444"/>
      <c r="E10" s="445">
        <f t="shared" ref="E10:Q10" si="0">E11+E23+E72+E101+E146</f>
        <v>5368</v>
      </c>
      <c r="F10" s="445">
        <f t="shared" si="0"/>
        <v>842.4</v>
      </c>
      <c r="G10" s="445">
        <f t="shared" si="0"/>
        <v>842.4</v>
      </c>
      <c r="H10" s="446">
        <f t="shared" si="0"/>
        <v>3659.4418700000006</v>
      </c>
      <c r="I10" s="446">
        <f t="shared" si="0"/>
        <v>2200.2199900000001</v>
      </c>
      <c r="J10" s="446">
        <f t="shared" si="0"/>
        <v>518.71057999999994</v>
      </c>
      <c r="K10" s="446">
        <f t="shared" si="0"/>
        <v>1682.0460700000001</v>
      </c>
      <c r="L10" s="446">
        <f t="shared" si="0"/>
        <v>520.14436000000001</v>
      </c>
      <c r="M10" s="446">
        <f t="shared" si="0"/>
        <v>0</v>
      </c>
      <c r="N10" s="446">
        <f t="shared" si="0"/>
        <v>0</v>
      </c>
      <c r="O10" s="446">
        <f t="shared" si="0"/>
        <v>265.50720000000001</v>
      </c>
      <c r="P10" s="446">
        <f t="shared" si="0"/>
        <v>4215.9500000000007</v>
      </c>
      <c r="Q10" s="446">
        <f t="shared" si="0"/>
        <v>441.41998000000001</v>
      </c>
      <c r="R10" s="447"/>
      <c r="S10" s="447"/>
      <c r="T10" s="447"/>
      <c r="U10" s="519"/>
      <c r="V10" s="448">
        <f t="shared" ref="V10:V16" si="1">H10/E10*1000</f>
        <v>681.71420827123711</v>
      </c>
      <c r="W10" s="448">
        <f t="shared" ref="W10:W16" si="2">H10/F10</f>
        <v>4.344066797245965</v>
      </c>
      <c r="X10" s="445">
        <f t="shared" ref="X10:AJ10" si="3">X11+X23+X72+X101+X146</f>
        <v>8196</v>
      </c>
      <c r="Y10" s="445">
        <f t="shared" si="3"/>
        <v>1102.5</v>
      </c>
      <c r="Z10" s="445">
        <f t="shared" si="3"/>
        <v>1102.5</v>
      </c>
      <c r="AA10" s="446">
        <f t="shared" si="3"/>
        <v>5481.8168999999998</v>
      </c>
      <c r="AB10" s="446">
        <f t="shared" si="3"/>
        <v>3335.2579599999999</v>
      </c>
      <c r="AC10" s="446">
        <f t="shared" si="3"/>
        <v>784.88682000000006</v>
      </c>
      <c r="AD10" s="446">
        <f t="shared" si="3"/>
        <v>2504.8604799999998</v>
      </c>
      <c r="AE10" s="446">
        <f t="shared" si="3"/>
        <v>749.34213</v>
      </c>
      <c r="AF10" s="446">
        <f t="shared" si="3"/>
        <v>0</v>
      </c>
      <c r="AG10" s="446">
        <f t="shared" si="3"/>
        <v>0</v>
      </c>
      <c r="AH10" s="446">
        <f t="shared" si="3"/>
        <v>460.86016999999993</v>
      </c>
      <c r="AI10" s="446">
        <f t="shared" si="3"/>
        <v>4920.4999999999991</v>
      </c>
      <c r="AJ10" s="446">
        <f t="shared" si="3"/>
        <v>534.05282</v>
      </c>
      <c r="AK10" s="447"/>
      <c r="AL10" s="447"/>
      <c r="AM10" s="447"/>
      <c r="AN10" s="519"/>
      <c r="AO10" s="448">
        <f t="shared" ref="AO10:AO16" si="4">AA10/X10*1000</f>
        <v>668.84051976573937</v>
      </c>
      <c r="AP10" s="448">
        <f t="shared" ref="AP10:AP16" si="5">AA10/Y10</f>
        <v>4.9721695238095238</v>
      </c>
      <c r="AQ10" s="445">
        <f t="shared" ref="AQ10:BC10" si="6">AQ11+AQ23+AQ72+AQ101+AQ146</f>
        <v>5928</v>
      </c>
      <c r="AR10" s="445">
        <f t="shared" si="6"/>
        <v>883</v>
      </c>
      <c r="AS10" s="445">
        <f t="shared" si="6"/>
        <v>883</v>
      </c>
      <c r="AT10" s="446">
        <f t="shared" si="6"/>
        <v>3689.9618700000001</v>
      </c>
      <c r="AU10" s="446">
        <f t="shared" si="6"/>
        <v>2187.8088700000003</v>
      </c>
      <c r="AV10" s="446">
        <f t="shared" si="6"/>
        <v>577.75644</v>
      </c>
      <c r="AW10" s="446">
        <f t="shared" si="6"/>
        <v>1730.42832</v>
      </c>
      <c r="AX10" s="446">
        <f t="shared" si="6"/>
        <v>495.62253000000004</v>
      </c>
      <c r="AY10" s="446">
        <f t="shared" si="6"/>
        <v>0</v>
      </c>
      <c r="AZ10" s="446">
        <f t="shared" si="6"/>
        <v>0</v>
      </c>
      <c r="BA10" s="446">
        <f t="shared" si="6"/>
        <v>294.58708799999999</v>
      </c>
      <c r="BB10" s="446">
        <f t="shared" si="6"/>
        <v>4507.0099999999993</v>
      </c>
      <c r="BC10" s="446">
        <f t="shared" si="6"/>
        <v>505.38475</v>
      </c>
      <c r="BD10" s="447"/>
      <c r="BE10" s="447"/>
      <c r="BF10" s="447"/>
      <c r="BG10" s="519"/>
      <c r="BH10" s="448">
        <f t="shared" ref="BH10:BH20" si="7">AT10/AQ10*1000</f>
        <v>622.4632034412956</v>
      </c>
      <c r="BI10" s="448">
        <f t="shared" ref="BI10:BI20" si="8">AT10/AR10</f>
        <v>4.178892265005663</v>
      </c>
    </row>
    <row r="11" spans="1:70" s="359" customFormat="1" ht="24.6" customHeight="1" x14ac:dyDescent="0.3">
      <c r="A11" s="355" t="s">
        <v>179</v>
      </c>
      <c r="B11" s="356" t="s">
        <v>213</v>
      </c>
      <c r="C11" s="432"/>
      <c r="D11" s="357">
        <v>0.4</v>
      </c>
      <c r="E11" s="396">
        <f t="shared" ref="E11:Q11" si="9">SUM(E12:E22)</f>
        <v>440</v>
      </c>
      <c r="F11" s="396">
        <f t="shared" si="9"/>
        <v>12.4</v>
      </c>
      <c r="G11" s="396">
        <f t="shared" si="9"/>
        <v>12.4</v>
      </c>
      <c r="H11" s="397">
        <f t="shared" si="9"/>
        <v>349.91191000000003</v>
      </c>
      <c r="I11" s="397">
        <f t="shared" si="9"/>
        <v>229.41761</v>
      </c>
      <c r="J11" s="397">
        <f t="shared" si="9"/>
        <v>11.3596</v>
      </c>
      <c r="K11" s="397">
        <f t="shared" si="9"/>
        <v>197.96382</v>
      </c>
      <c r="L11" s="397">
        <f t="shared" si="9"/>
        <v>56.060659999999999</v>
      </c>
      <c r="M11" s="397">
        <f t="shared" si="9"/>
        <v>0</v>
      </c>
      <c r="N11" s="397">
        <f t="shared" si="9"/>
        <v>0</v>
      </c>
      <c r="O11" s="397">
        <f t="shared" si="9"/>
        <v>28.546659999999999</v>
      </c>
      <c r="P11" s="397">
        <f t="shared" si="9"/>
        <v>77.959999999999994</v>
      </c>
      <c r="Q11" s="397">
        <f t="shared" si="9"/>
        <v>27.465800000000002</v>
      </c>
      <c r="R11" s="398"/>
      <c r="S11" s="398"/>
      <c r="T11" s="398"/>
      <c r="U11" s="520"/>
      <c r="V11" s="399">
        <f t="shared" si="1"/>
        <v>795.25434090909096</v>
      </c>
      <c r="W11" s="399">
        <f t="shared" si="2"/>
        <v>28.218702419354841</v>
      </c>
      <c r="X11" s="396">
        <f t="shared" ref="X11:AJ11" si="10">SUM(X12:X22)</f>
        <v>450</v>
      </c>
      <c r="Y11" s="396">
        <f t="shared" si="10"/>
        <v>2.5</v>
      </c>
      <c r="Z11" s="396">
        <f t="shared" si="10"/>
        <v>2.5</v>
      </c>
      <c r="AA11" s="397">
        <f t="shared" si="10"/>
        <v>375.67361</v>
      </c>
      <c r="AB11" s="397">
        <f t="shared" si="10"/>
        <v>252.36516</v>
      </c>
      <c r="AC11" s="397">
        <f t="shared" si="10"/>
        <v>12.609</v>
      </c>
      <c r="AD11" s="397">
        <f t="shared" si="10"/>
        <v>220</v>
      </c>
      <c r="AE11" s="397">
        <f t="shared" si="10"/>
        <v>53.772999999999996</v>
      </c>
      <c r="AF11" s="397">
        <f t="shared" si="10"/>
        <v>0</v>
      </c>
      <c r="AG11" s="397">
        <f t="shared" si="10"/>
        <v>0</v>
      </c>
      <c r="AH11" s="397">
        <f t="shared" si="10"/>
        <v>33.508420000000001</v>
      </c>
      <c r="AI11" s="397">
        <f t="shared" si="10"/>
        <v>56.04</v>
      </c>
      <c r="AJ11" s="397">
        <f t="shared" si="10"/>
        <v>20</v>
      </c>
      <c r="AK11" s="398"/>
      <c r="AL11" s="398"/>
      <c r="AM11" s="398"/>
      <c r="AN11" s="520"/>
      <c r="AO11" s="399">
        <f t="shared" si="4"/>
        <v>834.83024444444447</v>
      </c>
      <c r="AP11" s="399">
        <f t="shared" si="5"/>
        <v>150.26944399999999</v>
      </c>
      <c r="AQ11" s="396">
        <f t="shared" ref="AQ11:BC11" si="11">SUM(AQ12:AQ22)</f>
        <v>595</v>
      </c>
      <c r="AR11" s="396">
        <f t="shared" si="11"/>
        <v>47</v>
      </c>
      <c r="AS11" s="396">
        <f t="shared" si="11"/>
        <v>47</v>
      </c>
      <c r="AT11" s="397">
        <f t="shared" si="11"/>
        <v>209.84987999999998</v>
      </c>
      <c r="AU11" s="397">
        <f t="shared" si="11"/>
        <v>133.33312000000001</v>
      </c>
      <c r="AV11" s="397">
        <f t="shared" si="11"/>
        <v>20.295449999999999</v>
      </c>
      <c r="AW11" s="397">
        <f t="shared" si="11"/>
        <v>108.50686</v>
      </c>
      <c r="AX11" s="397">
        <f t="shared" si="11"/>
        <v>33.906080000000003</v>
      </c>
      <c r="AY11" s="397">
        <f t="shared" si="11"/>
        <v>0</v>
      </c>
      <c r="AZ11" s="397">
        <f t="shared" si="11"/>
        <v>0</v>
      </c>
      <c r="BA11" s="397">
        <f t="shared" si="11"/>
        <v>20.905629999999995</v>
      </c>
      <c r="BB11" s="397">
        <f t="shared" si="11"/>
        <v>136.44</v>
      </c>
      <c r="BC11" s="397">
        <f t="shared" si="11"/>
        <v>39.454790000000003</v>
      </c>
      <c r="BD11" s="398"/>
      <c r="BE11" s="398"/>
      <c r="BF11" s="398"/>
      <c r="BG11" s="520"/>
      <c r="BH11" s="399">
        <f t="shared" si="7"/>
        <v>352.68887394957983</v>
      </c>
      <c r="BI11" s="399">
        <f t="shared" si="8"/>
        <v>4.4648910638297865</v>
      </c>
    </row>
    <row r="12" spans="1:70" s="359" customFormat="1" ht="19.2" x14ac:dyDescent="0.3">
      <c r="A12" s="360" t="s">
        <v>179</v>
      </c>
      <c r="B12" s="514" t="s">
        <v>302</v>
      </c>
      <c r="C12" s="431" t="s">
        <v>303</v>
      </c>
      <c r="D12" s="361">
        <v>0.4</v>
      </c>
      <c r="E12" s="403">
        <v>40</v>
      </c>
      <c r="F12" s="422">
        <v>0.8</v>
      </c>
      <c r="G12" s="423">
        <v>0.8</v>
      </c>
      <c r="H12" s="419">
        <v>32.810420000000001</v>
      </c>
      <c r="I12" s="401">
        <v>22.01876</v>
      </c>
      <c r="J12" s="401">
        <v>1.0296000000000001</v>
      </c>
      <c r="K12" s="401">
        <v>17.94716</v>
      </c>
      <c r="L12" s="401">
        <v>4.92896</v>
      </c>
      <c r="M12" s="401">
        <v>0</v>
      </c>
      <c r="N12" s="401">
        <v>0</v>
      </c>
      <c r="O12" s="401">
        <v>2.5916199999999998</v>
      </c>
      <c r="P12" s="401">
        <v>25.74</v>
      </c>
      <c r="Q12" s="401">
        <v>8.9735800000000001</v>
      </c>
      <c r="R12" s="385" t="s">
        <v>167</v>
      </c>
      <c r="S12" s="439" t="s">
        <v>175</v>
      </c>
      <c r="T12" s="389"/>
      <c r="U12" s="521">
        <v>125</v>
      </c>
      <c r="V12" s="402">
        <f t="shared" si="1"/>
        <v>820.26050000000009</v>
      </c>
      <c r="W12" s="402">
        <f t="shared" si="2"/>
        <v>41.013024999999999</v>
      </c>
      <c r="X12" s="403"/>
      <c r="Y12" s="422"/>
      <c r="Z12" s="423"/>
      <c r="AA12" s="419"/>
      <c r="AB12" s="401"/>
      <c r="AC12" s="401"/>
      <c r="AD12" s="401"/>
      <c r="AE12" s="401"/>
      <c r="AF12" s="401"/>
      <c r="AG12" s="401"/>
      <c r="AH12" s="401"/>
      <c r="AI12" s="401"/>
      <c r="AJ12" s="401"/>
      <c r="AK12" s="385"/>
      <c r="AL12" s="439"/>
      <c r="AM12" s="389"/>
      <c r="AN12" s="521"/>
      <c r="AO12" s="402" t="e">
        <f t="shared" si="4"/>
        <v>#DIV/0!</v>
      </c>
      <c r="AP12" s="402" t="e">
        <f t="shared" si="5"/>
        <v>#DIV/0!</v>
      </c>
      <c r="AQ12" s="595"/>
      <c r="AR12" s="596"/>
      <c r="AS12" s="423"/>
      <c r="AT12" s="419"/>
      <c r="AU12" s="401"/>
      <c r="AV12" s="401"/>
      <c r="AW12" s="401"/>
      <c r="AX12" s="401"/>
      <c r="AY12" s="401"/>
      <c r="AZ12" s="401"/>
      <c r="BA12" s="401"/>
      <c r="BB12" s="401"/>
      <c r="BC12" s="401"/>
      <c r="BD12" s="385"/>
      <c r="BE12" s="439"/>
      <c r="BF12" s="389"/>
      <c r="BG12" s="521"/>
      <c r="BH12" s="402" t="e">
        <f t="shared" si="7"/>
        <v>#DIV/0!</v>
      </c>
      <c r="BI12" s="402" t="e">
        <f t="shared" si="8"/>
        <v>#DIV/0!</v>
      </c>
    </row>
    <row r="13" spans="1:70" s="359" customFormat="1" ht="19.2" x14ac:dyDescent="0.3">
      <c r="A13" s="360" t="s">
        <v>183</v>
      </c>
      <c r="B13" s="514" t="s">
        <v>302</v>
      </c>
      <c r="C13" s="431" t="s">
        <v>306</v>
      </c>
      <c r="D13" s="361">
        <v>0.4</v>
      </c>
      <c r="E13" s="403">
        <v>350</v>
      </c>
      <c r="F13" s="422">
        <v>1.6</v>
      </c>
      <c r="G13" s="423">
        <v>1.6</v>
      </c>
      <c r="H13" s="419">
        <v>298.40715</v>
      </c>
      <c r="I13" s="401">
        <v>194.89087000000001</v>
      </c>
      <c r="J13" s="401">
        <v>9.0054999999999996</v>
      </c>
      <c r="K13" s="401">
        <f>89.7358+53.84148+26.92074</f>
        <v>170.49802</v>
      </c>
      <c r="L13" s="401">
        <v>48.159010000000002</v>
      </c>
      <c r="M13" s="401">
        <v>0</v>
      </c>
      <c r="N13" s="401">
        <v>0</v>
      </c>
      <c r="O13" s="401">
        <v>24.537089999999999</v>
      </c>
      <c r="P13" s="401">
        <v>25.73</v>
      </c>
      <c r="Q13" s="401">
        <v>8.9735800000000001</v>
      </c>
      <c r="R13" s="385" t="s">
        <v>167</v>
      </c>
      <c r="S13" s="439" t="s">
        <v>175</v>
      </c>
      <c r="T13" s="389"/>
      <c r="U13" s="521">
        <v>134</v>
      </c>
      <c r="V13" s="402">
        <f t="shared" si="1"/>
        <v>852.59185714285718</v>
      </c>
      <c r="W13" s="402">
        <f t="shared" si="2"/>
        <v>186.50446875</v>
      </c>
      <c r="X13" s="403"/>
      <c r="Y13" s="422"/>
      <c r="Z13" s="423"/>
      <c r="AA13" s="419"/>
      <c r="AB13" s="401"/>
      <c r="AC13" s="401"/>
      <c r="AD13" s="401"/>
      <c r="AE13" s="401"/>
      <c r="AF13" s="401"/>
      <c r="AG13" s="401"/>
      <c r="AH13" s="401"/>
      <c r="AI13" s="401"/>
      <c r="AJ13" s="401"/>
      <c r="AK13" s="385"/>
      <c r="AL13" s="439"/>
      <c r="AM13" s="389"/>
      <c r="AN13" s="521"/>
      <c r="AO13" s="402" t="e">
        <f t="shared" si="4"/>
        <v>#DIV/0!</v>
      </c>
      <c r="AP13" s="402" t="e">
        <f t="shared" si="5"/>
        <v>#DIV/0!</v>
      </c>
      <c r="AQ13" s="595"/>
      <c r="AR13" s="596"/>
      <c r="AS13" s="423"/>
      <c r="AT13" s="419"/>
      <c r="AU13" s="401"/>
      <c r="AV13" s="401"/>
      <c r="AW13" s="401"/>
      <c r="AX13" s="401"/>
      <c r="AY13" s="401"/>
      <c r="AZ13" s="401"/>
      <c r="BA13" s="401"/>
      <c r="BB13" s="401"/>
      <c r="BC13" s="401"/>
      <c r="BD13" s="385"/>
      <c r="BE13" s="439"/>
      <c r="BF13" s="389"/>
      <c r="BG13" s="521"/>
      <c r="BH13" s="402" t="e">
        <f t="shared" si="7"/>
        <v>#DIV/0!</v>
      </c>
      <c r="BI13" s="402" t="e">
        <f t="shared" si="8"/>
        <v>#DIV/0!</v>
      </c>
    </row>
    <row r="14" spans="1:70" s="359" customFormat="1" ht="19.2" x14ac:dyDescent="0.3">
      <c r="A14" s="360" t="s">
        <v>185</v>
      </c>
      <c r="B14" s="514" t="s">
        <v>317</v>
      </c>
      <c r="C14" s="431" t="s">
        <v>318</v>
      </c>
      <c r="D14" s="361">
        <v>0.4</v>
      </c>
      <c r="E14" s="403">
        <v>50</v>
      </c>
      <c r="F14" s="404">
        <v>10</v>
      </c>
      <c r="G14" s="400">
        <v>10</v>
      </c>
      <c r="H14" s="419">
        <v>18.69434</v>
      </c>
      <c r="I14" s="401">
        <v>12.50798</v>
      </c>
      <c r="J14" s="401">
        <v>1.3245</v>
      </c>
      <c r="K14" s="401">
        <v>9.5186399999999995</v>
      </c>
      <c r="L14" s="401">
        <v>2.9726900000000001</v>
      </c>
      <c r="M14" s="401">
        <v>0</v>
      </c>
      <c r="N14" s="401">
        <v>0</v>
      </c>
      <c r="O14" s="401">
        <v>1.41795</v>
      </c>
      <c r="P14" s="401">
        <v>26.49</v>
      </c>
      <c r="Q14" s="401">
        <v>9.5186399999999995</v>
      </c>
      <c r="R14" s="385" t="s">
        <v>167</v>
      </c>
      <c r="S14" s="439" t="s">
        <v>175</v>
      </c>
      <c r="T14" s="389"/>
      <c r="U14" s="521">
        <v>160</v>
      </c>
      <c r="V14" s="402">
        <f t="shared" si="1"/>
        <v>373.88679999999999</v>
      </c>
      <c r="W14" s="402">
        <f t="shared" si="2"/>
        <v>1.869434</v>
      </c>
      <c r="X14" s="403"/>
      <c r="Y14" s="404"/>
      <c r="Z14" s="400"/>
      <c r="AA14" s="419"/>
      <c r="AB14" s="401"/>
      <c r="AC14" s="401"/>
      <c r="AD14" s="401"/>
      <c r="AE14" s="401"/>
      <c r="AF14" s="401"/>
      <c r="AG14" s="401"/>
      <c r="AH14" s="401"/>
      <c r="AI14" s="401"/>
      <c r="AJ14" s="401"/>
      <c r="AK14" s="385"/>
      <c r="AL14" s="439"/>
      <c r="AM14" s="389"/>
      <c r="AN14" s="521"/>
      <c r="AO14" s="402" t="e">
        <f t="shared" si="4"/>
        <v>#DIV/0!</v>
      </c>
      <c r="AP14" s="402" t="e">
        <f t="shared" si="5"/>
        <v>#DIV/0!</v>
      </c>
      <c r="AQ14" s="595"/>
      <c r="AR14" s="587"/>
      <c r="AS14" s="400"/>
      <c r="AT14" s="419"/>
      <c r="AU14" s="401"/>
      <c r="AV14" s="401"/>
      <c r="AW14" s="401"/>
      <c r="AX14" s="401"/>
      <c r="AY14" s="401"/>
      <c r="AZ14" s="401"/>
      <c r="BA14" s="401"/>
      <c r="BB14" s="401"/>
      <c r="BC14" s="401"/>
      <c r="BD14" s="385"/>
      <c r="BE14" s="439"/>
      <c r="BF14" s="389"/>
      <c r="BG14" s="521"/>
      <c r="BH14" s="402" t="e">
        <f t="shared" si="7"/>
        <v>#DIV/0!</v>
      </c>
      <c r="BI14" s="402" t="e">
        <f t="shared" si="8"/>
        <v>#DIV/0!</v>
      </c>
    </row>
    <row r="15" spans="1:70" s="359" customFormat="1" ht="19.2" x14ac:dyDescent="0.3">
      <c r="A15" s="360" t="s">
        <v>179</v>
      </c>
      <c r="B15" s="544" t="s">
        <v>302</v>
      </c>
      <c r="C15" s="431" t="s">
        <v>450</v>
      </c>
      <c r="D15" s="361">
        <v>0.4</v>
      </c>
      <c r="E15" s="403"/>
      <c r="F15" s="404"/>
      <c r="G15" s="400"/>
      <c r="H15" s="401"/>
      <c r="I15" s="401"/>
      <c r="J15" s="401"/>
      <c r="K15" s="401"/>
      <c r="L15" s="401"/>
      <c r="M15" s="401"/>
      <c r="N15" s="401"/>
      <c r="O15" s="401"/>
      <c r="P15" s="401"/>
      <c r="Q15" s="401"/>
      <c r="R15" s="389"/>
      <c r="S15" s="389"/>
      <c r="T15" s="389"/>
      <c r="U15" s="521"/>
      <c r="V15" s="402" t="e">
        <f t="shared" si="1"/>
        <v>#DIV/0!</v>
      </c>
      <c r="W15" s="402" t="e">
        <f t="shared" si="2"/>
        <v>#DIV/0!</v>
      </c>
      <c r="X15" s="403">
        <v>250</v>
      </c>
      <c r="Y15" s="422">
        <v>0.5</v>
      </c>
      <c r="Z15" s="423">
        <v>0.5</v>
      </c>
      <c r="AA15" s="545">
        <v>233.77079000000001</v>
      </c>
      <c r="AB15" s="401">
        <v>158.40432999999999</v>
      </c>
      <c r="AC15" s="401">
        <v>7.0049999999999999</v>
      </c>
      <c r="AD15" s="401">
        <f>60+80</f>
        <v>140</v>
      </c>
      <c r="AE15" s="401">
        <v>32.752890000000001</v>
      </c>
      <c r="AF15" s="401">
        <v>0</v>
      </c>
      <c r="AG15" s="401">
        <v>0</v>
      </c>
      <c r="AH15" s="401">
        <v>20.454419999999999</v>
      </c>
      <c r="AI15" s="401">
        <v>28.02</v>
      </c>
      <c r="AJ15" s="401">
        <v>10</v>
      </c>
      <c r="AK15" s="385" t="s">
        <v>167</v>
      </c>
      <c r="AL15" s="439" t="s">
        <v>175</v>
      </c>
      <c r="AM15" s="389"/>
      <c r="AN15" s="521">
        <v>244</v>
      </c>
      <c r="AO15" s="402">
        <f t="shared" si="4"/>
        <v>935.08316000000002</v>
      </c>
      <c r="AP15" s="402">
        <f t="shared" si="5"/>
        <v>467.54158000000001</v>
      </c>
      <c r="AQ15" s="595"/>
      <c r="AR15" s="596"/>
      <c r="AS15" s="423"/>
      <c r="AT15" s="545"/>
      <c r="AU15" s="401"/>
      <c r="AV15" s="401"/>
      <c r="AW15" s="401"/>
      <c r="AX15" s="401"/>
      <c r="AY15" s="401"/>
      <c r="AZ15" s="401"/>
      <c r="BA15" s="401"/>
      <c r="BB15" s="401"/>
      <c r="BC15" s="401"/>
      <c r="BD15" s="385"/>
      <c r="BE15" s="439"/>
      <c r="BF15" s="389"/>
      <c r="BG15" s="521"/>
      <c r="BH15" s="402" t="e">
        <f t="shared" si="7"/>
        <v>#DIV/0!</v>
      </c>
      <c r="BI15" s="402" t="e">
        <f t="shared" si="8"/>
        <v>#DIV/0!</v>
      </c>
    </row>
    <row r="16" spans="1:70" s="359" customFormat="1" ht="19.2" x14ac:dyDescent="0.3">
      <c r="A16" s="360" t="s">
        <v>183</v>
      </c>
      <c r="B16" s="544" t="s">
        <v>492</v>
      </c>
      <c r="C16" s="431" t="s">
        <v>453</v>
      </c>
      <c r="D16" s="361">
        <v>0.4</v>
      </c>
      <c r="E16" s="403"/>
      <c r="F16" s="404"/>
      <c r="G16" s="400"/>
      <c r="H16" s="401"/>
      <c r="I16" s="401"/>
      <c r="J16" s="401"/>
      <c r="K16" s="401"/>
      <c r="L16" s="401"/>
      <c r="M16" s="401"/>
      <c r="N16" s="401"/>
      <c r="O16" s="401"/>
      <c r="P16" s="401"/>
      <c r="Q16" s="401"/>
      <c r="R16" s="389"/>
      <c r="S16" s="389"/>
      <c r="T16" s="389"/>
      <c r="U16" s="521"/>
      <c r="V16" s="402" t="e">
        <f t="shared" si="1"/>
        <v>#DIV/0!</v>
      </c>
      <c r="W16" s="402" t="e">
        <f t="shared" si="2"/>
        <v>#DIV/0!</v>
      </c>
      <c r="X16" s="403">
        <v>200</v>
      </c>
      <c r="Y16" s="404">
        <v>2</v>
      </c>
      <c r="Z16" s="400">
        <v>2</v>
      </c>
      <c r="AA16" s="545">
        <v>141.90281999999999</v>
      </c>
      <c r="AB16" s="401">
        <v>93.960830000000001</v>
      </c>
      <c r="AC16" s="401">
        <v>5.6040000000000001</v>
      </c>
      <c r="AD16" s="401">
        <f>60+20</f>
        <v>80</v>
      </c>
      <c r="AE16" s="401">
        <v>21.020109999999999</v>
      </c>
      <c r="AF16" s="401">
        <v>0</v>
      </c>
      <c r="AG16" s="401">
        <v>0</v>
      </c>
      <c r="AH16" s="401">
        <v>13.054</v>
      </c>
      <c r="AI16" s="401">
        <v>28.02</v>
      </c>
      <c r="AJ16" s="401">
        <v>10</v>
      </c>
      <c r="AK16" s="385" t="s">
        <v>167</v>
      </c>
      <c r="AL16" s="439" t="s">
        <v>175</v>
      </c>
      <c r="AM16" s="389"/>
      <c r="AN16" s="521">
        <v>256</v>
      </c>
      <c r="AO16" s="402">
        <f t="shared" si="4"/>
        <v>709.51409999999987</v>
      </c>
      <c r="AP16" s="402">
        <f t="shared" si="5"/>
        <v>70.951409999999996</v>
      </c>
      <c r="AQ16" s="595"/>
      <c r="AR16" s="587"/>
      <c r="AS16" s="400"/>
      <c r="AT16" s="545"/>
      <c r="AU16" s="401"/>
      <c r="AV16" s="401"/>
      <c r="AW16" s="401"/>
      <c r="AX16" s="401"/>
      <c r="AY16" s="401"/>
      <c r="AZ16" s="401"/>
      <c r="BA16" s="401"/>
      <c r="BB16" s="401"/>
      <c r="BC16" s="401"/>
      <c r="BD16" s="385"/>
      <c r="BE16" s="439"/>
      <c r="BF16" s="389"/>
      <c r="BG16" s="521"/>
      <c r="BH16" s="402" t="e">
        <f t="shared" si="7"/>
        <v>#DIV/0!</v>
      </c>
      <c r="BI16" s="402" t="e">
        <f t="shared" si="8"/>
        <v>#DIV/0!</v>
      </c>
    </row>
    <row r="17" spans="1:61" s="359" customFormat="1" ht="19.2" x14ac:dyDescent="0.3">
      <c r="A17" s="360" t="s">
        <v>179</v>
      </c>
      <c r="B17" s="577" t="s">
        <v>717</v>
      </c>
      <c r="C17" s="431" t="s">
        <v>683</v>
      </c>
      <c r="D17" s="361">
        <v>0.4</v>
      </c>
      <c r="E17" s="403"/>
      <c r="F17" s="404"/>
      <c r="G17" s="400"/>
      <c r="H17" s="401"/>
      <c r="I17" s="401"/>
      <c r="J17" s="401"/>
      <c r="K17" s="401"/>
      <c r="L17" s="401"/>
      <c r="M17" s="401"/>
      <c r="N17" s="401"/>
      <c r="O17" s="401"/>
      <c r="P17" s="401"/>
      <c r="Q17" s="401"/>
      <c r="R17" s="389"/>
      <c r="S17" s="389"/>
      <c r="T17" s="389"/>
      <c r="U17" s="521"/>
      <c r="V17" s="402"/>
      <c r="W17" s="402"/>
      <c r="X17" s="403"/>
      <c r="Y17" s="404"/>
      <c r="Z17" s="400"/>
      <c r="AA17" s="401"/>
      <c r="AB17" s="401"/>
      <c r="AC17" s="401"/>
      <c r="AD17" s="401"/>
      <c r="AE17" s="401"/>
      <c r="AF17" s="401"/>
      <c r="AG17" s="401"/>
      <c r="AH17" s="401"/>
      <c r="AI17" s="401"/>
      <c r="AJ17" s="401"/>
      <c r="AK17" s="385"/>
      <c r="AL17" s="439"/>
      <c r="AM17" s="389"/>
      <c r="AN17" s="521"/>
      <c r="AO17" s="402"/>
      <c r="AP17" s="402"/>
      <c r="AQ17" s="595">
        <v>265</v>
      </c>
      <c r="AR17" s="587">
        <v>2</v>
      </c>
      <c r="AS17" s="400">
        <v>2</v>
      </c>
      <c r="AT17" s="578">
        <v>169.02787000000001</v>
      </c>
      <c r="AU17" s="401">
        <v>113.77853</v>
      </c>
      <c r="AV17" s="401">
        <v>9.0391499999999994</v>
      </c>
      <c r="AW17" s="401">
        <f>69.05108+19.72888</f>
        <v>88.779960000000003</v>
      </c>
      <c r="AX17" s="401">
        <v>24.85802</v>
      </c>
      <c r="AY17" s="401">
        <v>0</v>
      </c>
      <c r="AZ17" s="401">
        <v>0</v>
      </c>
      <c r="BA17" s="401">
        <v>14.847490000000001</v>
      </c>
      <c r="BB17" s="401">
        <v>34.11</v>
      </c>
      <c r="BC17" s="401">
        <v>9.8644400000000001</v>
      </c>
      <c r="BD17" s="385" t="s">
        <v>167</v>
      </c>
      <c r="BE17" s="439" t="s">
        <v>175</v>
      </c>
      <c r="BF17" s="389"/>
      <c r="BG17" s="521">
        <v>4</v>
      </c>
      <c r="BH17" s="402">
        <f t="shared" ref="BH17" si="12">AT17/AQ17*1000</f>
        <v>637.8410188679245</v>
      </c>
      <c r="BI17" s="402">
        <f t="shared" ref="BI17" si="13">AT17/AR17</f>
        <v>84.513935000000004</v>
      </c>
    </row>
    <row r="18" spans="1:61" s="359" customFormat="1" ht="19.2" x14ac:dyDescent="0.3">
      <c r="A18" s="360" t="s">
        <v>183</v>
      </c>
      <c r="B18" s="577" t="s">
        <v>716</v>
      </c>
      <c r="C18" s="431" t="s">
        <v>677</v>
      </c>
      <c r="D18" s="361">
        <v>0.4</v>
      </c>
      <c r="E18" s="403"/>
      <c r="F18" s="404"/>
      <c r="G18" s="400"/>
      <c r="H18" s="401"/>
      <c r="I18" s="401"/>
      <c r="J18" s="401"/>
      <c r="K18" s="401"/>
      <c r="L18" s="401"/>
      <c r="M18" s="401"/>
      <c r="N18" s="401"/>
      <c r="O18" s="401"/>
      <c r="P18" s="401"/>
      <c r="Q18" s="401"/>
      <c r="R18" s="389"/>
      <c r="S18" s="389"/>
      <c r="T18" s="389"/>
      <c r="U18" s="521"/>
      <c r="V18" s="402"/>
      <c r="W18" s="402"/>
      <c r="X18" s="403"/>
      <c r="Y18" s="404"/>
      <c r="Z18" s="400"/>
      <c r="AA18" s="401"/>
      <c r="AB18" s="401"/>
      <c r="AC18" s="401"/>
      <c r="AD18" s="401"/>
      <c r="AE18" s="401"/>
      <c r="AF18" s="401"/>
      <c r="AG18" s="401"/>
      <c r="AH18" s="401"/>
      <c r="AI18" s="401"/>
      <c r="AJ18" s="401"/>
      <c r="AK18" s="385"/>
      <c r="AL18" s="439"/>
      <c r="AM18" s="389"/>
      <c r="AN18" s="521"/>
      <c r="AO18" s="402"/>
      <c r="AP18" s="402"/>
      <c r="AQ18" s="595">
        <v>110</v>
      </c>
      <c r="AR18" s="587">
        <v>15</v>
      </c>
      <c r="AS18" s="400">
        <v>15</v>
      </c>
      <c r="AT18" s="578">
        <v>13.50193</v>
      </c>
      <c r="AU18" s="401">
        <v>6.4127900000000002</v>
      </c>
      <c r="AV18" s="401">
        <v>3.7521</v>
      </c>
      <c r="AW18" s="401">
        <v>9.8634500000000003</v>
      </c>
      <c r="AX18" s="401">
        <v>3.0160200000000001</v>
      </c>
      <c r="AY18" s="401">
        <v>0</v>
      </c>
      <c r="AZ18" s="401">
        <v>0</v>
      </c>
      <c r="BA18" s="401">
        <v>2.01938</v>
      </c>
      <c r="BB18" s="401">
        <v>34.11</v>
      </c>
      <c r="BC18" s="401">
        <v>9.8634500000000003</v>
      </c>
      <c r="BD18" s="385" t="s">
        <v>167</v>
      </c>
      <c r="BE18" s="439" t="s">
        <v>175</v>
      </c>
      <c r="BF18" s="389"/>
      <c r="BG18" s="521">
        <v>21</v>
      </c>
      <c r="BH18" s="402">
        <f t="shared" si="7"/>
        <v>122.74481818181818</v>
      </c>
      <c r="BI18" s="402">
        <f t="shared" si="8"/>
        <v>0.90012866666666669</v>
      </c>
    </row>
    <row r="19" spans="1:61" s="359" customFormat="1" ht="19.2" x14ac:dyDescent="0.3">
      <c r="A19" s="360" t="s">
        <v>185</v>
      </c>
      <c r="B19" s="577" t="s">
        <v>718</v>
      </c>
      <c r="C19" s="431" t="s">
        <v>691</v>
      </c>
      <c r="D19" s="361">
        <v>0.4</v>
      </c>
      <c r="E19" s="403"/>
      <c r="F19" s="404"/>
      <c r="G19" s="400"/>
      <c r="H19" s="401"/>
      <c r="I19" s="401"/>
      <c r="J19" s="401"/>
      <c r="K19" s="401"/>
      <c r="L19" s="401"/>
      <c r="M19" s="401"/>
      <c r="N19" s="401"/>
      <c r="O19" s="401"/>
      <c r="P19" s="401"/>
      <c r="Q19" s="401"/>
      <c r="R19" s="389"/>
      <c r="S19" s="389"/>
      <c r="T19" s="389"/>
      <c r="U19" s="521"/>
      <c r="V19" s="402"/>
      <c r="W19" s="402"/>
      <c r="X19" s="403"/>
      <c r="Y19" s="404"/>
      <c r="Z19" s="400"/>
      <c r="AA19" s="401"/>
      <c r="AB19" s="401"/>
      <c r="AC19" s="401"/>
      <c r="AD19" s="401"/>
      <c r="AE19" s="401"/>
      <c r="AF19" s="401"/>
      <c r="AG19" s="401"/>
      <c r="AH19" s="401"/>
      <c r="AI19" s="401"/>
      <c r="AJ19" s="401"/>
      <c r="AK19" s="385"/>
      <c r="AL19" s="439"/>
      <c r="AM19" s="389"/>
      <c r="AN19" s="521"/>
      <c r="AO19" s="402"/>
      <c r="AP19" s="402"/>
      <c r="AQ19" s="595">
        <v>110</v>
      </c>
      <c r="AR19" s="587">
        <v>15</v>
      </c>
      <c r="AS19" s="400">
        <v>15</v>
      </c>
      <c r="AT19" s="578">
        <v>13.818149999999999</v>
      </c>
      <c r="AU19" s="401">
        <v>6.7290099999999997</v>
      </c>
      <c r="AV19" s="401">
        <v>3.7521</v>
      </c>
      <c r="AW19" s="401"/>
      <c r="AX19" s="401">
        <v>3.0160200000000001</v>
      </c>
      <c r="AY19" s="401">
        <v>0</v>
      </c>
      <c r="AZ19" s="401">
        <v>0</v>
      </c>
      <c r="BA19" s="401">
        <v>2.01938</v>
      </c>
      <c r="BB19" s="401">
        <v>34.11</v>
      </c>
      <c r="BC19" s="401">
        <v>9.8634500000000003</v>
      </c>
      <c r="BD19" s="385" t="s">
        <v>167</v>
      </c>
      <c r="BE19" s="439" t="s">
        <v>175</v>
      </c>
      <c r="BF19" s="389"/>
      <c r="BG19" s="521">
        <v>16</v>
      </c>
      <c r="BH19" s="402">
        <f>AT19/AQ19*1000</f>
        <v>125.61954545454546</v>
      </c>
      <c r="BI19" s="402">
        <f>AT19/AR19</f>
        <v>0.92120999999999997</v>
      </c>
    </row>
    <row r="20" spans="1:61" s="359" customFormat="1" ht="19.2" x14ac:dyDescent="0.3">
      <c r="A20" s="360" t="s">
        <v>187</v>
      </c>
      <c r="B20" s="577" t="s">
        <v>716</v>
      </c>
      <c r="C20" s="431" t="s">
        <v>689</v>
      </c>
      <c r="D20" s="361">
        <v>0.4</v>
      </c>
      <c r="E20" s="403"/>
      <c r="F20" s="404"/>
      <c r="G20" s="400"/>
      <c r="H20" s="401"/>
      <c r="I20" s="401"/>
      <c r="J20" s="401"/>
      <c r="K20" s="401"/>
      <c r="L20" s="401"/>
      <c r="M20" s="401"/>
      <c r="N20" s="401"/>
      <c r="O20" s="401"/>
      <c r="P20" s="401"/>
      <c r="Q20" s="401"/>
      <c r="R20" s="389"/>
      <c r="S20" s="389"/>
      <c r="T20" s="389"/>
      <c r="U20" s="521"/>
      <c r="V20" s="402"/>
      <c r="W20" s="402"/>
      <c r="X20" s="403"/>
      <c r="Y20" s="404"/>
      <c r="Z20" s="400"/>
      <c r="AA20" s="401"/>
      <c r="AB20" s="401"/>
      <c r="AC20" s="401"/>
      <c r="AD20" s="401"/>
      <c r="AE20" s="401"/>
      <c r="AF20" s="401"/>
      <c r="AG20" s="401"/>
      <c r="AH20" s="401"/>
      <c r="AI20" s="401"/>
      <c r="AJ20" s="401"/>
      <c r="AK20" s="385"/>
      <c r="AL20" s="439"/>
      <c r="AM20" s="389"/>
      <c r="AN20" s="521"/>
      <c r="AO20" s="402"/>
      <c r="AP20" s="402"/>
      <c r="AQ20" s="595">
        <v>110</v>
      </c>
      <c r="AR20" s="587">
        <v>15</v>
      </c>
      <c r="AS20" s="400">
        <v>15</v>
      </c>
      <c r="AT20" s="578">
        <v>13.50193</v>
      </c>
      <c r="AU20" s="401">
        <v>6.4127900000000002</v>
      </c>
      <c r="AV20" s="401">
        <v>3.7521</v>
      </c>
      <c r="AW20" s="401">
        <v>9.8634500000000003</v>
      </c>
      <c r="AX20" s="401">
        <v>3.0160200000000001</v>
      </c>
      <c r="AY20" s="401">
        <v>0</v>
      </c>
      <c r="AZ20" s="401">
        <v>0</v>
      </c>
      <c r="BA20" s="401">
        <v>2.01938</v>
      </c>
      <c r="BB20" s="401">
        <v>34.11</v>
      </c>
      <c r="BC20" s="401">
        <v>9.8634500000000003</v>
      </c>
      <c r="BD20" s="385" t="s">
        <v>167</v>
      </c>
      <c r="BE20" s="439" t="s">
        <v>175</v>
      </c>
      <c r="BF20" s="389"/>
      <c r="BG20" s="521">
        <v>9</v>
      </c>
      <c r="BH20" s="402">
        <f t="shared" si="7"/>
        <v>122.74481818181818</v>
      </c>
      <c r="BI20" s="402">
        <f t="shared" si="8"/>
        <v>0.90012866666666669</v>
      </c>
    </row>
    <row r="21" spans="1:61" s="359" customFormat="1" x14ac:dyDescent="0.3">
      <c r="A21" s="360"/>
      <c r="B21" s="386"/>
      <c r="C21" s="431"/>
      <c r="D21" s="361">
        <v>0.4</v>
      </c>
      <c r="E21" s="403"/>
      <c r="F21" s="404"/>
      <c r="G21" s="400"/>
      <c r="H21" s="401"/>
      <c r="I21" s="401"/>
      <c r="J21" s="401"/>
      <c r="K21" s="401"/>
      <c r="L21" s="401"/>
      <c r="M21" s="401"/>
      <c r="N21" s="401"/>
      <c r="O21" s="401"/>
      <c r="P21" s="401"/>
      <c r="Q21" s="401"/>
      <c r="R21" s="389"/>
      <c r="S21" s="389"/>
      <c r="T21" s="389"/>
      <c r="U21" s="521"/>
      <c r="V21" s="402"/>
      <c r="W21" s="402"/>
      <c r="X21" s="403"/>
      <c r="Y21" s="404"/>
      <c r="Z21" s="400"/>
      <c r="AA21" s="401"/>
      <c r="AB21" s="401"/>
      <c r="AC21" s="401"/>
      <c r="AD21" s="401"/>
      <c r="AE21" s="401"/>
      <c r="AF21" s="401"/>
      <c r="AG21" s="401"/>
      <c r="AH21" s="401"/>
      <c r="AI21" s="401"/>
      <c r="AJ21" s="401"/>
      <c r="AK21" s="385"/>
      <c r="AL21" s="439"/>
      <c r="AM21" s="389"/>
      <c r="AN21" s="521"/>
      <c r="AO21" s="402"/>
      <c r="AP21" s="402"/>
      <c r="AQ21" s="595"/>
      <c r="AR21" s="587"/>
      <c r="AS21" s="400"/>
      <c r="AT21" s="401"/>
      <c r="AU21" s="401"/>
      <c r="AV21" s="401"/>
      <c r="AW21" s="401"/>
      <c r="AX21" s="401"/>
      <c r="AY21" s="401"/>
      <c r="AZ21" s="401"/>
      <c r="BA21" s="401"/>
      <c r="BB21" s="401"/>
      <c r="BC21" s="401"/>
      <c r="BD21" s="385"/>
      <c r="BE21" s="439"/>
      <c r="BF21" s="389"/>
      <c r="BG21" s="521"/>
      <c r="BH21" s="402" t="e">
        <f t="shared" ref="BH21" si="14">AT21/AQ21*1000</f>
        <v>#DIV/0!</v>
      </c>
      <c r="BI21" s="402" t="e">
        <f t="shared" ref="BI21" si="15">AT21/AR21</f>
        <v>#DIV/0!</v>
      </c>
    </row>
    <row r="22" spans="1:61" s="359" customFormat="1" x14ac:dyDescent="0.3">
      <c r="A22" s="360"/>
      <c r="B22" s="386"/>
      <c r="C22" s="431"/>
      <c r="D22" s="361"/>
      <c r="E22" s="403"/>
      <c r="F22" s="404"/>
      <c r="G22" s="400"/>
      <c r="H22" s="401"/>
      <c r="I22" s="401"/>
      <c r="J22" s="401"/>
      <c r="K22" s="401"/>
      <c r="L22" s="401"/>
      <c r="M22" s="401"/>
      <c r="N22" s="401"/>
      <c r="O22" s="401"/>
      <c r="P22" s="401"/>
      <c r="Q22" s="401"/>
      <c r="R22" s="389"/>
      <c r="S22" s="389"/>
      <c r="T22" s="389"/>
      <c r="U22" s="521"/>
      <c r="V22" s="402" t="e">
        <f t="shared" ref="V22:V40" si="16">H22/E22*1000</f>
        <v>#DIV/0!</v>
      </c>
      <c r="W22" s="402" t="e">
        <f t="shared" ref="W22:W40" si="17">H22/F22</f>
        <v>#DIV/0!</v>
      </c>
      <c r="X22" s="403"/>
      <c r="Y22" s="404"/>
      <c r="Z22" s="400"/>
      <c r="AA22" s="401"/>
      <c r="AB22" s="401"/>
      <c r="AC22" s="401"/>
      <c r="AD22" s="401"/>
      <c r="AE22" s="401"/>
      <c r="AF22" s="401"/>
      <c r="AG22" s="401"/>
      <c r="AH22" s="401"/>
      <c r="AI22" s="401"/>
      <c r="AJ22" s="401"/>
      <c r="AK22" s="389"/>
      <c r="AL22" s="389"/>
      <c r="AM22" s="389"/>
      <c r="AN22" s="521"/>
      <c r="AO22" s="402" t="e">
        <f t="shared" ref="AO22:AO53" si="18">AA22/X22*1000</f>
        <v>#DIV/0!</v>
      </c>
      <c r="AP22" s="402" t="e">
        <f t="shared" ref="AP22:AP53" si="19">AA22/Y22</f>
        <v>#DIV/0!</v>
      </c>
      <c r="AQ22" s="595"/>
      <c r="AR22" s="587"/>
      <c r="AS22" s="400"/>
      <c r="AT22" s="401"/>
      <c r="AU22" s="401"/>
      <c r="AV22" s="401"/>
      <c r="AW22" s="401"/>
      <c r="AX22" s="401"/>
      <c r="AY22" s="401"/>
      <c r="AZ22" s="401"/>
      <c r="BA22" s="401"/>
      <c r="BB22" s="401"/>
      <c r="BC22" s="401"/>
      <c r="BD22" s="389"/>
      <c r="BE22" s="389"/>
      <c r="BF22" s="389"/>
      <c r="BG22" s="521"/>
      <c r="BH22" s="402" t="e">
        <f t="shared" ref="BH22:BH55" si="20">AT22/AQ22*1000</f>
        <v>#DIV/0!</v>
      </c>
      <c r="BI22" s="402" t="e">
        <f t="shared" ref="BI22:BI55" si="21">AT22/AR22</f>
        <v>#DIV/0!</v>
      </c>
    </row>
    <row r="23" spans="1:61" s="359" customFormat="1" ht="24.6" customHeight="1" x14ac:dyDescent="0.3">
      <c r="A23" s="355" t="s">
        <v>183</v>
      </c>
      <c r="B23" s="356" t="s">
        <v>189</v>
      </c>
      <c r="C23" s="432"/>
      <c r="D23" s="357">
        <v>0.4</v>
      </c>
      <c r="E23" s="396">
        <f>SUM(E24:E71)</f>
        <v>1013</v>
      </c>
      <c r="F23" s="396">
        <f>SUM(F24:F71)</f>
        <v>211</v>
      </c>
      <c r="G23" s="396">
        <f>SUM(G24:G71)</f>
        <v>211</v>
      </c>
      <c r="H23" s="397">
        <f>SUM(H24:H71)</f>
        <v>504.21573999999998</v>
      </c>
      <c r="I23" s="397"/>
      <c r="J23" s="397">
        <f t="shared" ref="J23:Q23" si="22">SUM(J24:J71)</f>
        <v>57.525639999999996</v>
      </c>
      <c r="K23" s="397">
        <f t="shared" si="22"/>
        <v>240.72665000000001</v>
      </c>
      <c r="L23" s="397">
        <f t="shared" si="22"/>
        <v>76.186130000000006</v>
      </c>
      <c r="M23" s="397">
        <f t="shared" si="22"/>
        <v>0</v>
      </c>
      <c r="N23" s="397">
        <f t="shared" si="22"/>
        <v>0</v>
      </c>
      <c r="O23" s="397">
        <f t="shared" si="22"/>
        <v>38.572179999999996</v>
      </c>
      <c r="P23" s="397">
        <f t="shared" si="22"/>
        <v>856.6600000000002</v>
      </c>
      <c r="Q23" s="397">
        <f t="shared" si="22"/>
        <v>137.85089000000002</v>
      </c>
      <c r="R23" s="398"/>
      <c r="S23" s="398"/>
      <c r="T23" s="398"/>
      <c r="U23" s="520"/>
      <c r="V23" s="399">
        <f t="shared" si="16"/>
        <v>497.7450542941757</v>
      </c>
      <c r="W23" s="399">
        <f t="shared" si="17"/>
        <v>2.389648056872038</v>
      </c>
      <c r="X23" s="396">
        <f>SUM(X24:X71)</f>
        <v>1242</v>
      </c>
      <c r="Y23" s="396">
        <f>SUM(Y24:Y71)</f>
        <v>210</v>
      </c>
      <c r="Z23" s="396">
        <f>SUM(Z24:Z71)</f>
        <v>210</v>
      </c>
      <c r="AA23" s="397">
        <f>SUM(AA24:AA71)</f>
        <v>677.19054999999992</v>
      </c>
      <c r="AB23" s="397"/>
      <c r="AC23" s="397">
        <f t="shared" ref="AC23:AJ23" si="23">SUM(AC24:AC71)</f>
        <v>61.169659999999993</v>
      </c>
      <c r="AD23" s="397">
        <f t="shared" si="23"/>
        <v>320.96325999999999</v>
      </c>
      <c r="AE23" s="397">
        <f t="shared" si="23"/>
        <v>100.59676999999998</v>
      </c>
      <c r="AF23" s="397">
        <f t="shared" si="23"/>
        <v>0</v>
      </c>
      <c r="AG23" s="397">
        <f t="shared" si="23"/>
        <v>0</v>
      </c>
      <c r="AH23" s="397">
        <f t="shared" si="23"/>
        <v>62.533209999999997</v>
      </c>
      <c r="AI23" s="397">
        <f t="shared" si="23"/>
        <v>756.78999999999985</v>
      </c>
      <c r="AJ23" s="397">
        <f t="shared" si="23"/>
        <v>143.92233999999999</v>
      </c>
      <c r="AK23" s="398"/>
      <c r="AL23" s="398"/>
      <c r="AM23" s="398"/>
      <c r="AN23" s="520"/>
      <c r="AO23" s="399">
        <f t="shared" si="18"/>
        <v>545.24198872785826</v>
      </c>
      <c r="AP23" s="399">
        <f t="shared" si="19"/>
        <v>3.2247169047619044</v>
      </c>
      <c r="AQ23" s="396">
        <f>SUM(AQ24:AQ71)</f>
        <v>1166</v>
      </c>
      <c r="AR23" s="396">
        <f>SUM(AR24:AR71)</f>
        <v>236</v>
      </c>
      <c r="AS23" s="396">
        <f>SUM(AS24:AS71)</f>
        <v>236</v>
      </c>
      <c r="AT23" s="397">
        <f>SUM(AT24:AT71)</f>
        <v>601.38344999999993</v>
      </c>
      <c r="AU23" s="397"/>
      <c r="AV23" s="397">
        <f t="shared" ref="AV23:BC23" si="24">SUM(AV24:AV71)</f>
        <v>69.907160000000005</v>
      </c>
      <c r="AW23" s="397">
        <f t="shared" si="24"/>
        <v>276.97863999999998</v>
      </c>
      <c r="AX23" s="397">
        <f t="shared" si="24"/>
        <v>87.082400000000021</v>
      </c>
      <c r="AY23" s="397">
        <f t="shared" si="24"/>
        <v>0</v>
      </c>
      <c r="AZ23" s="397">
        <f t="shared" si="24"/>
        <v>0</v>
      </c>
      <c r="BA23" s="397">
        <f t="shared" si="24"/>
        <v>52.648110000000003</v>
      </c>
      <c r="BB23" s="397">
        <f t="shared" si="24"/>
        <v>946.94000000000017</v>
      </c>
      <c r="BC23" s="397">
        <f t="shared" si="24"/>
        <v>158.44786000000002</v>
      </c>
      <c r="BD23" s="398"/>
      <c r="BE23" s="398"/>
      <c r="BF23" s="398"/>
      <c r="BG23" s="520"/>
      <c r="BH23" s="399">
        <f t="shared" si="20"/>
        <v>515.76625214408227</v>
      </c>
      <c r="BI23" s="399">
        <f t="shared" si="21"/>
        <v>2.5482349576271184</v>
      </c>
    </row>
    <row r="24" spans="1:61" s="359" customFormat="1" ht="19.2" x14ac:dyDescent="0.3">
      <c r="A24" s="360" t="s">
        <v>179</v>
      </c>
      <c r="B24" s="513" t="s">
        <v>256</v>
      </c>
      <c r="C24" s="433" t="s">
        <v>255</v>
      </c>
      <c r="D24" s="361">
        <v>0.4</v>
      </c>
      <c r="E24" s="403">
        <v>110</v>
      </c>
      <c r="F24" s="404">
        <v>15</v>
      </c>
      <c r="G24" s="404">
        <v>15</v>
      </c>
      <c r="H24" s="419">
        <v>91.074020000000004</v>
      </c>
      <c r="I24" s="401">
        <v>59.898739999999997</v>
      </c>
      <c r="J24" s="401">
        <v>6.7253999999999996</v>
      </c>
      <c r="K24" s="401">
        <f>9.33329+37.33316</f>
        <v>46.666449999999998</v>
      </c>
      <c r="L24" s="401">
        <v>14.8667</v>
      </c>
      <c r="M24" s="401">
        <v>0</v>
      </c>
      <c r="N24" s="401">
        <v>0</v>
      </c>
      <c r="O24" s="401">
        <v>7.0187099999999996</v>
      </c>
      <c r="P24" s="401">
        <v>61.14</v>
      </c>
      <c r="Q24" s="401">
        <v>9.3332899999999999</v>
      </c>
      <c r="R24" s="385" t="s">
        <v>167</v>
      </c>
      <c r="S24" s="439" t="s">
        <v>175</v>
      </c>
      <c r="T24" s="389"/>
      <c r="U24" s="521">
        <v>3</v>
      </c>
      <c r="V24" s="402">
        <f t="shared" si="16"/>
        <v>827.94563636363637</v>
      </c>
      <c r="W24" s="402">
        <f t="shared" si="17"/>
        <v>6.0716013333333336</v>
      </c>
      <c r="X24" s="403"/>
      <c r="Y24" s="404"/>
      <c r="Z24" s="404"/>
      <c r="AA24" s="419"/>
      <c r="AB24" s="401"/>
      <c r="AC24" s="401"/>
      <c r="AD24" s="401"/>
      <c r="AE24" s="401"/>
      <c r="AF24" s="401"/>
      <c r="AG24" s="401"/>
      <c r="AH24" s="401"/>
      <c r="AI24" s="401"/>
      <c r="AJ24" s="401"/>
      <c r="AK24" s="385"/>
      <c r="AL24" s="439"/>
      <c r="AM24" s="389"/>
      <c r="AN24" s="521"/>
      <c r="AO24" s="402" t="e">
        <f t="shared" si="18"/>
        <v>#DIV/0!</v>
      </c>
      <c r="AP24" s="402" t="e">
        <f t="shared" si="19"/>
        <v>#DIV/0!</v>
      </c>
      <c r="AQ24" s="595"/>
      <c r="AR24" s="587"/>
      <c r="AS24" s="587"/>
      <c r="AT24" s="419"/>
      <c r="AU24" s="401"/>
      <c r="AV24" s="401"/>
      <c r="AW24" s="401"/>
      <c r="AX24" s="401"/>
      <c r="AY24" s="401"/>
      <c r="AZ24" s="401"/>
      <c r="BA24" s="401"/>
      <c r="BB24" s="401"/>
      <c r="BC24" s="401"/>
      <c r="BD24" s="385"/>
      <c r="BE24" s="439"/>
      <c r="BF24" s="389"/>
      <c r="BG24" s="521"/>
      <c r="BH24" s="402" t="e">
        <f t="shared" si="20"/>
        <v>#DIV/0!</v>
      </c>
      <c r="BI24" s="402" t="e">
        <f t="shared" si="21"/>
        <v>#DIV/0!</v>
      </c>
    </row>
    <row r="25" spans="1:61" s="359" customFormat="1" ht="19.2" x14ac:dyDescent="0.3">
      <c r="A25" s="360" t="s">
        <v>183</v>
      </c>
      <c r="B25" s="513" t="s">
        <v>261</v>
      </c>
      <c r="C25" s="433" t="s">
        <v>262</v>
      </c>
      <c r="D25" s="361">
        <v>0.4</v>
      </c>
      <c r="E25" s="403">
        <v>75</v>
      </c>
      <c r="F25" s="404">
        <v>15</v>
      </c>
      <c r="G25" s="400">
        <v>15</v>
      </c>
      <c r="H25" s="419">
        <v>67.511920000000003</v>
      </c>
      <c r="I25" s="401">
        <v>47.677509999999998</v>
      </c>
      <c r="J25" s="401">
        <v>4.5854999999999997</v>
      </c>
      <c r="K25" s="401">
        <f>19.03728+19.03728</f>
        <v>38.074559999999998</v>
      </c>
      <c r="L25" s="401">
        <v>9.3886699999999994</v>
      </c>
      <c r="M25" s="401">
        <v>0</v>
      </c>
      <c r="N25" s="401">
        <v>0</v>
      </c>
      <c r="O25" s="401">
        <v>4.4792399999999999</v>
      </c>
      <c r="P25" s="401">
        <v>61.14</v>
      </c>
      <c r="Q25" s="401">
        <v>9.5186399999999995</v>
      </c>
      <c r="R25" s="385" t="s">
        <v>167</v>
      </c>
      <c r="S25" s="439" t="s">
        <v>175</v>
      </c>
      <c r="T25" s="389"/>
      <c r="U25" s="521">
        <v>15</v>
      </c>
      <c r="V25" s="402">
        <f t="shared" si="16"/>
        <v>900.15893333333338</v>
      </c>
      <c r="W25" s="402">
        <f t="shared" si="17"/>
        <v>4.5007946666666667</v>
      </c>
      <c r="X25" s="403"/>
      <c r="Y25" s="404"/>
      <c r="Z25" s="400"/>
      <c r="AA25" s="419"/>
      <c r="AB25" s="401"/>
      <c r="AC25" s="401"/>
      <c r="AD25" s="401"/>
      <c r="AE25" s="401"/>
      <c r="AF25" s="401"/>
      <c r="AG25" s="401"/>
      <c r="AH25" s="401"/>
      <c r="AI25" s="401"/>
      <c r="AJ25" s="401"/>
      <c r="AK25" s="385"/>
      <c r="AL25" s="439"/>
      <c r="AM25" s="389"/>
      <c r="AN25" s="521"/>
      <c r="AO25" s="402" t="e">
        <f t="shared" si="18"/>
        <v>#DIV/0!</v>
      </c>
      <c r="AP25" s="402" t="e">
        <f t="shared" si="19"/>
        <v>#DIV/0!</v>
      </c>
      <c r="AQ25" s="595"/>
      <c r="AR25" s="587"/>
      <c r="AS25" s="400"/>
      <c r="AT25" s="419"/>
      <c r="AU25" s="401"/>
      <c r="AV25" s="401"/>
      <c r="AW25" s="401"/>
      <c r="AX25" s="401"/>
      <c r="AY25" s="401"/>
      <c r="AZ25" s="401"/>
      <c r="BA25" s="401"/>
      <c r="BB25" s="401"/>
      <c r="BC25" s="401"/>
      <c r="BD25" s="385"/>
      <c r="BE25" s="439"/>
      <c r="BF25" s="389"/>
      <c r="BG25" s="521"/>
      <c r="BH25" s="402" t="e">
        <f t="shared" si="20"/>
        <v>#DIV/0!</v>
      </c>
      <c r="BI25" s="402" t="e">
        <f t="shared" si="21"/>
        <v>#DIV/0!</v>
      </c>
    </row>
    <row r="26" spans="1:61" s="359" customFormat="1" ht="19.2" x14ac:dyDescent="0.3">
      <c r="A26" s="360" t="s">
        <v>185</v>
      </c>
      <c r="B26" s="513" t="s">
        <v>273</v>
      </c>
      <c r="C26" s="433" t="s">
        <v>274</v>
      </c>
      <c r="D26" s="361">
        <v>0.4</v>
      </c>
      <c r="E26" s="403">
        <v>50</v>
      </c>
      <c r="F26" s="404">
        <v>15</v>
      </c>
      <c r="G26" s="400">
        <v>15</v>
      </c>
      <c r="H26" s="419">
        <v>34.368980000000001</v>
      </c>
      <c r="I26" s="401">
        <v>23.89077</v>
      </c>
      <c r="J26" s="401">
        <v>2.964</v>
      </c>
      <c r="K26" s="401">
        <v>18.949159999999999</v>
      </c>
      <c r="L26" s="401">
        <v>4.8110799999999996</v>
      </c>
      <c r="M26" s="401">
        <v>0</v>
      </c>
      <c r="N26" s="401">
        <v>0</v>
      </c>
      <c r="O26" s="401">
        <v>2.5112299999999999</v>
      </c>
      <c r="P26" s="401">
        <v>59.08</v>
      </c>
      <c r="Q26" s="401">
        <v>9.4745799999999996</v>
      </c>
      <c r="R26" s="385" t="s">
        <v>167</v>
      </c>
      <c r="S26" s="439" t="s">
        <v>175</v>
      </c>
      <c r="T26" s="389"/>
      <c r="U26" s="521">
        <v>49</v>
      </c>
      <c r="V26" s="402">
        <f t="shared" si="16"/>
        <v>687.37959999999998</v>
      </c>
      <c r="W26" s="402">
        <f t="shared" si="17"/>
        <v>2.2912653333333335</v>
      </c>
      <c r="X26" s="403"/>
      <c r="Y26" s="404"/>
      <c r="Z26" s="400"/>
      <c r="AA26" s="419"/>
      <c r="AB26" s="401"/>
      <c r="AC26" s="401"/>
      <c r="AD26" s="401"/>
      <c r="AE26" s="401"/>
      <c r="AF26" s="401"/>
      <c r="AG26" s="401"/>
      <c r="AH26" s="401"/>
      <c r="AI26" s="401"/>
      <c r="AJ26" s="401"/>
      <c r="AK26" s="385"/>
      <c r="AL26" s="439"/>
      <c r="AM26" s="389"/>
      <c r="AN26" s="521"/>
      <c r="AO26" s="402" t="e">
        <f t="shared" si="18"/>
        <v>#DIV/0!</v>
      </c>
      <c r="AP26" s="402" t="e">
        <f t="shared" si="19"/>
        <v>#DIV/0!</v>
      </c>
      <c r="AQ26" s="595"/>
      <c r="AR26" s="587"/>
      <c r="AS26" s="400"/>
      <c r="AT26" s="419"/>
      <c r="AU26" s="401"/>
      <c r="AV26" s="401"/>
      <c r="AW26" s="401"/>
      <c r="AX26" s="401"/>
      <c r="AY26" s="401"/>
      <c r="AZ26" s="401"/>
      <c r="BA26" s="401"/>
      <c r="BB26" s="401"/>
      <c r="BC26" s="401"/>
      <c r="BD26" s="385"/>
      <c r="BE26" s="439"/>
      <c r="BF26" s="389"/>
      <c r="BG26" s="521"/>
      <c r="BH26" s="402" t="e">
        <f t="shared" si="20"/>
        <v>#DIV/0!</v>
      </c>
      <c r="BI26" s="402" t="e">
        <f t="shared" si="21"/>
        <v>#DIV/0!</v>
      </c>
    </row>
    <row r="27" spans="1:61" s="359" customFormat="1" ht="19.2" x14ac:dyDescent="0.3">
      <c r="A27" s="360" t="s">
        <v>187</v>
      </c>
      <c r="B27" s="513" t="s">
        <v>284</v>
      </c>
      <c r="C27" s="433" t="s">
        <v>285</v>
      </c>
      <c r="D27" s="361">
        <v>0.4</v>
      </c>
      <c r="E27" s="403">
        <v>115</v>
      </c>
      <c r="F27" s="404">
        <v>9</v>
      </c>
      <c r="G27" s="400">
        <v>9</v>
      </c>
      <c r="H27" s="419">
        <v>16.506</v>
      </c>
      <c r="I27" s="401">
        <v>9.9459999999999997</v>
      </c>
      <c r="J27" s="401">
        <v>6.2214999999999998</v>
      </c>
      <c r="K27" s="401">
        <v>0</v>
      </c>
      <c r="L27" s="401">
        <v>2.9420000000000002</v>
      </c>
      <c r="M27" s="401">
        <v>0</v>
      </c>
      <c r="N27" s="401">
        <v>0</v>
      </c>
      <c r="O27" s="401">
        <v>1.675</v>
      </c>
      <c r="P27" s="401">
        <v>54.1</v>
      </c>
      <c r="Q27" s="401">
        <v>8.9794300000000007</v>
      </c>
      <c r="R27" s="385" t="s">
        <v>167</v>
      </c>
      <c r="S27" s="439" t="s">
        <v>175</v>
      </c>
      <c r="T27" s="389"/>
      <c r="U27" s="521">
        <v>78</v>
      </c>
      <c r="V27" s="402">
        <f t="shared" si="16"/>
        <v>143.53043478260869</v>
      </c>
      <c r="W27" s="402">
        <f t="shared" si="17"/>
        <v>1.8340000000000001</v>
      </c>
      <c r="X27" s="403"/>
      <c r="Y27" s="404"/>
      <c r="Z27" s="400"/>
      <c r="AA27" s="419"/>
      <c r="AB27" s="401"/>
      <c r="AC27" s="401"/>
      <c r="AD27" s="401"/>
      <c r="AE27" s="401"/>
      <c r="AF27" s="401"/>
      <c r="AG27" s="401"/>
      <c r="AH27" s="401"/>
      <c r="AI27" s="401"/>
      <c r="AJ27" s="401"/>
      <c r="AK27" s="385"/>
      <c r="AL27" s="439"/>
      <c r="AM27" s="389"/>
      <c r="AN27" s="521"/>
      <c r="AO27" s="402" t="e">
        <f t="shared" si="18"/>
        <v>#DIV/0!</v>
      </c>
      <c r="AP27" s="402" t="e">
        <f t="shared" si="19"/>
        <v>#DIV/0!</v>
      </c>
      <c r="AQ27" s="595"/>
      <c r="AR27" s="587"/>
      <c r="AS27" s="400"/>
      <c r="AT27" s="419"/>
      <c r="AU27" s="401"/>
      <c r="AV27" s="401"/>
      <c r="AW27" s="401"/>
      <c r="AX27" s="401"/>
      <c r="AY27" s="401"/>
      <c r="AZ27" s="401"/>
      <c r="BA27" s="401"/>
      <c r="BB27" s="401"/>
      <c r="BC27" s="401"/>
      <c r="BD27" s="385"/>
      <c r="BE27" s="439"/>
      <c r="BF27" s="389"/>
      <c r="BG27" s="521"/>
      <c r="BH27" s="402" t="e">
        <f t="shared" si="20"/>
        <v>#DIV/0!</v>
      </c>
      <c r="BI27" s="402" t="e">
        <f t="shared" si="21"/>
        <v>#DIV/0!</v>
      </c>
    </row>
    <row r="28" spans="1:61" s="359" customFormat="1" ht="19.2" x14ac:dyDescent="0.3">
      <c r="A28" s="360" t="s">
        <v>190</v>
      </c>
      <c r="B28" s="513" t="s">
        <v>286</v>
      </c>
      <c r="C28" s="433" t="s">
        <v>287</v>
      </c>
      <c r="D28" s="361">
        <v>0.4</v>
      </c>
      <c r="E28" s="403">
        <v>35</v>
      </c>
      <c r="F28" s="404">
        <v>15</v>
      </c>
      <c r="G28" s="400">
        <v>15</v>
      </c>
      <c r="H28" s="419">
        <v>5.1790000000000003</v>
      </c>
      <c r="I28" s="401">
        <v>3.1829999999999998</v>
      </c>
      <c r="J28" s="401">
        <v>1.8935</v>
      </c>
      <c r="K28" s="401">
        <v>0</v>
      </c>
      <c r="L28" s="401">
        <v>0.89600000000000002</v>
      </c>
      <c r="M28" s="401">
        <v>0</v>
      </c>
      <c r="N28" s="401">
        <v>0</v>
      </c>
      <c r="O28" s="401">
        <v>0.51</v>
      </c>
      <c r="P28" s="401">
        <v>54.1</v>
      </c>
      <c r="Q28" s="401">
        <v>8.9735800000000001</v>
      </c>
      <c r="R28" s="385" t="s">
        <v>167</v>
      </c>
      <c r="S28" s="439" t="s">
        <v>175</v>
      </c>
      <c r="T28" s="389"/>
      <c r="U28" s="521">
        <v>83</v>
      </c>
      <c r="V28" s="402">
        <f t="shared" si="16"/>
        <v>147.97142857142859</v>
      </c>
      <c r="W28" s="402">
        <f t="shared" si="17"/>
        <v>0.34526666666666667</v>
      </c>
      <c r="X28" s="403"/>
      <c r="Y28" s="404"/>
      <c r="Z28" s="400"/>
      <c r="AA28" s="419"/>
      <c r="AB28" s="401"/>
      <c r="AC28" s="401"/>
      <c r="AD28" s="401"/>
      <c r="AE28" s="401"/>
      <c r="AF28" s="401"/>
      <c r="AG28" s="401"/>
      <c r="AH28" s="401"/>
      <c r="AI28" s="401"/>
      <c r="AJ28" s="401"/>
      <c r="AK28" s="385"/>
      <c r="AL28" s="439"/>
      <c r="AM28" s="389"/>
      <c r="AN28" s="521"/>
      <c r="AO28" s="402" t="e">
        <f t="shared" si="18"/>
        <v>#DIV/0!</v>
      </c>
      <c r="AP28" s="402" t="e">
        <f t="shared" si="19"/>
        <v>#DIV/0!</v>
      </c>
      <c r="AQ28" s="595"/>
      <c r="AR28" s="587"/>
      <c r="AS28" s="400"/>
      <c r="AT28" s="419"/>
      <c r="AU28" s="401"/>
      <c r="AV28" s="401"/>
      <c r="AW28" s="401"/>
      <c r="AX28" s="401"/>
      <c r="AY28" s="401"/>
      <c r="AZ28" s="401"/>
      <c r="BA28" s="401"/>
      <c r="BB28" s="401"/>
      <c r="BC28" s="401"/>
      <c r="BD28" s="385"/>
      <c r="BE28" s="439"/>
      <c r="BF28" s="389"/>
      <c r="BG28" s="521"/>
      <c r="BH28" s="402" t="e">
        <f t="shared" si="20"/>
        <v>#DIV/0!</v>
      </c>
      <c r="BI28" s="402" t="e">
        <f t="shared" si="21"/>
        <v>#DIV/0!</v>
      </c>
    </row>
    <row r="29" spans="1:61" s="359" customFormat="1" ht="19.2" x14ac:dyDescent="0.3">
      <c r="A29" s="360" t="s">
        <v>598</v>
      </c>
      <c r="B29" s="513" t="s">
        <v>288</v>
      </c>
      <c r="C29" s="433" t="s">
        <v>289</v>
      </c>
      <c r="D29" s="361">
        <v>0.4</v>
      </c>
      <c r="E29" s="403">
        <v>85</v>
      </c>
      <c r="F29" s="404">
        <v>15</v>
      </c>
      <c r="G29" s="400">
        <v>15</v>
      </c>
      <c r="H29" s="419">
        <v>55.990459999999999</v>
      </c>
      <c r="I29" s="401">
        <v>38.376899999999999</v>
      </c>
      <c r="J29" s="401">
        <v>4.5984999999999996</v>
      </c>
      <c r="K29" s="401">
        <v>26.920739999999999</v>
      </c>
      <c r="L29" s="401">
        <v>8.0330899999999996</v>
      </c>
      <c r="M29" s="401">
        <v>0</v>
      </c>
      <c r="N29" s="401">
        <v>0</v>
      </c>
      <c r="O29" s="401">
        <v>4.2515599999999996</v>
      </c>
      <c r="P29" s="401">
        <v>54.1</v>
      </c>
      <c r="Q29" s="401">
        <v>8.9735800000000001</v>
      </c>
      <c r="R29" s="385" t="s">
        <v>167</v>
      </c>
      <c r="S29" s="439" t="s">
        <v>175</v>
      </c>
      <c r="T29" s="389"/>
      <c r="U29" s="521">
        <v>87</v>
      </c>
      <c r="V29" s="402">
        <f t="shared" si="16"/>
        <v>658.71129411764707</v>
      </c>
      <c r="W29" s="402">
        <f t="shared" si="17"/>
        <v>3.7326973333333333</v>
      </c>
      <c r="X29" s="403"/>
      <c r="Y29" s="404"/>
      <c r="Z29" s="400"/>
      <c r="AA29" s="419"/>
      <c r="AB29" s="401"/>
      <c r="AC29" s="401"/>
      <c r="AD29" s="401"/>
      <c r="AE29" s="401"/>
      <c r="AF29" s="401"/>
      <c r="AG29" s="401"/>
      <c r="AH29" s="401"/>
      <c r="AI29" s="401"/>
      <c r="AJ29" s="401"/>
      <c r="AK29" s="385"/>
      <c r="AL29" s="439"/>
      <c r="AM29" s="389"/>
      <c r="AN29" s="521"/>
      <c r="AO29" s="402" t="e">
        <f t="shared" si="18"/>
        <v>#DIV/0!</v>
      </c>
      <c r="AP29" s="402" t="e">
        <f t="shared" si="19"/>
        <v>#DIV/0!</v>
      </c>
      <c r="AQ29" s="595"/>
      <c r="AR29" s="587"/>
      <c r="AS29" s="400"/>
      <c r="AT29" s="419"/>
      <c r="AU29" s="401"/>
      <c r="AV29" s="401"/>
      <c r="AW29" s="401"/>
      <c r="AX29" s="401"/>
      <c r="AY29" s="401"/>
      <c r="AZ29" s="401"/>
      <c r="BA29" s="401"/>
      <c r="BB29" s="401"/>
      <c r="BC29" s="401"/>
      <c r="BD29" s="385"/>
      <c r="BE29" s="439"/>
      <c r="BF29" s="389"/>
      <c r="BG29" s="521"/>
      <c r="BH29" s="402" t="e">
        <f t="shared" si="20"/>
        <v>#DIV/0!</v>
      </c>
      <c r="BI29" s="402" t="e">
        <f t="shared" si="21"/>
        <v>#DIV/0!</v>
      </c>
    </row>
    <row r="30" spans="1:61" s="359" customFormat="1" ht="19.2" x14ac:dyDescent="0.3">
      <c r="A30" s="360" t="s">
        <v>599</v>
      </c>
      <c r="B30" s="513" t="s">
        <v>311</v>
      </c>
      <c r="C30" s="433" t="s">
        <v>312</v>
      </c>
      <c r="D30" s="361">
        <v>0.4</v>
      </c>
      <c r="E30" s="403">
        <v>33</v>
      </c>
      <c r="F30" s="404">
        <v>15</v>
      </c>
      <c r="G30" s="400">
        <v>15</v>
      </c>
      <c r="H30" s="419">
        <v>18.878609999999998</v>
      </c>
      <c r="I30" s="401">
        <v>13.530749999999999</v>
      </c>
      <c r="J30" s="401">
        <v>2.01762</v>
      </c>
      <c r="K30" s="401">
        <v>9.3332800000000002</v>
      </c>
      <c r="L30" s="401">
        <v>2.5819000000000001</v>
      </c>
      <c r="M30" s="401">
        <v>0</v>
      </c>
      <c r="N30" s="401">
        <v>0</v>
      </c>
      <c r="O30" s="401">
        <v>1.2112000000000001</v>
      </c>
      <c r="P30" s="401">
        <v>61.14</v>
      </c>
      <c r="Q30" s="401">
        <v>9.3332800000000002</v>
      </c>
      <c r="R30" s="385" t="s">
        <v>167</v>
      </c>
      <c r="S30" s="439" t="s">
        <v>175</v>
      </c>
      <c r="T30" s="389"/>
      <c r="U30" s="521">
        <v>148</v>
      </c>
      <c r="V30" s="402">
        <f t="shared" si="16"/>
        <v>572.07909090909084</v>
      </c>
      <c r="W30" s="402">
        <f t="shared" si="17"/>
        <v>1.2585739999999999</v>
      </c>
      <c r="X30" s="403"/>
      <c r="Y30" s="404"/>
      <c r="Z30" s="400"/>
      <c r="AA30" s="419"/>
      <c r="AB30" s="401"/>
      <c r="AC30" s="401"/>
      <c r="AD30" s="401"/>
      <c r="AE30" s="401"/>
      <c r="AF30" s="401"/>
      <c r="AG30" s="401"/>
      <c r="AH30" s="401"/>
      <c r="AI30" s="401"/>
      <c r="AJ30" s="401"/>
      <c r="AK30" s="385"/>
      <c r="AL30" s="439"/>
      <c r="AM30" s="389"/>
      <c r="AN30" s="521"/>
      <c r="AO30" s="402" t="e">
        <f t="shared" si="18"/>
        <v>#DIV/0!</v>
      </c>
      <c r="AP30" s="402" t="e">
        <f t="shared" si="19"/>
        <v>#DIV/0!</v>
      </c>
      <c r="AQ30" s="595"/>
      <c r="AR30" s="587"/>
      <c r="AS30" s="400"/>
      <c r="AT30" s="419"/>
      <c r="AU30" s="401"/>
      <c r="AV30" s="401"/>
      <c r="AW30" s="401"/>
      <c r="AX30" s="401"/>
      <c r="AY30" s="401"/>
      <c r="AZ30" s="401"/>
      <c r="BA30" s="401"/>
      <c r="BB30" s="401"/>
      <c r="BC30" s="401"/>
      <c r="BD30" s="385"/>
      <c r="BE30" s="439"/>
      <c r="BF30" s="389"/>
      <c r="BG30" s="521"/>
      <c r="BH30" s="402" t="e">
        <f t="shared" si="20"/>
        <v>#DIV/0!</v>
      </c>
      <c r="BI30" s="402" t="e">
        <f t="shared" si="21"/>
        <v>#DIV/0!</v>
      </c>
    </row>
    <row r="31" spans="1:61" s="359" customFormat="1" ht="19.2" x14ac:dyDescent="0.3">
      <c r="A31" s="360" t="s">
        <v>600</v>
      </c>
      <c r="B31" s="513" t="s">
        <v>327</v>
      </c>
      <c r="C31" s="433" t="s">
        <v>328</v>
      </c>
      <c r="D31" s="361">
        <v>0.4</v>
      </c>
      <c r="E31" s="403">
        <v>40</v>
      </c>
      <c r="F31" s="404">
        <v>15</v>
      </c>
      <c r="G31" s="400">
        <v>15</v>
      </c>
      <c r="H31" s="419">
        <v>33.014299999999999</v>
      </c>
      <c r="I31" s="401">
        <v>23.60097</v>
      </c>
      <c r="J31" s="401">
        <v>2.4456000000000002</v>
      </c>
      <c r="K31" s="401">
        <v>19.037299999999998</v>
      </c>
      <c r="L31" s="401">
        <v>4.5656800000000004</v>
      </c>
      <c r="M31" s="401">
        <v>0</v>
      </c>
      <c r="N31" s="401">
        <v>0</v>
      </c>
      <c r="O31" s="401">
        <v>2.1061899999999998</v>
      </c>
      <c r="P31" s="401">
        <v>61.14</v>
      </c>
      <c r="Q31" s="401">
        <v>9.5186499999999992</v>
      </c>
      <c r="R31" s="385" t="s">
        <v>167</v>
      </c>
      <c r="S31" s="439" t="s">
        <v>175</v>
      </c>
      <c r="T31" s="389"/>
      <c r="U31" s="521">
        <v>180</v>
      </c>
      <c r="V31" s="402">
        <f t="shared" si="16"/>
        <v>825.35749999999996</v>
      </c>
      <c r="W31" s="402">
        <f t="shared" si="17"/>
        <v>2.2009533333333331</v>
      </c>
      <c r="X31" s="403"/>
      <c r="Y31" s="404"/>
      <c r="Z31" s="400"/>
      <c r="AA31" s="419"/>
      <c r="AB31" s="401"/>
      <c r="AC31" s="401"/>
      <c r="AD31" s="401"/>
      <c r="AE31" s="401"/>
      <c r="AF31" s="401"/>
      <c r="AG31" s="401"/>
      <c r="AH31" s="401"/>
      <c r="AI31" s="401"/>
      <c r="AJ31" s="401"/>
      <c r="AK31" s="385"/>
      <c r="AL31" s="439"/>
      <c r="AM31" s="389"/>
      <c r="AN31" s="521"/>
      <c r="AO31" s="402" t="e">
        <f t="shared" si="18"/>
        <v>#DIV/0!</v>
      </c>
      <c r="AP31" s="402" t="e">
        <f t="shared" si="19"/>
        <v>#DIV/0!</v>
      </c>
      <c r="AQ31" s="595"/>
      <c r="AR31" s="587"/>
      <c r="AS31" s="400"/>
      <c r="AT31" s="419"/>
      <c r="AU31" s="401"/>
      <c r="AV31" s="401"/>
      <c r="AW31" s="401"/>
      <c r="AX31" s="401"/>
      <c r="AY31" s="401"/>
      <c r="AZ31" s="401"/>
      <c r="BA31" s="401"/>
      <c r="BB31" s="401"/>
      <c r="BC31" s="401"/>
      <c r="BD31" s="385"/>
      <c r="BE31" s="439"/>
      <c r="BF31" s="389"/>
      <c r="BG31" s="521"/>
      <c r="BH31" s="402" t="e">
        <f t="shared" si="20"/>
        <v>#DIV/0!</v>
      </c>
      <c r="BI31" s="402" t="e">
        <f t="shared" si="21"/>
        <v>#DIV/0!</v>
      </c>
    </row>
    <row r="32" spans="1:61" s="359" customFormat="1" ht="19.2" x14ac:dyDescent="0.3">
      <c r="A32" s="360" t="s">
        <v>601</v>
      </c>
      <c r="B32" s="513" t="s">
        <v>331</v>
      </c>
      <c r="C32" s="433" t="s">
        <v>332</v>
      </c>
      <c r="D32" s="361">
        <v>0.4</v>
      </c>
      <c r="E32" s="403">
        <v>53</v>
      </c>
      <c r="F32" s="404">
        <v>15</v>
      </c>
      <c r="G32" s="400">
        <v>15</v>
      </c>
      <c r="H32" s="419">
        <v>21.240880000000001</v>
      </c>
      <c r="I32" s="401">
        <v>14.906549999999999</v>
      </c>
      <c r="J32" s="401">
        <v>3.2404199999999999</v>
      </c>
      <c r="K32" s="401">
        <v>9.5186399999999995</v>
      </c>
      <c r="L32" s="401">
        <v>3.0419999999999998</v>
      </c>
      <c r="M32" s="401">
        <v>0</v>
      </c>
      <c r="N32" s="401">
        <v>0</v>
      </c>
      <c r="O32" s="401">
        <v>1.45444</v>
      </c>
      <c r="P32" s="401">
        <v>61.14</v>
      </c>
      <c r="Q32" s="401">
        <v>9.5186399999999995</v>
      </c>
      <c r="R32" s="385" t="s">
        <v>167</v>
      </c>
      <c r="S32" s="439" t="s">
        <v>175</v>
      </c>
      <c r="T32" s="389"/>
      <c r="U32" s="521">
        <v>188</v>
      </c>
      <c r="V32" s="402">
        <f t="shared" si="16"/>
        <v>400.77132075471701</v>
      </c>
      <c r="W32" s="402">
        <f t="shared" si="17"/>
        <v>1.4160586666666668</v>
      </c>
      <c r="X32" s="403"/>
      <c r="Y32" s="404"/>
      <c r="Z32" s="400"/>
      <c r="AA32" s="419"/>
      <c r="AB32" s="401"/>
      <c r="AC32" s="401"/>
      <c r="AD32" s="401"/>
      <c r="AE32" s="401"/>
      <c r="AF32" s="401"/>
      <c r="AG32" s="401"/>
      <c r="AH32" s="401"/>
      <c r="AI32" s="401"/>
      <c r="AJ32" s="401"/>
      <c r="AK32" s="385"/>
      <c r="AL32" s="439"/>
      <c r="AM32" s="389"/>
      <c r="AN32" s="521"/>
      <c r="AO32" s="402" t="e">
        <f t="shared" si="18"/>
        <v>#DIV/0!</v>
      </c>
      <c r="AP32" s="402" t="e">
        <f t="shared" si="19"/>
        <v>#DIV/0!</v>
      </c>
      <c r="AQ32" s="595"/>
      <c r="AR32" s="587"/>
      <c r="AS32" s="400"/>
      <c r="AT32" s="419"/>
      <c r="AU32" s="401"/>
      <c r="AV32" s="401"/>
      <c r="AW32" s="401"/>
      <c r="AX32" s="401"/>
      <c r="AY32" s="401"/>
      <c r="AZ32" s="401"/>
      <c r="BA32" s="401"/>
      <c r="BB32" s="401"/>
      <c r="BC32" s="401"/>
      <c r="BD32" s="385"/>
      <c r="BE32" s="439"/>
      <c r="BF32" s="389"/>
      <c r="BG32" s="521"/>
      <c r="BH32" s="402" t="e">
        <f t="shared" si="20"/>
        <v>#DIV/0!</v>
      </c>
      <c r="BI32" s="402" t="e">
        <f t="shared" si="21"/>
        <v>#DIV/0!</v>
      </c>
    </row>
    <row r="33" spans="1:61" s="359" customFormat="1" ht="19.2" x14ac:dyDescent="0.3">
      <c r="A33" s="360" t="s">
        <v>602</v>
      </c>
      <c r="B33" s="513" t="s">
        <v>344</v>
      </c>
      <c r="C33" s="433" t="s">
        <v>345</v>
      </c>
      <c r="D33" s="361">
        <v>0.4</v>
      </c>
      <c r="E33" s="403">
        <v>55</v>
      </c>
      <c r="F33" s="404">
        <v>15</v>
      </c>
      <c r="G33" s="400">
        <v>15</v>
      </c>
      <c r="H33" s="419">
        <v>19.625319999999999</v>
      </c>
      <c r="I33" s="401">
        <v>12.80499</v>
      </c>
      <c r="J33" s="401">
        <v>3.2494000000000001</v>
      </c>
      <c r="K33" s="401">
        <v>9.3019099999999995</v>
      </c>
      <c r="L33" s="401">
        <v>3.1209899999999999</v>
      </c>
      <c r="M33" s="401">
        <v>0</v>
      </c>
      <c r="N33" s="401">
        <v>0</v>
      </c>
      <c r="O33" s="401">
        <v>1.65648</v>
      </c>
      <c r="P33" s="401">
        <v>59.08</v>
      </c>
      <c r="Q33" s="401">
        <v>9.3019099999999995</v>
      </c>
      <c r="R33" s="385" t="s">
        <v>167</v>
      </c>
      <c r="S33" s="439" t="s">
        <v>175</v>
      </c>
      <c r="T33" s="389"/>
      <c r="U33" s="521">
        <v>214</v>
      </c>
      <c r="V33" s="402">
        <f t="shared" si="16"/>
        <v>356.82399999999996</v>
      </c>
      <c r="W33" s="402">
        <f t="shared" si="17"/>
        <v>1.3083546666666666</v>
      </c>
      <c r="X33" s="403"/>
      <c r="Y33" s="404"/>
      <c r="Z33" s="400"/>
      <c r="AA33" s="419"/>
      <c r="AB33" s="401"/>
      <c r="AC33" s="401"/>
      <c r="AD33" s="401"/>
      <c r="AE33" s="401"/>
      <c r="AF33" s="401"/>
      <c r="AG33" s="401"/>
      <c r="AH33" s="401"/>
      <c r="AI33" s="401"/>
      <c r="AJ33" s="401"/>
      <c r="AK33" s="385"/>
      <c r="AL33" s="439"/>
      <c r="AM33" s="389"/>
      <c r="AN33" s="521"/>
      <c r="AO33" s="402" t="e">
        <f t="shared" si="18"/>
        <v>#DIV/0!</v>
      </c>
      <c r="AP33" s="402" t="e">
        <f t="shared" si="19"/>
        <v>#DIV/0!</v>
      </c>
      <c r="AQ33" s="595"/>
      <c r="AR33" s="587"/>
      <c r="AS33" s="400"/>
      <c r="AT33" s="419"/>
      <c r="AU33" s="401"/>
      <c r="AV33" s="401"/>
      <c r="AW33" s="401"/>
      <c r="AX33" s="401"/>
      <c r="AY33" s="401"/>
      <c r="AZ33" s="401"/>
      <c r="BA33" s="401"/>
      <c r="BB33" s="401"/>
      <c r="BC33" s="401"/>
      <c r="BD33" s="385"/>
      <c r="BE33" s="439"/>
      <c r="BF33" s="389"/>
      <c r="BG33" s="521"/>
      <c r="BH33" s="402" t="e">
        <f t="shared" si="20"/>
        <v>#DIV/0!</v>
      </c>
      <c r="BI33" s="402" t="e">
        <f t="shared" si="21"/>
        <v>#DIV/0!</v>
      </c>
    </row>
    <row r="34" spans="1:61" s="359" customFormat="1" ht="19.2" x14ac:dyDescent="0.3">
      <c r="A34" s="360" t="s">
        <v>603</v>
      </c>
      <c r="B34" s="513" t="s">
        <v>348</v>
      </c>
      <c r="C34" s="433" t="s">
        <v>349</v>
      </c>
      <c r="D34" s="361">
        <v>0.4</v>
      </c>
      <c r="E34" s="403">
        <v>85</v>
      </c>
      <c r="F34" s="404">
        <v>15</v>
      </c>
      <c r="G34" s="400">
        <v>15</v>
      </c>
      <c r="H34" s="419">
        <v>50.635509999999996</v>
      </c>
      <c r="I34" s="401">
        <v>34.391129999999997</v>
      </c>
      <c r="J34" s="401">
        <v>4.5984999999999996</v>
      </c>
      <c r="K34" s="401">
        <v>26.998950000000001</v>
      </c>
      <c r="L34" s="401">
        <v>7.4550999999999998</v>
      </c>
      <c r="M34" s="401">
        <v>0</v>
      </c>
      <c r="N34" s="401">
        <v>0</v>
      </c>
      <c r="O34" s="401">
        <v>3.9004699999999999</v>
      </c>
      <c r="P34" s="401">
        <v>54.1</v>
      </c>
      <c r="Q34" s="401">
        <v>8.9996500000000008</v>
      </c>
      <c r="R34" s="385" t="s">
        <v>167</v>
      </c>
      <c r="S34" s="439" t="s">
        <v>175</v>
      </c>
      <c r="T34" s="389"/>
      <c r="U34" s="521">
        <v>222</v>
      </c>
      <c r="V34" s="402">
        <f t="shared" si="16"/>
        <v>595.71188235294119</v>
      </c>
      <c r="W34" s="402">
        <f t="shared" si="17"/>
        <v>3.3757006666666665</v>
      </c>
      <c r="X34" s="403"/>
      <c r="Y34" s="404"/>
      <c r="Z34" s="400"/>
      <c r="AA34" s="419"/>
      <c r="AB34" s="401"/>
      <c r="AC34" s="401"/>
      <c r="AD34" s="401"/>
      <c r="AE34" s="401"/>
      <c r="AF34" s="401"/>
      <c r="AG34" s="401"/>
      <c r="AH34" s="401"/>
      <c r="AI34" s="401"/>
      <c r="AJ34" s="401"/>
      <c r="AK34" s="385"/>
      <c r="AL34" s="439"/>
      <c r="AM34" s="389"/>
      <c r="AN34" s="521"/>
      <c r="AO34" s="402" t="e">
        <f t="shared" si="18"/>
        <v>#DIV/0!</v>
      </c>
      <c r="AP34" s="402" t="e">
        <f t="shared" si="19"/>
        <v>#DIV/0!</v>
      </c>
      <c r="AQ34" s="595"/>
      <c r="AR34" s="587"/>
      <c r="AS34" s="400"/>
      <c r="AT34" s="419"/>
      <c r="AU34" s="401"/>
      <c r="AV34" s="401"/>
      <c r="AW34" s="401"/>
      <c r="AX34" s="401"/>
      <c r="AY34" s="401"/>
      <c r="AZ34" s="401"/>
      <c r="BA34" s="401"/>
      <c r="BB34" s="401"/>
      <c r="BC34" s="401"/>
      <c r="BD34" s="385"/>
      <c r="BE34" s="439"/>
      <c r="BF34" s="389"/>
      <c r="BG34" s="521"/>
      <c r="BH34" s="402" t="e">
        <f t="shared" si="20"/>
        <v>#DIV/0!</v>
      </c>
      <c r="BI34" s="402" t="e">
        <f t="shared" si="21"/>
        <v>#DIV/0!</v>
      </c>
    </row>
    <row r="35" spans="1:61" s="359" customFormat="1" ht="19.2" x14ac:dyDescent="0.3">
      <c r="A35" s="360" t="s">
        <v>604</v>
      </c>
      <c r="B35" s="513" t="s">
        <v>354</v>
      </c>
      <c r="C35" s="433" t="s">
        <v>355</v>
      </c>
      <c r="D35" s="361">
        <v>0.4</v>
      </c>
      <c r="E35" s="403">
        <v>30</v>
      </c>
      <c r="F35" s="404">
        <v>15</v>
      </c>
      <c r="G35" s="400">
        <v>15</v>
      </c>
      <c r="H35" s="419">
        <v>17.731850000000001</v>
      </c>
      <c r="I35" s="401">
        <v>12.22922</v>
      </c>
      <c r="J35" s="401">
        <v>1.623</v>
      </c>
      <c r="K35" s="401">
        <v>8.9794300000000007</v>
      </c>
      <c r="L35" s="401">
        <v>2.5247799999999998</v>
      </c>
      <c r="M35" s="401">
        <v>0</v>
      </c>
      <c r="N35" s="401">
        <v>0</v>
      </c>
      <c r="O35" s="401">
        <v>1.3224199999999999</v>
      </c>
      <c r="P35" s="401">
        <v>54.1</v>
      </c>
      <c r="Q35" s="401">
        <v>8.9794300000000007</v>
      </c>
      <c r="R35" s="385" t="s">
        <v>167</v>
      </c>
      <c r="S35" s="439" t="s">
        <v>175</v>
      </c>
      <c r="T35" s="389"/>
      <c r="U35" s="521">
        <v>234</v>
      </c>
      <c r="V35" s="402">
        <f t="shared" si="16"/>
        <v>591.06166666666672</v>
      </c>
      <c r="W35" s="402">
        <f t="shared" si="17"/>
        <v>1.1821233333333334</v>
      </c>
      <c r="X35" s="403"/>
      <c r="Y35" s="404"/>
      <c r="Z35" s="400"/>
      <c r="AA35" s="419"/>
      <c r="AB35" s="401"/>
      <c r="AC35" s="401"/>
      <c r="AD35" s="401"/>
      <c r="AE35" s="401"/>
      <c r="AF35" s="401"/>
      <c r="AG35" s="401"/>
      <c r="AH35" s="401"/>
      <c r="AI35" s="401"/>
      <c r="AJ35" s="401"/>
      <c r="AK35" s="385"/>
      <c r="AL35" s="439"/>
      <c r="AM35" s="389"/>
      <c r="AN35" s="521"/>
      <c r="AO35" s="402" t="e">
        <f t="shared" si="18"/>
        <v>#DIV/0!</v>
      </c>
      <c r="AP35" s="402" t="e">
        <f t="shared" si="19"/>
        <v>#DIV/0!</v>
      </c>
      <c r="AQ35" s="595"/>
      <c r="AR35" s="587"/>
      <c r="AS35" s="400"/>
      <c r="AT35" s="419"/>
      <c r="AU35" s="401"/>
      <c r="AV35" s="401"/>
      <c r="AW35" s="401"/>
      <c r="AX35" s="401"/>
      <c r="AY35" s="401"/>
      <c r="AZ35" s="401"/>
      <c r="BA35" s="401"/>
      <c r="BB35" s="401"/>
      <c r="BC35" s="401"/>
      <c r="BD35" s="385"/>
      <c r="BE35" s="439"/>
      <c r="BF35" s="389"/>
      <c r="BG35" s="521"/>
      <c r="BH35" s="402" t="e">
        <f t="shared" si="20"/>
        <v>#DIV/0!</v>
      </c>
      <c r="BI35" s="402" t="e">
        <f t="shared" si="21"/>
        <v>#DIV/0!</v>
      </c>
    </row>
    <row r="36" spans="1:61" s="359" customFormat="1" ht="19.2" x14ac:dyDescent="0.3">
      <c r="A36" s="360" t="s">
        <v>605</v>
      </c>
      <c r="B36" s="513" t="s">
        <v>356</v>
      </c>
      <c r="C36" s="433" t="s">
        <v>357</v>
      </c>
      <c r="D36" s="361">
        <v>0.4</v>
      </c>
      <c r="E36" s="403">
        <v>44</v>
      </c>
      <c r="F36" s="404">
        <v>7</v>
      </c>
      <c r="G36" s="400">
        <v>7</v>
      </c>
      <c r="H36" s="419">
        <v>18.296479999999999</v>
      </c>
      <c r="I36" s="401">
        <v>12.05593</v>
      </c>
      <c r="J36" s="401">
        <v>2.3803999999999998</v>
      </c>
      <c r="K36" s="401">
        <v>8.9996500000000008</v>
      </c>
      <c r="L36" s="401">
        <v>2.85866</v>
      </c>
      <c r="M36" s="401">
        <v>0</v>
      </c>
      <c r="N36" s="401">
        <v>0</v>
      </c>
      <c r="O36" s="401">
        <v>1.5095000000000001</v>
      </c>
      <c r="P36" s="401">
        <v>54.1</v>
      </c>
      <c r="Q36" s="401">
        <v>8.9996500000000008</v>
      </c>
      <c r="R36" s="385" t="s">
        <v>167</v>
      </c>
      <c r="S36" s="439" t="s">
        <v>175</v>
      </c>
      <c r="T36" s="389"/>
      <c r="U36" s="521">
        <v>238</v>
      </c>
      <c r="V36" s="402">
        <f t="shared" si="16"/>
        <v>415.82909090909089</v>
      </c>
      <c r="W36" s="402">
        <f t="shared" si="17"/>
        <v>2.6137828571428572</v>
      </c>
      <c r="X36" s="403"/>
      <c r="Y36" s="404"/>
      <c r="Z36" s="400"/>
      <c r="AA36" s="419"/>
      <c r="AB36" s="401"/>
      <c r="AC36" s="401"/>
      <c r="AD36" s="401"/>
      <c r="AE36" s="401"/>
      <c r="AF36" s="401"/>
      <c r="AG36" s="401"/>
      <c r="AH36" s="401"/>
      <c r="AI36" s="401"/>
      <c r="AJ36" s="401"/>
      <c r="AK36" s="385"/>
      <c r="AL36" s="439"/>
      <c r="AM36" s="389"/>
      <c r="AN36" s="521"/>
      <c r="AO36" s="402" t="e">
        <f t="shared" si="18"/>
        <v>#DIV/0!</v>
      </c>
      <c r="AP36" s="402" t="e">
        <f t="shared" si="19"/>
        <v>#DIV/0!</v>
      </c>
      <c r="AQ36" s="595"/>
      <c r="AR36" s="587"/>
      <c r="AS36" s="400"/>
      <c r="AT36" s="419"/>
      <c r="AU36" s="401"/>
      <c r="AV36" s="401"/>
      <c r="AW36" s="401"/>
      <c r="AX36" s="401"/>
      <c r="AY36" s="401"/>
      <c r="AZ36" s="401"/>
      <c r="BA36" s="401"/>
      <c r="BB36" s="401"/>
      <c r="BC36" s="401"/>
      <c r="BD36" s="385"/>
      <c r="BE36" s="439"/>
      <c r="BF36" s="389"/>
      <c r="BG36" s="521"/>
      <c r="BH36" s="402" t="e">
        <f t="shared" si="20"/>
        <v>#DIV/0!</v>
      </c>
      <c r="BI36" s="402" t="e">
        <f t="shared" si="21"/>
        <v>#DIV/0!</v>
      </c>
    </row>
    <row r="37" spans="1:61" s="359" customFormat="1" ht="19.2" x14ac:dyDescent="0.3">
      <c r="A37" s="360" t="s">
        <v>606</v>
      </c>
      <c r="B37" s="513" t="s">
        <v>378</v>
      </c>
      <c r="C37" s="433" t="s">
        <v>379</v>
      </c>
      <c r="D37" s="361">
        <v>0.4</v>
      </c>
      <c r="E37" s="403">
        <v>115</v>
      </c>
      <c r="F37" s="404">
        <v>15</v>
      </c>
      <c r="G37" s="400">
        <v>15</v>
      </c>
      <c r="H37" s="419">
        <v>28.711739999999999</v>
      </c>
      <c r="I37" s="401">
        <v>17.896820000000002</v>
      </c>
      <c r="J37" s="401">
        <v>6.2214999999999998</v>
      </c>
      <c r="K37" s="401">
        <v>8.9730000000000008</v>
      </c>
      <c r="L37" s="401">
        <v>4.8951500000000001</v>
      </c>
      <c r="M37" s="401">
        <v>0</v>
      </c>
      <c r="N37" s="401">
        <v>0</v>
      </c>
      <c r="O37" s="401">
        <v>2.6795</v>
      </c>
      <c r="P37" s="401">
        <v>54.1</v>
      </c>
      <c r="Q37" s="401">
        <v>8.9730000000000008</v>
      </c>
      <c r="R37" s="385" t="s">
        <v>167</v>
      </c>
      <c r="S37" s="439" t="s">
        <v>175</v>
      </c>
      <c r="T37" s="389"/>
      <c r="U37" s="521">
        <v>297</v>
      </c>
      <c r="V37" s="402">
        <f t="shared" si="16"/>
        <v>249.66730434782608</v>
      </c>
      <c r="W37" s="402">
        <f t="shared" si="17"/>
        <v>1.9141159999999999</v>
      </c>
      <c r="X37" s="403"/>
      <c r="Y37" s="404"/>
      <c r="Z37" s="400"/>
      <c r="AA37" s="419"/>
      <c r="AB37" s="401"/>
      <c r="AC37" s="401"/>
      <c r="AD37" s="401"/>
      <c r="AE37" s="401"/>
      <c r="AF37" s="401"/>
      <c r="AG37" s="401"/>
      <c r="AH37" s="401"/>
      <c r="AI37" s="401"/>
      <c r="AJ37" s="401"/>
      <c r="AK37" s="385"/>
      <c r="AL37" s="439"/>
      <c r="AM37" s="389"/>
      <c r="AN37" s="521"/>
      <c r="AO37" s="402" t="e">
        <f t="shared" si="18"/>
        <v>#DIV/0!</v>
      </c>
      <c r="AP37" s="402" t="e">
        <f t="shared" si="19"/>
        <v>#DIV/0!</v>
      </c>
      <c r="AQ37" s="595"/>
      <c r="AR37" s="587"/>
      <c r="AS37" s="400"/>
      <c r="AT37" s="419"/>
      <c r="AU37" s="401"/>
      <c r="AV37" s="401"/>
      <c r="AW37" s="401"/>
      <c r="AX37" s="401"/>
      <c r="AY37" s="401"/>
      <c r="AZ37" s="401"/>
      <c r="BA37" s="401"/>
      <c r="BB37" s="401"/>
      <c r="BC37" s="401"/>
      <c r="BD37" s="385"/>
      <c r="BE37" s="439"/>
      <c r="BF37" s="389"/>
      <c r="BG37" s="521"/>
      <c r="BH37" s="402" t="e">
        <f t="shared" si="20"/>
        <v>#DIV/0!</v>
      </c>
      <c r="BI37" s="402" t="e">
        <f t="shared" si="21"/>
        <v>#DIV/0!</v>
      </c>
    </row>
    <row r="38" spans="1:61" s="359" customFormat="1" ht="19.2" x14ac:dyDescent="0.3">
      <c r="A38" s="360" t="s">
        <v>607</v>
      </c>
      <c r="B38" s="513" t="s">
        <v>384</v>
      </c>
      <c r="C38" s="433" t="s">
        <v>385</v>
      </c>
      <c r="D38" s="361">
        <v>0.4</v>
      </c>
      <c r="E38" s="403">
        <v>88</v>
      </c>
      <c r="F38" s="404">
        <v>15</v>
      </c>
      <c r="G38" s="400">
        <v>15</v>
      </c>
      <c r="H38" s="419">
        <v>25.450669999999999</v>
      </c>
      <c r="I38" s="401">
        <v>16.175909999999998</v>
      </c>
      <c r="J38" s="401">
        <v>4.7607999999999997</v>
      </c>
      <c r="K38" s="401">
        <v>8.9735800000000001</v>
      </c>
      <c r="L38" s="401">
        <v>4.2043299999999997</v>
      </c>
      <c r="M38" s="401">
        <v>0</v>
      </c>
      <c r="N38" s="401">
        <v>0</v>
      </c>
      <c r="O38" s="401">
        <v>2.2862399999999998</v>
      </c>
      <c r="P38" s="401">
        <v>54.1</v>
      </c>
      <c r="Q38" s="401">
        <v>8.9735800000000001</v>
      </c>
      <c r="R38" s="385" t="s">
        <v>167</v>
      </c>
      <c r="S38" s="439" t="s">
        <v>175</v>
      </c>
      <c r="T38" s="389"/>
      <c r="U38" s="521">
        <v>312</v>
      </c>
      <c r="V38" s="402">
        <f t="shared" si="16"/>
        <v>289.2121590909091</v>
      </c>
      <c r="W38" s="402">
        <f t="shared" si="17"/>
        <v>1.6967113333333332</v>
      </c>
      <c r="X38" s="403"/>
      <c r="Y38" s="404"/>
      <c r="Z38" s="400"/>
      <c r="AA38" s="419"/>
      <c r="AB38" s="401"/>
      <c r="AC38" s="401"/>
      <c r="AD38" s="401"/>
      <c r="AE38" s="401"/>
      <c r="AF38" s="401"/>
      <c r="AG38" s="401"/>
      <c r="AH38" s="401"/>
      <c r="AI38" s="401"/>
      <c r="AJ38" s="401"/>
      <c r="AK38" s="385"/>
      <c r="AL38" s="439"/>
      <c r="AM38" s="389"/>
      <c r="AN38" s="521"/>
      <c r="AO38" s="402" t="e">
        <f t="shared" si="18"/>
        <v>#DIV/0!</v>
      </c>
      <c r="AP38" s="402" t="e">
        <f t="shared" si="19"/>
        <v>#DIV/0!</v>
      </c>
      <c r="AQ38" s="595"/>
      <c r="AR38" s="587"/>
      <c r="AS38" s="400"/>
      <c r="AT38" s="419"/>
      <c r="AU38" s="401"/>
      <c r="AV38" s="401"/>
      <c r="AW38" s="401"/>
      <c r="AX38" s="401"/>
      <c r="AY38" s="401"/>
      <c r="AZ38" s="401"/>
      <c r="BA38" s="401"/>
      <c r="BB38" s="401"/>
      <c r="BC38" s="401"/>
      <c r="BD38" s="385"/>
      <c r="BE38" s="439"/>
      <c r="BF38" s="389"/>
      <c r="BG38" s="521"/>
      <c r="BH38" s="402" t="e">
        <f t="shared" si="20"/>
        <v>#DIV/0!</v>
      </c>
      <c r="BI38" s="402" t="e">
        <f t="shared" si="21"/>
        <v>#DIV/0!</v>
      </c>
    </row>
    <row r="39" spans="1:61" s="359" customFormat="1" ht="19.2" x14ac:dyDescent="0.3">
      <c r="A39" s="360" t="s">
        <v>179</v>
      </c>
      <c r="B39" s="543" t="s">
        <v>493</v>
      </c>
      <c r="C39" s="433" t="s">
        <v>411</v>
      </c>
      <c r="D39" s="361">
        <v>0.4</v>
      </c>
      <c r="E39" s="403"/>
      <c r="F39" s="404"/>
      <c r="G39" s="400"/>
      <c r="H39" s="401"/>
      <c r="I39" s="401"/>
      <c r="J39" s="401"/>
      <c r="K39" s="401"/>
      <c r="L39" s="401"/>
      <c r="M39" s="401"/>
      <c r="N39" s="401"/>
      <c r="O39" s="401"/>
      <c r="P39" s="401"/>
      <c r="Q39" s="401"/>
      <c r="R39" s="389"/>
      <c r="S39" s="389"/>
      <c r="T39" s="389"/>
      <c r="U39" s="521"/>
      <c r="V39" s="402" t="e">
        <f t="shared" si="16"/>
        <v>#DIV/0!</v>
      </c>
      <c r="W39" s="402" t="e">
        <f t="shared" si="17"/>
        <v>#DIV/0!</v>
      </c>
      <c r="X39" s="403">
        <v>37</v>
      </c>
      <c r="Y39" s="404">
        <v>15</v>
      </c>
      <c r="Z39" s="400">
        <v>15</v>
      </c>
      <c r="AA39" s="545">
        <v>20.040669999999999</v>
      </c>
      <c r="AB39" s="401">
        <v>13.383290000000001</v>
      </c>
      <c r="AC39" s="401">
        <v>2.0017</v>
      </c>
      <c r="AD39" s="401">
        <v>9.8405100000000001</v>
      </c>
      <c r="AE39" s="401">
        <v>2.9137900000000001</v>
      </c>
      <c r="AF39" s="401">
        <v>0</v>
      </c>
      <c r="AG39" s="401">
        <v>0</v>
      </c>
      <c r="AH39" s="401">
        <v>1.8208899999999999</v>
      </c>
      <c r="AI39" s="401">
        <v>54.1</v>
      </c>
      <c r="AJ39" s="401">
        <v>9.8405100000000001</v>
      </c>
      <c r="AK39" s="385" t="s">
        <v>167</v>
      </c>
      <c r="AL39" s="439" t="s">
        <v>175</v>
      </c>
      <c r="AM39" s="389"/>
      <c r="AN39" s="521">
        <v>27</v>
      </c>
      <c r="AO39" s="402">
        <f t="shared" si="18"/>
        <v>541.63972972972977</v>
      </c>
      <c r="AP39" s="402">
        <f t="shared" si="19"/>
        <v>1.3360446666666665</v>
      </c>
      <c r="AQ39" s="595"/>
      <c r="AR39" s="587"/>
      <c r="AS39" s="400"/>
      <c r="AT39" s="545"/>
      <c r="AU39" s="401"/>
      <c r="AV39" s="401"/>
      <c r="AW39" s="401"/>
      <c r="AX39" s="401"/>
      <c r="AY39" s="401"/>
      <c r="AZ39" s="401"/>
      <c r="BA39" s="401"/>
      <c r="BB39" s="401"/>
      <c r="BC39" s="401"/>
      <c r="BD39" s="385"/>
      <c r="BE39" s="439"/>
      <c r="BF39" s="389"/>
      <c r="BG39" s="521"/>
      <c r="BH39" s="402" t="e">
        <f t="shared" si="20"/>
        <v>#DIV/0!</v>
      </c>
      <c r="BI39" s="402" t="e">
        <f t="shared" si="21"/>
        <v>#DIV/0!</v>
      </c>
    </row>
    <row r="40" spans="1:61" s="359" customFormat="1" ht="19.2" x14ac:dyDescent="0.3">
      <c r="A40" s="360" t="s">
        <v>183</v>
      </c>
      <c r="B40" s="543" t="s">
        <v>494</v>
      </c>
      <c r="C40" s="433" t="s">
        <v>413</v>
      </c>
      <c r="D40" s="361">
        <v>0.4</v>
      </c>
      <c r="E40" s="403"/>
      <c r="F40" s="404"/>
      <c r="G40" s="400"/>
      <c r="H40" s="401"/>
      <c r="I40" s="401"/>
      <c r="J40" s="401"/>
      <c r="K40" s="401"/>
      <c r="L40" s="401"/>
      <c r="M40" s="401"/>
      <c r="N40" s="401"/>
      <c r="O40" s="401"/>
      <c r="P40" s="401"/>
      <c r="Q40" s="401"/>
      <c r="R40" s="389"/>
      <c r="S40" s="389"/>
      <c r="T40" s="389"/>
      <c r="U40" s="521"/>
      <c r="V40" s="402" t="e">
        <f t="shared" si="16"/>
        <v>#DIV/0!</v>
      </c>
      <c r="W40" s="402" t="e">
        <f t="shared" si="17"/>
        <v>#DIV/0!</v>
      </c>
      <c r="X40" s="403">
        <v>64</v>
      </c>
      <c r="Y40" s="404">
        <v>15</v>
      </c>
      <c r="Z40" s="400">
        <v>15</v>
      </c>
      <c r="AA40" s="545">
        <v>38.222299999999997</v>
      </c>
      <c r="AB40" s="401">
        <v>25.504370000000002</v>
      </c>
      <c r="AC40" s="401">
        <v>3.4624000000000001</v>
      </c>
      <c r="AD40" s="401">
        <v>19.68102</v>
      </c>
      <c r="AE40" s="401">
        <v>5.5715199999999996</v>
      </c>
      <c r="AF40" s="401">
        <v>0</v>
      </c>
      <c r="AG40" s="401">
        <v>0</v>
      </c>
      <c r="AH40" s="401">
        <v>3.4699300000000002</v>
      </c>
      <c r="AI40" s="401">
        <v>54.1</v>
      </c>
      <c r="AJ40" s="401">
        <v>9.8405100000000001</v>
      </c>
      <c r="AK40" s="385" t="s">
        <v>167</v>
      </c>
      <c r="AL40" s="439" t="s">
        <v>175</v>
      </c>
      <c r="AM40" s="389"/>
      <c r="AN40" s="521">
        <v>49</v>
      </c>
      <c r="AO40" s="402">
        <f t="shared" si="18"/>
        <v>597.22343749999993</v>
      </c>
      <c r="AP40" s="402">
        <f t="shared" si="19"/>
        <v>2.548153333333333</v>
      </c>
      <c r="AQ40" s="595"/>
      <c r="AR40" s="587"/>
      <c r="AS40" s="400"/>
      <c r="AT40" s="545"/>
      <c r="AU40" s="401"/>
      <c r="AV40" s="401"/>
      <c r="AW40" s="401"/>
      <c r="AX40" s="401"/>
      <c r="AY40" s="401"/>
      <c r="AZ40" s="401"/>
      <c r="BA40" s="401"/>
      <c r="BB40" s="401"/>
      <c r="BC40" s="401"/>
      <c r="BD40" s="385"/>
      <c r="BE40" s="439"/>
      <c r="BF40" s="389"/>
      <c r="BG40" s="521"/>
      <c r="BH40" s="402" t="e">
        <f t="shared" si="20"/>
        <v>#DIV/0!</v>
      </c>
      <c r="BI40" s="402" t="e">
        <f t="shared" si="21"/>
        <v>#DIV/0!</v>
      </c>
    </row>
    <row r="41" spans="1:61" s="359" customFormat="1" ht="19.2" x14ac:dyDescent="0.3">
      <c r="A41" s="360" t="s">
        <v>185</v>
      </c>
      <c r="B41" s="543" t="s">
        <v>570</v>
      </c>
      <c r="C41" s="433" t="s">
        <v>569</v>
      </c>
      <c r="D41" s="361">
        <v>0.4</v>
      </c>
      <c r="E41" s="403"/>
      <c r="F41" s="404"/>
      <c r="G41" s="400"/>
      <c r="H41" s="401"/>
      <c r="I41" s="401"/>
      <c r="J41" s="401"/>
      <c r="K41" s="401"/>
      <c r="L41" s="401"/>
      <c r="M41" s="401"/>
      <c r="N41" s="401"/>
      <c r="O41" s="401"/>
      <c r="P41" s="401"/>
      <c r="Q41" s="401"/>
      <c r="R41" s="389"/>
      <c r="S41" s="389"/>
      <c r="T41" s="389"/>
      <c r="U41" s="521"/>
      <c r="V41" s="402"/>
      <c r="W41" s="402"/>
      <c r="X41" s="403">
        <v>40</v>
      </c>
      <c r="Y41" s="404">
        <v>10</v>
      </c>
      <c r="Z41" s="400">
        <v>10</v>
      </c>
      <c r="AA41" s="545">
        <v>20.855060000000002</v>
      </c>
      <c r="AB41" s="401">
        <v>14.01862</v>
      </c>
      <c r="AC41" s="401">
        <v>2.1640000000000001</v>
      </c>
      <c r="AD41" s="401">
        <v>9.8405100000000001</v>
      </c>
      <c r="AE41" s="401">
        <v>2.9906199999999998</v>
      </c>
      <c r="AF41" s="401">
        <v>0</v>
      </c>
      <c r="AG41" s="401">
        <v>0</v>
      </c>
      <c r="AH41" s="401">
        <v>1.8724400000000001</v>
      </c>
      <c r="AI41" s="401">
        <v>54.1</v>
      </c>
      <c r="AJ41" s="401">
        <v>9.8405100000000001</v>
      </c>
      <c r="AK41" s="385" t="s">
        <v>167</v>
      </c>
      <c r="AL41" s="439" t="s">
        <v>175</v>
      </c>
      <c r="AM41" s="389"/>
      <c r="AN41" s="521">
        <v>53</v>
      </c>
      <c r="AO41" s="402">
        <f t="shared" si="18"/>
        <v>521.37649999999996</v>
      </c>
      <c r="AP41" s="402">
        <f t="shared" si="19"/>
        <v>2.0855060000000001</v>
      </c>
      <c r="AQ41" s="595"/>
      <c r="AR41" s="587"/>
      <c r="AS41" s="400"/>
      <c r="AT41" s="545"/>
      <c r="AU41" s="401"/>
      <c r="AV41" s="401"/>
      <c r="AW41" s="401"/>
      <c r="AX41" s="401"/>
      <c r="AY41" s="401"/>
      <c r="AZ41" s="401"/>
      <c r="BA41" s="401"/>
      <c r="BB41" s="401"/>
      <c r="BC41" s="401"/>
      <c r="BD41" s="385"/>
      <c r="BE41" s="439"/>
      <c r="BF41" s="389"/>
      <c r="BG41" s="521"/>
      <c r="BH41" s="402" t="e">
        <f t="shared" si="20"/>
        <v>#DIV/0!</v>
      </c>
      <c r="BI41" s="402" t="e">
        <f t="shared" si="21"/>
        <v>#DIV/0!</v>
      </c>
    </row>
    <row r="42" spans="1:61" s="359" customFormat="1" ht="19.2" x14ac:dyDescent="0.3">
      <c r="A42" s="360" t="s">
        <v>187</v>
      </c>
      <c r="B42" s="543" t="s">
        <v>495</v>
      </c>
      <c r="C42" s="433" t="s">
        <v>415</v>
      </c>
      <c r="D42" s="361">
        <v>0.4</v>
      </c>
      <c r="E42" s="403"/>
      <c r="F42" s="404"/>
      <c r="G42" s="400"/>
      <c r="H42" s="401"/>
      <c r="I42" s="401"/>
      <c r="J42" s="401"/>
      <c r="K42" s="401"/>
      <c r="L42" s="401"/>
      <c r="M42" s="401"/>
      <c r="N42" s="401"/>
      <c r="O42" s="401"/>
      <c r="P42" s="401"/>
      <c r="Q42" s="401"/>
      <c r="R42" s="389"/>
      <c r="S42" s="389"/>
      <c r="T42" s="389"/>
      <c r="U42" s="521"/>
      <c r="V42" s="402" t="e">
        <f t="shared" ref="V42:V53" si="25">H42/E42*1000</f>
        <v>#DIV/0!</v>
      </c>
      <c r="W42" s="402" t="e">
        <f t="shared" ref="W42:W53" si="26">H42/F42</f>
        <v>#DIV/0!</v>
      </c>
      <c r="X42" s="403">
        <v>248</v>
      </c>
      <c r="Y42" s="404">
        <v>15</v>
      </c>
      <c r="Z42" s="400">
        <v>15</v>
      </c>
      <c r="AA42" s="545">
        <v>60.404350000000001</v>
      </c>
      <c r="AB42" s="401">
        <v>35.627719999999997</v>
      </c>
      <c r="AC42" s="401">
        <v>13.424239999999999</v>
      </c>
      <c r="AD42" s="401">
        <v>14.5322</v>
      </c>
      <c r="AE42" s="401">
        <v>11.360300000000001</v>
      </c>
      <c r="AF42" s="401">
        <v>0</v>
      </c>
      <c r="AG42" s="401">
        <v>0</v>
      </c>
      <c r="AH42" s="401">
        <v>6.6317300000000001</v>
      </c>
      <c r="AI42" s="401">
        <v>54.13</v>
      </c>
      <c r="AJ42" s="401">
        <v>7.2660999999999998</v>
      </c>
      <c r="AK42" s="385" t="s">
        <v>167</v>
      </c>
      <c r="AL42" s="439" t="s">
        <v>175</v>
      </c>
      <c r="AM42" s="389"/>
      <c r="AN42" s="521">
        <v>75</v>
      </c>
      <c r="AO42" s="402">
        <f t="shared" si="18"/>
        <v>243.56592741935484</v>
      </c>
      <c r="AP42" s="402">
        <f t="shared" si="19"/>
        <v>4.026956666666667</v>
      </c>
      <c r="AQ42" s="595"/>
      <c r="AR42" s="587"/>
      <c r="AS42" s="400"/>
      <c r="AT42" s="545"/>
      <c r="AU42" s="401"/>
      <c r="AV42" s="401"/>
      <c r="AW42" s="401"/>
      <c r="AX42" s="401"/>
      <c r="AY42" s="401"/>
      <c r="AZ42" s="401"/>
      <c r="BA42" s="401"/>
      <c r="BB42" s="401"/>
      <c r="BC42" s="401"/>
      <c r="BD42" s="385"/>
      <c r="BE42" s="439"/>
      <c r="BF42" s="389"/>
      <c r="BG42" s="521"/>
      <c r="BH42" s="402" t="e">
        <f t="shared" si="20"/>
        <v>#DIV/0!</v>
      </c>
      <c r="BI42" s="402" t="e">
        <f t="shared" si="21"/>
        <v>#DIV/0!</v>
      </c>
    </row>
    <row r="43" spans="1:61" s="359" customFormat="1" ht="19.2" x14ac:dyDescent="0.3">
      <c r="A43" s="360" t="s">
        <v>190</v>
      </c>
      <c r="B43" s="543" t="s">
        <v>496</v>
      </c>
      <c r="C43" s="433" t="s">
        <v>420</v>
      </c>
      <c r="D43" s="361">
        <v>0.4</v>
      </c>
      <c r="E43" s="403"/>
      <c r="F43" s="404"/>
      <c r="G43" s="400"/>
      <c r="H43" s="401"/>
      <c r="I43" s="401"/>
      <c r="J43" s="401"/>
      <c r="K43" s="401"/>
      <c r="L43" s="401"/>
      <c r="M43" s="401"/>
      <c r="N43" s="401"/>
      <c r="O43" s="401"/>
      <c r="P43" s="401"/>
      <c r="Q43" s="401"/>
      <c r="R43" s="389"/>
      <c r="S43" s="389"/>
      <c r="T43" s="389"/>
      <c r="U43" s="521"/>
      <c r="V43" s="402" t="e">
        <f t="shared" si="25"/>
        <v>#DIV/0!</v>
      </c>
      <c r="W43" s="402" t="e">
        <f t="shared" si="26"/>
        <v>#DIV/0!</v>
      </c>
      <c r="X43" s="403">
        <v>40</v>
      </c>
      <c r="Y43" s="404">
        <v>15</v>
      </c>
      <c r="Z43" s="400">
        <v>15</v>
      </c>
      <c r="AA43" s="545">
        <v>21.360230000000001</v>
      </c>
      <c r="AB43" s="401">
        <v>14.27023</v>
      </c>
      <c r="AC43" s="401">
        <v>2.1640000000000001</v>
      </c>
      <c r="AD43" s="401">
        <v>9.9343000000000004</v>
      </c>
      <c r="AE43" s="401">
        <v>3.2441800000000001</v>
      </c>
      <c r="AF43" s="401">
        <v>0</v>
      </c>
      <c r="AG43" s="401">
        <v>0</v>
      </c>
      <c r="AH43" s="401">
        <v>1.8724400000000001</v>
      </c>
      <c r="AI43" s="401">
        <v>54.1</v>
      </c>
      <c r="AJ43" s="401">
        <v>9.9343000000000004</v>
      </c>
      <c r="AK43" s="385" t="s">
        <v>167</v>
      </c>
      <c r="AL43" s="439" t="s">
        <v>175</v>
      </c>
      <c r="AM43" s="389"/>
      <c r="AN43" s="521">
        <v>107</v>
      </c>
      <c r="AO43" s="402">
        <f t="shared" si="18"/>
        <v>534.00575000000003</v>
      </c>
      <c r="AP43" s="402">
        <f t="shared" si="19"/>
        <v>1.4240153333333334</v>
      </c>
      <c r="AQ43" s="595"/>
      <c r="AR43" s="587"/>
      <c r="AS43" s="400"/>
      <c r="AT43" s="545"/>
      <c r="AU43" s="401"/>
      <c r="AV43" s="401"/>
      <c r="AW43" s="401"/>
      <c r="AX43" s="401"/>
      <c r="AY43" s="401"/>
      <c r="AZ43" s="401"/>
      <c r="BA43" s="401"/>
      <c r="BB43" s="401"/>
      <c r="BC43" s="401"/>
      <c r="BD43" s="385"/>
      <c r="BE43" s="439"/>
      <c r="BF43" s="389"/>
      <c r="BG43" s="521"/>
      <c r="BH43" s="402" t="e">
        <f t="shared" si="20"/>
        <v>#DIV/0!</v>
      </c>
      <c r="BI43" s="402" t="e">
        <f t="shared" si="21"/>
        <v>#DIV/0!</v>
      </c>
    </row>
    <row r="44" spans="1:61" s="359" customFormat="1" ht="19.2" x14ac:dyDescent="0.3">
      <c r="A44" s="360" t="s">
        <v>598</v>
      </c>
      <c r="B44" s="543" t="s">
        <v>497</v>
      </c>
      <c r="C44" s="433" t="s">
        <v>423</v>
      </c>
      <c r="D44" s="361">
        <v>0.4</v>
      </c>
      <c r="E44" s="403"/>
      <c r="F44" s="404"/>
      <c r="G44" s="400"/>
      <c r="H44" s="401"/>
      <c r="I44" s="401"/>
      <c r="J44" s="401"/>
      <c r="K44" s="401"/>
      <c r="L44" s="401"/>
      <c r="M44" s="401"/>
      <c r="N44" s="401"/>
      <c r="O44" s="401"/>
      <c r="P44" s="401"/>
      <c r="Q44" s="401"/>
      <c r="R44" s="389"/>
      <c r="S44" s="389"/>
      <c r="T44" s="389"/>
      <c r="U44" s="521"/>
      <c r="V44" s="402" t="e">
        <f t="shared" si="25"/>
        <v>#DIV/0!</v>
      </c>
      <c r="W44" s="402" t="e">
        <f t="shared" si="26"/>
        <v>#DIV/0!</v>
      </c>
      <c r="X44" s="403">
        <v>65</v>
      </c>
      <c r="Y44" s="404">
        <v>15</v>
      </c>
      <c r="Z44" s="400">
        <v>15</v>
      </c>
      <c r="AA44" s="545">
        <v>40.330269999999999</v>
      </c>
      <c r="AB44" s="401">
        <v>26.578510000000001</v>
      </c>
      <c r="AC44" s="401">
        <v>3.5165000000000002</v>
      </c>
      <c r="AD44" s="401">
        <v>19.86862</v>
      </c>
      <c r="AE44" s="401">
        <v>6.4470700000000001</v>
      </c>
      <c r="AF44" s="401">
        <v>0</v>
      </c>
      <c r="AG44" s="401">
        <v>0</v>
      </c>
      <c r="AH44" s="401">
        <v>3.5653700000000002</v>
      </c>
      <c r="AI44" s="401">
        <v>54.1</v>
      </c>
      <c r="AJ44" s="401">
        <v>9.93431</v>
      </c>
      <c r="AK44" s="385" t="s">
        <v>167</v>
      </c>
      <c r="AL44" s="439" t="s">
        <v>175</v>
      </c>
      <c r="AM44" s="389"/>
      <c r="AN44" s="521">
        <v>118</v>
      </c>
      <c r="AO44" s="402">
        <f t="shared" si="18"/>
        <v>620.46569230769228</v>
      </c>
      <c r="AP44" s="402">
        <f t="shared" si="19"/>
        <v>2.6886846666666666</v>
      </c>
      <c r="AQ44" s="595"/>
      <c r="AR44" s="587"/>
      <c r="AS44" s="400"/>
      <c r="AT44" s="545"/>
      <c r="AU44" s="401"/>
      <c r="AV44" s="401"/>
      <c r="AW44" s="401"/>
      <c r="AX44" s="401"/>
      <c r="AY44" s="401"/>
      <c r="AZ44" s="401"/>
      <c r="BA44" s="401"/>
      <c r="BB44" s="401"/>
      <c r="BC44" s="401"/>
      <c r="BD44" s="385"/>
      <c r="BE44" s="439"/>
      <c r="BF44" s="389"/>
      <c r="BG44" s="521"/>
      <c r="BH44" s="402" t="e">
        <f t="shared" si="20"/>
        <v>#DIV/0!</v>
      </c>
      <c r="BI44" s="402" t="e">
        <f t="shared" si="21"/>
        <v>#DIV/0!</v>
      </c>
    </row>
    <row r="45" spans="1:61" s="359" customFormat="1" ht="19.2" x14ac:dyDescent="0.3">
      <c r="A45" s="360" t="s">
        <v>599</v>
      </c>
      <c r="B45" s="543" t="s">
        <v>498</v>
      </c>
      <c r="C45" s="433" t="s">
        <v>425</v>
      </c>
      <c r="D45" s="361">
        <v>0.4</v>
      </c>
      <c r="E45" s="403"/>
      <c r="F45" s="404"/>
      <c r="G45" s="400"/>
      <c r="H45" s="401"/>
      <c r="I45" s="401"/>
      <c r="J45" s="401"/>
      <c r="K45" s="401"/>
      <c r="L45" s="401"/>
      <c r="M45" s="401"/>
      <c r="N45" s="401"/>
      <c r="O45" s="401"/>
      <c r="P45" s="401"/>
      <c r="Q45" s="401"/>
      <c r="R45" s="389"/>
      <c r="S45" s="389"/>
      <c r="T45" s="389"/>
      <c r="U45" s="521"/>
      <c r="V45" s="402" t="e">
        <f t="shared" si="25"/>
        <v>#DIV/0!</v>
      </c>
      <c r="W45" s="402" t="e">
        <f t="shared" si="26"/>
        <v>#DIV/0!</v>
      </c>
      <c r="X45" s="403">
        <v>27</v>
      </c>
      <c r="Y45" s="404">
        <v>15</v>
      </c>
      <c r="Z45" s="400">
        <v>15</v>
      </c>
      <c r="AA45" s="545">
        <v>17.165050000000001</v>
      </c>
      <c r="AB45" s="401">
        <v>10.89504</v>
      </c>
      <c r="AC45" s="401">
        <v>1.4607000000000001</v>
      </c>
      <c r="AD45" s="401">
        <v>7.2660999999999998</v>
      </c>
      <c r="AE45" s="401">
        <v>2.8671799999999998</v>
      </c>
      <c r="AF45" s="401">
        <v>0</v>
      </c>
      <c r="AG45" s="401">
        <v>0</v>
      </c>
      <c r="AH45" s="401">
        <v>1.6490499999999999</v>
      </c>
      <c r="AI45" s="401">
        <v>54.1</v>
      </c>
      <c r="AJ45" s="401">
        <v>7.2660999999999998</v>
      </c>
      <c r="AK45" s="385" t="s">
        <v>167</v>
      </c>
      <c r="AL45" s="439" t="s">
        <v>175</v>
      </c>
      <c r="AM45" s="389"/>
      <c r="AN45" s="521">
        <v>130</v>
      </c>
      <c r="AO45" s="402">
        <f t="shared" si="18"/>
        <v>635.74259259259259</v>
      </c>
      <c r="AP45" s="402">
        <f t="shared" si="19"/>
        <v>1.1443366666666668</v>
      </c>
      <c r="AQ45" s="595"/>
      <c r="AR45" s="587"/>
      <c r="AS45" s="400"/>
      <c r="AT45" s="545"/>
      <c r="AU45" s="401"/>
      <c r="AV45" s="401"/>
      <c r="AW45" s="401"/>
      <c r="AX45" s="401"/>
      <c r="AY45" s="401"/>
      <c r="AZ45" s="401"/>
      <c r="BA45" s="401"/>
      <c r="BB45" s="401"/>
      <c r="BC45" s="401"/>
      <c r="BD45" s="385"/>
      <c r="BE45" s="439"/>
      <c r="BF45" s="389"/>
      <c r="BG45" s="521"/>
      <c r="BH45" s="402" t="e">
        <f t="shared" si="20"/>
        <v>#DIV/0!</v>
      </c>
      <c r="BI45" s="402" t="e">
        <f t="shared" si="21"/>
        <v>#DIV/0!</v>
      </c>
    </row>
    <row r="46" spans="1:61" s="359" customFormat="1" ht="19.2" x14ac:dyDescent="0.3">
      <c r="A46" s="360" t="s">
        <v>600</v>
      </c>
      <c r="B46" s="543" t="s">
        <v>500</v>
      </c>
      <c r="C46" s="433" t="s">
        <v>452</v>
      </c>
      <c r="D46" s="361">
        <v>0.4</v>
      </c>
      <c r="E46" s="403"/>
      <c r="F46" s="404"/>
      <c r="G46" s="400"/>
      <c r="H46" s="401"/>
      <c r="I46" s="401"/>
      <c r="J46" s="401"/>
      <c r="K46" s="401"/>
      <c r="L46" s="401"/>
      <c r="M46" s="401"/>
      <c r="N46" s="401"/>
      <c r="O46" s="401"/>
      <c r="P46" s="401"/>
      <c r="Q46" s="401"/>
      <c r="R46" s="389"/>
      <c r="S46" s="389"/>
      <c r="T46" s="389"/>
      <c r="U46" s="521"/>
      <c r="V46" s="402" t="e">
        <f t="shared" si="25"/>
        <v>#DIV/0!</v>
      </c>
      <c r="W46" s="402" t="e">
        <f t="shared" si="26"/>
        <v>#DIV/0!</v>
      </c>
      <c r="X46" s="403">
        <v>100</v>
      </c>
      <c r="Y46" s="404">
        <v>15</v>
      </c>
      <c r="Z46" s="400">
        <v>15</v>
      </c>
      <c r="AA46" s="545">
        <v>28.116669999999999</v>
      </c>
      <c r="AB46" s="401">
        <v>17.585159999999998</v>
      </c>
      <c r="AC46" s="401">
        <v>2.802</v>
      </c>
      <c r="AD46" s="401">
        <v>10</v>
      </c>
      <c r="AE46" s="401">
        <v>4.6147400000000003</v>
      </c>
      <c r="AF46" s="401">
        <v>0</v>
      </c>
      <c r="AG46" s="401">
        <v>0</v>
      </c>
      <c r="AH46" s="401">
        <v>2.91648</v>
      </c>
      <c r="AI46" s="401">
        <v>28.02</v>
      </c>
      <c r="AJ46" s="401">
        <v>10</v>
      </c>
      <c r="AK46" s="385" t="s">
        <v>167</v>
      </c>
      <c r="AL46" s="439" t="s">
        <v>175</v>
      </c>
      <c r="AM46" s="389"/>
      <c r="AN46" s="521">
        <v>251</v>
      </c>
      <c r="AO46" s="402">
        <f t="shared" si="18"/>
        <v>281.16669999999999</v>
      </c>
      <c r="AP46" s="402">
        <f t="shared" si="19"/>
        <v>1.8744446666666665</v>
      </c>
      <c r="AQ46" s="595"/>
      <c r="AR46" s="587"/>
      <c r="AS46" s="400"/>
      <c r="AT46" s="545"/>
      <c r="AU46" s="401"/>
      <c r="AV46" s="401"/>
      <c r="AW46" s="401"/>
      <c r="AX46" s="401"/>
      <c r="AY46" s="401"/>
      <c r="AZ46" s="401"/>
      <c r="BA46" s="401"/>
      <c r="BB46" s="401"/>
      <c r="BC46" s="401"/>
      <c r="BD46" s="385"/>
      <c r="BE46" s="439"/>
      <c r="BF46" s="389"/>
      <c r="BG46" s="521"/>
      <c r="BH46" s="402" t="e">
        <f t="shared" si="20"/>
        <v>#DIV/0!</v>
      </c>
      <c r="BI46" s="402" t="e">
        <f t="shared" si="21"/>
        <v>#DIV/0!</v>
      </c>
    </row>
    <row r="47" spans="1:61" s="359" customFormat="1" ht="19.2" x14ac:dyDescent="0.3">
      <c r="A47" s="360" t="s">
        <v>601</v>
      </c>
      <c r="B47" s="543" t="s">
        <v>501</v>
      </c>
      <c r="C47" s="433" t="s">
        <v>460</v>
      </c>
      <c r="D47" s="361">
        <v>0.4</v>
      </c>
      <c r="E47" s="403"/>
      <c r="F47" s="404"/>
      <c r="G47" s="400"/>
      <c r="H47" s="401"/>
      <c r="I47" s="401"/>
      <c r="J47" s="401"/>
      <c r="K47" s="401"/>
      <c r="L47" s="401"/>
      <c r="M47" s="401"/>
      <c r="N47" s="401"/>
      <c r="O47" s="401"/>
      <c r="P47" s="401"/>
      <c r="Q47" s="401"/>
      <c r="R47" s="389"/>
      <c r="S47" s="389"/>
      <c r="T47" s="389"/>
      <c r="U47" s="521"/>
      <c r="V47" s="402" t="e">
        <f t="shared" si="25"/>
        <v>#DIV/0!</v>
      </c>
      <c r="W47" s="402" t="e">
        <f t="shared" si="26"/>
        <v>#DIV/0!</v>
      </c>
      <c r="X47" s="403">
        <v>123</v>
      </c>
      <c r="Y47" s="404">
        <v>15</v>
      </c>
      <c r="Z47" s="400">
        <v>15</v>
      </c>
      <c r="AA47" s="545">
        <v>106.83642</v>
      </c>
      <c r="AB47" s="401">
        <v>71.393789999999996</v>
      </c>
      <c r="AC47" s="401">
        <v>3.4464600000000001</v>
      </c>
      <c r="AD47" s="401">
        <f>40+20</f>
        <v>60</v>
      </c>
      <c r="AE47" s="401">
        <v>15.317489999999999</v>
      </c>
      <c r="AF47" s="401">
        <v>0</v>
      </c>
      <c r="AG47" s="401">
        <v>0</v>
      </c>
      <c r="AH47" s="401">
        <v>9.7444100000000002</v>
      </c>
      <c r="AI47" s="401">
        <v>28.02</v>
      </c>
      <c r="AJ47" s="401">
        <v>10</v>
      </c>
      <c r="AK47" s="385" t="s">
        <v>167</v>
      </c>
      <c r="AL47" s="439" t="s">
        <v>175</v>
      </c>
      <c r="AM47" s="389"/>
      <c r="AN47" s="521">
        <v>296</v>
      </c>
      <c r="AO47" s="402">
        <f t="shared" si="18"/>
        <v>868.58878048780491</v>
      </c>
      <c r="AP47" s="402">
        <f t="shared" si="19"/>
        <v>7.1224280000000002</v>
      </c>
      <c r="AQ47" s="595"/>
      <c r="AR47" s="587"/>
      <c r="AS47" s="400"/>
      <c r="AT47" s="545"/>
      <c r="AU47" s="401"/>
      <c r="AV47" s="401"/>
      <c r="AW47" s="401"/>
      <c r="AX47" s="401"/>
      <c r="AY47" s="401"/>
      <c r="AZ47" s="401"/>
      <c r="BA47" s="401"/>
      <c r="BB47" s="401"/>
      <c r="BC47" s="401"/>
      <c r="BD47" s="385"/>
      <c r="BE47" s="439"/>
      <c r="BF47" s="389"/>
      <c r="BG47" s="521"/>
      <c r="BH47" s="402" t="e">
        <f t="shared" si="20"/>
        <v>#DIV/0!</v>
      </c>
      <c r="BI47" s="402" t="e">
        <f t="shared" si="21"/>
        <v>#DIV/0!</v>
      </c>
    </row>
    <row r="48" spans="1:61" s="359" customFormat="1" ht="19.2" x14ac:dyDescent="0.3">
      <c r="A48" s="360" t="s">
        <v>602</v>
      </c>
      <c r="B48" s="543" t="s">
        <v>502</v>
      </c>
      <c r="C48" s="433" t="s">
        <v>469</v>
      </c>
      <c r="D48" s="361">
        <v>0.4</v>
      </c>
      <c r="E48" s="403"/>
      <c r="F48" s="404"/>
      <c r="G48" s="400"/>
      <c r="H48" s="401"/>
      <c r="I48" s="401"/>
      <c r="J48" s="401"/>
      <c r="K48" s="401"/>
      <c r="L48" s="401"/>
      <c r="M48" s="401"/>
      <c r="N48" s="401"/>
      <c r="O48" s="401"/>
      <c r="P48" s="401"/>
      <c r="Q48" s="401"/>
      <c r="R48" s="389"/>
      <c r="S48" s="389"/>
      <c r="T48" s="389"/>
      <c r="U48" s="521"/>
      <c r="V48" s="402" t="e">
        <f t="shared" si="25"/>
        <v>#DIV/0!</v>
      </c>
      <c r="W48" s="402" t="e">
        <f t="shared" si="26"/>
        <v>#DIV/0!</v>
      </c>
      <c r="X48" s="403">
        <v>40</v>
      </c>
      <c r="Y48" s="404">
        <v>15</v>
      </c>
      <c r="Z48" s="400">
        <v>15</v>
      </c>
      <c r="AA48" s="545">
        <v>22.12</v>
      </c>
      <c r="AB48" s="401">
        <v>15.06545</v>
      </c>
      <c r="AC48" s="401">
        <v>2.1467999999999998</v>
      </c>
      <c r="AD48" s="401">
        <v>10</v>
      </c>
      <c r="AE48" s="401">
        <v>3.0259800000000001</v>
      </c>
      <c r="AF48" s="401">
        <v>0</v>
      </c>
      <c r="AG48" s="401">
        <v>0</v>
      </c>
      <c r="AH48" s="401">
        <v>1.9614199999999999</v>
      </c>
      <c r="AI48" s="401">
        <v>53.67</v>
      </c>
      <c r="AJ48" s="401">
        <v>10</v>
      </c>
      <c r="AK48" s="385" t="s">
        <v>167</v>
      </c>
      <c r="AL48" s="439" t="s">
        <v>175</v>
      </c>
      <c r="AM48" s="389"/>
      <c r="AN48" s="521">
        <v>351</v>
      </c>
      <c r="AO48" s="402">
        <f t="shared" si="18"/>
        <v>553</v>
      </c>
      <c r="AP48" s="402">
        <f t="shared" si="19"/>
        <v>1.4746666666666668</v>
      </c>
      <c r="AQ48" s="595"/>
      <c r="AR48" s="587"/>
      <c r="AS48" s="400"/>
      <c r="AT48" s="545"/>
      <c r="AU48" s="401"/>
      <c r="AV48" s="401"/>
      <c r="AW48" s="401"/>
      <c r="AX48" s="401"/>
      <c r="AY48" s="401"/>
      <c r="AZ48" s="401"/>
      <c r="BA48" s="401"/>
      <c r="BB48" s="401"/>
      <c r="BC48" s="401"/>
      <c r="BD48" s="385"/>
      <c r="BE48" s="439"/>
      <c r="BF48" s="389"/>
      <c r="BG48" s="521"/>
      <c r="BH48" s="402" t="e">
        <f t="shared" si="20"/>
        <v>#DIV/0!</v>
      </c>
      <c r="BI48" s="402" t="e">
        <f t="shared" si="21"/>
        <v>#DIV/0!</v>
      </c>
    </row>
    <row r="49" spans="1:61" s="359" customFormat="1" ht="19.2" x14ac:dyDescent="0.3">
      <c r="A49" s="360" t="s">
        <v>603</v>
      </c>
      <c r="B49" s="543" t="s">
        <v>503</v>
      </c>
      <c r="C49" s="433" t="s">
        <v>471</v>
      </c>
      <c r="D49" s="361">
        <v>0.4</v>
      </c>
      <c r="E49" s="403"/>
      <c r="F49" s="404"/>
      <c r="G49" s="400"/>
      <c r="H49" s="401"/>
      <c r="I49" s="401"/>
      <c r="J49" s="401"/>
      <c r="K49" s="401"/>
      <c r="L49" s="401"/>
      <c r="M49" s="401"/>
      <c r="N49" s="401"/>
      <c r="O49" s="401"/>
      <c r="P49" s="401"/>
      <c r="Q49" s="401"/>
      <c r="R49" s="389"/>
      <c r="S49" s="389"/>
      <c r="T49" s="389"/>
      <c r="U49" s="521"/>
      <c r="V49" s="402" t="e">
        <f t="shared" si="25"/>
        <v>#DIV/0!</v>
      </c>
      <c r="W49" s="402" t="e">
        <f t="shared" si="26"/>
        <v>#DIV/0!</v>
      </c>
      <c r="X49" s="403">
        <v>75</v>
      </c>
      <c r="Y49" s="404">
        <v>15</v>
      </c>
      <c r="Z49" s="400">
        <v>15</v>
      </c>
      <c r="AA49" s="545">
        <v>42.327869999999997</v>
      </c>
      <c r="AB49" s="401">
        <v>28.53482</v>
      </c>
      <c r="AC49" s="401">
        <v>4.0252499999999998</v>
      </c>
      <c r="AD49" s="401">
        <v>20</v>
      </c>
      <c r="AE49" s="401">
        <v>5.9143999999999997</v>
      </c>
      <c r="AF49" s="401">
        <v>0</v>
      </c>
      <c r="AG49" s="401">
        <v>0</v>
      </c>
      <c r="AH49" s="401">
        <v>3.83283</v>
      </c>
      <c r="AI49" s="401">
        <v>53.67</v>
      </c>
      <c r="AJ49" s="401">
        <v>10</v>
      </c>
      <c r="AK49" s="385" t="s">
        <v>167</v>
      </c>
      <c r="AL49" s="439" t="s">
        <v>175</v>
      </c>
      <c r="AM49" s="389"/>
      <c r="AN49" s="521">
        <v>359</v>
      </c>
      <c r="AO49" s="402">
        <f t="shared" si="18"/>
        <v>564.37159999999994</v>
      </c>
      <c r="AP49" s="402">
        <f t="shared" si="19"/>
        <v>2.8218579999999998</v>
      </c>
      <c r="AQ49" s="595"/>
      <c r="AR49" s="587"/>
      <c r="AS49" s="400"/>
      <c r="AT49" s="545"/>
      <c r="AU49" s="401"/>
      <c r="AV49" s="401"/>
      <c r="AW49" s="401"/>
      <c r="AX49" s="401"/>
      <c r="AY49" s="401"/>
      <c r="AZ49" s="401"/>
      <c r="BA49" s="401"/>
      <c r="BB49" s="401"/>
      <c r="BC49" s="401"/>
      <c r="BD49" s="385"/>
      <c r="BE49" s="439"/>
      <c r="BF49" s="389"/>
      <c r="BG49" s="521"/>
      <c r="BH49" s="402" t="e">
        <f t="shared" si="20"/>
        <v>#DIV/0!</v>
      </c>
      <c r="BI49" s="402" t="e">
        <f t="shared" si="21"/>
        <v>#DIV/0!</v>
      </c>
    </row>
    <row r="50" spans="1:61" s="359" customFormat="1" ht="19.2" x14ac:dyDescent="0.3">
      <c r="A50" s="360" t="s">
        <v>604</v>
      </c>
      <c r="B50" s="543" t="s">
        <v>504</v>
      </c>
      <c r="C50" s="433" t="s">
        <v>472</v>
      </c>
      <c r="D50" s="361">
        <v>0.4</v>
      </c>
      <c r="E50" s="403"/>
      <c r="F50" s="404"/>
      <c r="G50" s="400"/>
      <c r="H50" s="401"/>
      <c r="I50" s="401"/>
      <c r="J50" s="401"/>
      <c r="K50" s="401"/>
      <c r="L50" s="401"/>
      <c r="M50" s="401"/>
      <c r="N50" s="401"/>
      <c r="O50" s="401"/>
      <c r="P50" s="401"/>
      <c r="Q50" s="401"/>
      <c r="R50" s="389"/>
      <c r="S50" s="389"/>
      <c r="T50" s="389"/>
      <c r="U50" s="521"/>
      <c r="V50" s="402" t="e">
        <f t="shared" si="25"/>
        <v>#DIV/0!</v>
      </c>
      <c r="W50" s="402" t="e">
        <f t="shared" si="26"/>
        <v>#DIV/0!</v>
      </c>
      <c r="X50" s="403">
        <v>43</v>
      </c>
      <c r="Y50" s="404">
        <v>10</v>
      </c>
      <c r="Z50" s="400">
        <v>10</v>
      </c>
      <c r="AA50" s="545">
        <v>22.597339999999999</v>
      </c>
      <c r="AB50" s="401">
        <v>15.35319</v>
      </c>
      <c r="AC50" s="401">
        <v>2.3078099999999999</v>
      </c>
      <c r="AD50" s="401">
        <v>10</v>
      </c>
      <c r="AE50" s="401">
        <v>3.1085099999999999</v>
      </c>
      <c r="AF50" s="401">
        <v>0</v>
      </c>
      <c r="AG50" s="401">
        <v>0</v>
      </c>
      <c r="AH50" s="401">
        <v>2.0154100000000001</v>
      </c>
      <c r="AI50" s="401">
        <v>53.67</v>
      </c>
      <c r="AJ50" s="401">
        <v>10</v>
      </c>
      <c r="AK50" s="385" t="s">
        <v>167</v>
      </c>
      <c r="AL50" s="439" t="s">
        <v>175</v>
      </c>
      <c r="AM50" s="389"/>
      <c r="AN50" s="521">
        <v>363</v>
      </c>
      <c r="AO50" s="402">
        <f t="shared" si="18"/>
        <v>525.51953488372089</v>
      </c>
      <c r="AP50" s="402">
        <f t="shared" si="19"/>
        <v>2.2597339999999999</v>
      </c>
      <c r="AQ50" s="595"/>
      <c r="AR50" s="587"/>
      <c r="AS50" s="400"/>
      <c r="AT50" s="545"/>
      <c r="AU50" s="401"/>
      <c r="AV50" s="401"/>
      <c r="AW50" s="401"/>
      <c r="AX50" s="401"/>
      <c r="AY50" s="401"/>
      <c r="AZ50" s="401"/>
      <c r="BA50" s="401"/>
      <c r="BB50" s="401"/>
      <c r="BC50" s="401"/>
      <c r="BD50" s="385"/>
      <c r="BE50" s="439"/>
      <c r="BF50" s="389"/>
      <c r="BG50" s="521"/>
      <c r="BH50" s="402" t="e">
        <f t="shared" si="20"/>
        <v>#DIV/0!</v>
      </c>
      <c r="BI50" s="402" t="e">
        <f t="shared" si="21"/>
        <v>#DIV/0!</v>
      </c>
    </row>
    <row r="51" spans="1:61" s="359" customFormat="1" ht="28.8" x14ac:dyDescent="0.3">
      <c r="A51" s="360" t="s">
        <v>605</v>
      </c>
      <c r="B51" s="543" t="s">
        <v>505</v>
      </c>
      <c r="C51" s="433" t="s">
        <v>473</v>
      </c>
      <c r="D51" s="361">
        <v>0.4</v>
      </c>
      <c r="E51" s="403"/>
      <c r="F51" s="404"/>
      <c r="G51" s="400"/>
      <c r="H51" s="401"/>
      <c r="I51" s="401"/>
      <c r="J51" s="401"/>
      <c r="K51" s="401"/>
      <c r="L51" s="401"/>
      <c r="M51" s="401"/>
      <c r="N51" s="401"/>
      <c r="O51" s="401"/>
      <c r="P51" s="401"/>
      <c r="Q51" s="401"/>
      <c r="R51" s="389"/>
      <c r="S51" s="389"/>
      <c r="T51" s="389"/>
      <c r="U51" s="521"/>
      <c r="V51" s="402" t="e">
        <f t="shared" si="25"/>
        <v>#DIV/0!</v>
      </c>
      <c r="W51" s="402" t="e">
        <f t="shared" si="26"/>
        <v>#DIV/0!</v>
      </c>
      <c r="X51" s="403">
        <v>210</v>
      </c>
      <c r="Y51" s="404">
        <v>15</v>
      </c>
      <c r="Z51" s="400">
        <v>15</v>
      </c>
      <c r="AA51" s="545">
        <v>169.62003999999999</v>
      </c>
      <c r="AB51" s="401">
        <v>114.58917</v>
      </c>
      <c r="AC51" s="401">
        <v>11.2707</v>
      </c>
      <c r="AD51" s="401">
        <f>50+40</f>
        <v>90</v>
      </c>
      <c r="AE51" s="401">
        <v>23.86795</v>
      </c>
      <c r="AF51" s="401">
        <v>0</v>
      </c>
      <c r="AG51" s="401">
        <v>0</v>
      </c>
      <c r="AH51" s="401">
        <v>15.116569999999999</v>
      </c>
      <c r="AI51" s="401">
        <v>53.67</v>
      </c>
      <c r="AJ51" s="401">
        <v>10</v>
      </c>
      <c r="AK51" s="385" t="s">
        <v>167</v>
      </c>
      <c r="AL51" s="439" t="s">
        <v>175</v>
      </c>
      <c r="AM51" s="389"/>
      <c r="AN51" s="521">
        <v>368</v>
      </c>
      <c r="AO51" s="402">
        <f t="shared" si="18"/>
        <v>807.71447619047615</v>
      </c>
      <c r="AP51" s="402">
        <f t="shared" si="19"/>
        <v>11.308002666666665</v>
      </c>
      <c r="AQ51" s="595"/>
      <c r="AR51" s="587"/>
      <c r="AS51" s="400"/>
      <c r="AT51" s="545"/>
      <c r="AU51" s="401"/>
      <c r="AV51" s="401"/>
      <c r="AW51" s="401"/>
      <c r="AX51" s="401"/>
      <c r="AY51" s="401"/>
      <c r="AZ51" s="401"/>
      <c r="BA51" s="401"/>
      <c r="BB51" s="401"/>
      <c r="BC51" s="401"/>
      <c r="BD51" s="385"/>
      <c r="BE51" s="439"/>
      <c r="BF51" s="389"/>
      <c r="BG51" s="521"/>
      <c r="BH51" s="402" t="e">
        <f t="shared" si="20"/>
        <v>#DIV/0!</v>
      </c>
      <c r="BI51" s="402" t="e">
        <f t="shared" si="21"/>
        <v>#DIV/0!</v>
      </c>
    </row>
    <row r="52" spans="1:61" s="359" customFormat="1" ht="19.2" x14ac:dyDescent="0.3">
      <c r="A52" s="360" t="s">
        <v>606</v>
      </c>
      <c r="B52" s="543" t="s">
        <v>506</v>
      </c>
      <c r="C52" s="433" t="s">
        <v>474</v>
      </c>
      <c r="D52" s="361">
        <v>0.4</v>
      </c>
      <c r="E52" s="403"/>
      <c r="F52" s="404"/>
      <c r="G52" s="400"/>
      <c r="H52" s="401"/>
      <c r="I52" s="401"/>
      <c r="J52" s="401"/>
      <c r="K52" s="401"/>
      <c r="L52" s="401"/>
      <c r="M52" s="401"/>
      <c r="N52" s="401"/>
      <c r="O52" s="401"/>
      <c r="P52" s="401"/>
      <c r="Q52" s="401"/>
      <c r="R52" s="389"/>
      <c r="S52" s="389"/>
      <c r="T52" s="389"/>
      <c r="U52" s="521"/>
      <c r="V52" s="402" t="e">
        <f t="shared" si="25"/>
        <v>#DIV/0!</v>
      </c>
      <c r="W52" s="402" t="e">
        <f t="shared" si="26"/>
        <v>#DIV/0!</v>
      </c>
      <c r="X52" s="403">
        <v>40</v>
      </c>
      <c r="Y52" s="404">
        <v>15</v>
      </c>
      <c r="Z52" s="400">
        <v>15</v>
      </c>
      <c r="AA52" s="545">
        <v>22.050180000000001</v>
      </c>
      <c r="AB52" s="401">
        <v>14.99563</v>
      </c>
      <c r="AC52" s="401">
        <v>2.1467999999999998</v>
      </c>
      <c r="AD52" s="401">
        <v>10</v>
      </c>
      <c r="AE52" s="401">
        <v>3.0259800000000001</v>
      </c>
      <c r="AF52" s="401">
        <v>0</v>
      </c>
      <c r="AG52" s="401">
        <v>0</v>
      </c>
      <c r="AH52" s="401">
        <v>1.9614199999999999</v>
      </c>
      <c r="AI52" s="401">
        <v>53.67</v>
      </c>
      <c r="AJ52" s="401">
        <v>10</v>
      </c>
      <c r="AK52" s="385" t="s">
        <v>167</v>
      </c>
      <c r="AL52" s="439" t="s">
        <v>175</v>
      </c>
      <c r="AM52" s="389"/>
      <c r="AN52" s="521">
        <v>371</v>
      </c>
      <c r="AO52" s="402">
        <f t="shared" si="18"/>
        <v>551.25450000000001</v>
      </c>
      <c r="AP52" s="402">
        <f t="shared" si="19"/>
        <v>1.4700120000000001</v>
      </c>
      <c r="AQ52" s="595"/>
      <c r="AR52" s="587"/>
      <c r="AS52" s="400"/>
      <c r="AT52" s="545"/>
      <c r="AU52" s="401"/>
      <c r="AV52" s="401"/>
      <c r="AW52" s="401"/>
      <c r="AX52" s="401"/>
      <c r="AY52" s="401"/>
      <c r="AZ52" s="401"/>
      <c r="BA52" s="401"/>
      <c r="BB52" s="401"/>
      <c r="BC52" s="401"/>
      <c r="BD52" s="385"/>
      <c r="BE52" s="439"/>
      <c r="BF52" s="389"/>
      <c r="BG52" s="521"/>
      <c r="BH52" s="402" t="e">
        <f t="shared" si="20"/>
        <v>#DIV/0!</v>
      </c>
      <c r="BI52" s="402" t="e">
        <f t="shared" si="21"/>
        <v>#DIV/0!</v>
      </c>
    </row>
    <row r="53" spans="1:61" s="359" customFormat="1" ht="19.2" x14ac:dyDescent="0.3">
      <c r="A53" s="360" t="s">
        <v>607</v>
      </c>
      <c r="B53" s="543" t="s">
        <v>508</v>
      </c>
      <c r="C53" s="433" t="s">
        <v>486</v>
      </c>
      <c r="D53" s="361">
        <v>0.4</v>
      </c>
      <c r="E53" s="403"/>
      <c r="F53" s="404"/>
      <c r="G53" s="400"/>
      <c r="H53" s="401"/>
      <c r="I53" s="401"/>
      <c r="J53" s="401"/>
      <c r="K53" s="401"/>
      <c r="L53" s="401"/>
      <c r="M53" s="401"/>
      <c r="N53" s="401"/>
      <c r="O53" s="401"/>
      <c r="P53" s="401"/>
      <c r="Q53" s="401"/>
      <c r="R53" s="389"/>
      <c r="S53" s="389"/>
      <c r="T53" s="389"/>
      <c r="U53" s="521"/>
      <c r="V53" s="402" t="e">
        <f t="shared" si="25"/>
        <v>#DIV/0!</v>
      </c>
      <c r="W53" s="402" t="e">
        <f t="shared" si="26"/>
        <v>#DIV/0!</v>
      </c>
      <c r="X53" s="403">
        <v>90</v>
      </c>
      <c r="Y53" s="404">
        <v>10</v>
      </c>
      <c r="Z53" s="400">
        <v>10</v>
      </c>
      <c r="AA53" s="545">
        <v>45.144100000000002</v>
      </c>
      <c r="AB53" s="401">
        <v>30.402979999999999</v>
      </c>
      <c r="AC53" s="401">
        <v>4.8303000000000003</v>
      </c>
      <c r="AD53" s="401">
        <v>20</v>
      </c>
      <c r="AE53" s="401">
        <v>6.3270600000000004</v>
      </c>
      <c r="AF53" s="401">
        <v>0</v>
      </c>
      <c r="AG53" s="401">
        <v>0</v>
      </c>
      <c r="AH53" s="401">
        <v>4.1028200000000004</v>
      </c>
      <c r="AI53" s="401">
        <v>53.67</v>
      </c>
      <c r="AJ53" s="401">
        <v>10</v>
      </c>
      <c r="AK53" s="385" t="s">
        <v>167</v>
      </c>
      <c r="AL53" s="439" t="s">
        <v>175</v>
      </c>
      <c r="AM53" s="389"/>
      <c r="AN53" s="521">
        <v>461</v>
      </c>
      <c r="AO53" s="402">
        <f t="shared" si="18"/>
        <v>501.60111111111115</v>
      </c>
      <c r="AP53" s="402">
        <f t="shared" si="19"/>
        <v>4.5144099999999998</v>
      </c>
      <c r="AQ53" s="595"/>
      <c r="AR53" s="587"/>
      <c r="AS53" s="400"/>
      <c r="AT53" s="545"/>
      <c r="AU53" s="401"/>
      <c r="AV53" s="401"/>
      <c r="AW53" s="401"/>
      <c r="AX53" s="401"/>
      <c r="AY53" s="401"/>
      <c r="AZ53" s="401"/>
      <c r="BA53" s="401"/>
      <c r="BB53" s="401"/>
      <c r="BC53" s="401"/>
      <c r="BD53" s="385"/>
      <c r="BE53" s="439"/>
      <c r="BF53" s="389"/>
      <c r="BG53" s="521"/>
      <c r="BH53" s="402" t="e">
        <f t="shared" si="20"/>
        <v>#DIV/0!</v>
      </c>
      <c r="BI53" s="402" t="e">
        <f t="shared" si="21"/>
        <v>#DIV/0!</v>
      </c>
    </row>
    <row r="54" spans="1:61" s="359" customFormat="1" ht="19.2" x14ac:dyDescent="0.3">
      <c r="A54" s="360" t="s">
        <v>179</v>
      </c>
      <c r="B54" s="579" t="s">
        <v>719</v>
      </c>
      <c r="C54" s="433" t="s">
        <v>612</v>
      </c>
      <c r="D54" s="361">
        <v>0.4</v>
      </c>
      <c r="E54" s="403"/>
      <c r="F54" s="404"/>
      <c r="G54" s="400"/>
      <c r="H54" s="401"/>
      <c r="I54" s="401"/>
      <c r="J54" s="401"/>
      <c r="K54" s="401"/>
      <c r="L54" s="401"/>
      <c r="M54" s="401"/>
      <c r="N54" s="401"/>
      <c r="O54" s="401"/>
      <c r="P54" s="401"/>
      <c r="Q54" s="401"/>
      <c r="R54" s="389"/>
      <c r="S54" s="389"/>
      <c r="T54" s="389"/>
      <c r="U54" s="521"/>
      <c r="V54" s="402"/>
      <c r="W54" s="402"/>
      <c r="X54" s="403"/>
      <c r="Y54" s="404"/>
      <c r="Z54" s="400"/>
      <c r="AA54" s="401"/>
      <c r="AB54" s="401"/>
      <c r="AC54" s="401"/>
      <c r="AD54" s="401"/>
      <c r="AE54" s="401"/>
      <c r="AF54" s="401"/>
      <c r="AG54" s="401"/>
      <c r="AH54" s="401"/>
      <c r="AI54" s="401"/>
      <c r="AJ54" s="401"/>
      <c r="AK54" s="385"/>
      <c r="AL54" s="439"/>
      <c r="AM54" s="389"/>
      <c r="AN54" s="521"/>
      <c r="AO54" s="402"/>
      <c r="AP54" s="402"/>
      <c r="AQ54" s="595">
        <v>20</v>
      </c>
      <c r="AR54" s="587">
        <v>15</v>
      </c>
      <c r="AS54" s="400">
        <v>15</v>
      </c>
      <c r="AT54" s="578">
        <v>18.046749999999999</v>
      </c>
      <c r="AU54" s="401">
        <v>12.784330000000001</v>
      </c>
      <c r="AV54" s="401">
        <v>1.0733999999999999</v>
      </c>
      <c r="AW54" s="401">
        <v>10</v>
      </c>
      <c r="AX54" s="401">
        <v>2.3689499999999999</v>
      </c>
      <c r="AY54" s="401">
        <v>0</v>
      </c>
      <c r="AZ54" s="401">
        <v>0</v>
      </c>
      <c r="BA54" s="401">
        <v>1.4136599999999999</v>
      </c>
      <c r="BB54" s="401">
        <v>53.67</v>
      </c>
      <c r="BC54" s="401">
        <v>10</v>
      </c>
      <c r="BD54" s="385" t="s">
        <v>167</v>
      </c>
      <c r="BE54" s="439" t="s">
        <v>175</v>
      </c>
      <c r="BF54" s="389"/>
      <c r="BG54" s="521">
        <v>25</v>
      </c>
      <c r="BH54" s="402">
        <f t="shared" si="20"/>
        <v>902.33749999999998</v>
      </c>
      <c r="BI54" s="402">
        <f t="shared" si="21"/>
        <v>1.2031166666666666</v>
      </c>
    </row>
    <row r="55" spans="1:61" s="359" customFormat="1" ht="19.2" x14ac:dyDescent="0.3">
      <c r="A55" s="360" t="s">
        <v>183</v>
      </c>
      <c r="B55" s="579" t="s">
        <v>720</v>
      </c>
      <c r="C55" s="433" t="s">
        <v>613</v>
      </c>
      <c r="D55" s="361">
        <v>0.4</v>
      </c>
      <c r="E55" s="403"/>
      <c r="F55" s="404"/>
      <c r="G55" s="400"/>
      <c r="H55" s="401"/>
      <c r="I55" s="401"/>
      <c r="J55" s="401"/>
      <c r="K55" s="401"/>
      <c r="L55" s="401"/>
      <c r="M55" s="401"/>
      <c r="N55" s="401"/>
      <c r="O55" s="401"/>
      <c r="P55" s="401"/>
      <c r="Q55" s="401"/>
      <c r="R55" s="389"/>
      <c r="S55" s="389"/>
      <c r="T55" s="389"/>
      <c r="U55" s="521"/>
      <c r="V55" s="402"/>
      <c r="W55" s="402"/>
      <c r="X55" s="403"/>
      <c r="Y55" s="404"/>
      <c r="Z55" s="400"/>
      <c r="AA55" s="401"/>
      <c r="AB55" s="401"/>
      <c r="AC55" s="401"/>
      <c r="AD55" s="401"/>
      <c r="AE55" s="401"/>
      <c r="AF55" s="401"/>
      <c r="AG55" s="401"/>
      <c r="AH55" s="401"/>
      <c r="AI55" s="401"/>
      <c r="AJ55" s="401"/>
      <c r="AK55" s="385"/>
      <c r="AL55" s="439"/>
      <c r="AM55" s="389"/>
      <c r="AN55" s="521"/>
      <c r="AO55" s="402"/>
      <c r="AP55" s="402"/>
      <c r="AQ55" s="595">
        <v>38</v>
      </c>
      <c r="AR55" s="587">
        <v>15</v>
      </c>
      <c r="AS55" s="400">
        <v>15</v>
      </c>
      <c r="AT55" s="578">
        <v>19.320039999999999</v>
      </c>
      <c r="AU55" s="401">
        <v>12.955870000000001</v>
      </c>
      <c r="AV55" s="401">
        <v>2.0394600000000001</v>
      </c>
      <c r="AW55" s="401">
        <v>10</v>
      </c>
      <c r="AX55" s="401">
        <v>2.8336399999999999</v>
      </c>
      <c r="AY55" s="401">
        <v>0</v>
      </c>
      <c r="AZ55" s="401">
        <v>0</v>
      </c>
      <c r="BA55" s="401">
        <v>1.7322200000000001</v>
      </c>
      <c r="BB55" s="401">
        <v>53.67</v>
      </c>
      <c r="BC55" s="401">
        <v>10</v>
      </c>
      <c r="BD55" s="385" t="s">
        <v>167</v>
      </c>
      <c r="BE55" s="439" t="s">
        <v>175</v>
      </c>
      <c r="BF55" s="389"/>
      <c r="BG55" s="521">
        <v>29</v>
      </c>
      <c r="BH55" s="402">
        <f t="shared" si="20"/>
        <v>508.4221052631579</v>
      </c>
      <c r="BI55" s="402">
        <f t="shared" si="21"/>
        <v>1.2880026666666666</v>
      </c>
    </row>
    <row r="56" spans="1:61" s="359" customFormat="1" ht="19.2" x14ac:dyDescent="0.3">
      <c r="A56" s="360" t="s">
        <v>185</v>
      </c>
      <c r="B56" s="579" t="s">
        <v>721</v>
      </c>
      <c r="C56" s="433" t="s">
        <v>623</v>
      </c>
      <c r="D56" s="361">
        <v>0.4</v>
      </c>
      <c r="E56" s="403"/>
      <c r="F56" s="404"/>
      <c r="G56" s="400"/>
      <c r="H56" s="401"/>
      <c r="I56" s="401"/>
      <c r="J56" s="401"/>
      <c r="K56" s="401"/>
      <c r="L56" s="401"/>
      <c r="M56" s="401"/>
      <c r="N56" s="401"/>
      <c r="O56" s="401"/>
      <c r="P56" s="401"/>
      <c r="Q56" s="401"/>
      <c r="R56" s="389"/>
      <c r="S56" s="389"/>
      <c r="T56" s="389"/>
      <c r="U56" s="521"/>
      <c r="V56" s="402"/>
      <c r="W56" s="402"/>
      <c r="X56" s="403"/>
      <c r="Y56" s="404"/>
      <c r="Z56" s="400"/>
      <c r="AA56" s="401"/>
      <c r="AB56" s="401"/>
      <c r="AC56" s="401"/>
      <c r="AD56" s="401"/>
      <c r="AE56" s="401"/>
      <c r="AF56" s="401"/>
      <c r="AG56" s="401"/>
      <c r="AH56" s="401"/>
      <c r="AI56" s="401"/>
      <c r="AJ56" s="401"/>
      <c r="AK56" s="385"/>
      <c r="AL56" s="439"/>
      <c r="AM56" s="389"/>
      <c r="AN56" s="521"/>
      <c r="AO56" s="402"/>
      <c r="AP56" s="402"/>
      <c r="AQ56" s="595">
        <v>30</v>
      </c>
      <c r="AR56" s="587">
        <v>15</v>
      </c>
      <c r="AS56" s="400">
        <v>15</v>
      </c>
      <c r="AT56" s="578">
        <v>19.225549999999998</v>
      </c>
      <c r="AU56" s="401">
        <v>13.351050000000001</v>
      </c>
      <c r="AV56" s="401">
        <v>1.6577999999999999</v>
      </c>
      <c r="AW56" s="401">
        <v>9.9937699999999996</v>
      </c>
      <c r="AX56" s="401">
        <v>2.6271100000000001</v>
      </c>
      <c r="AY56" s="401">
        <v>0</v>
      </c>
      <c r="AZ56" s="401">
        <v>0</v>
      </c>
      <c r="BA56" s="401">
        <v>1.5906400000000001</v>
      </c>
      <c r="BB56" s="401">
        <v>55.26</v>
      </c>
      <c r="BC56" s="401">
        <v>9.9937699999999996</v>
      </c>
      <c r="BD56" s="385" t="s">
        <v>167</v>
      </c>
      <c r="BE56" s="439" t="s">
        <v>175</v>
      </c>
      <c r="BF56" s="389"/>
      <c r="BG56" s="521">
        <v>33</v>
      </c>
      <c r="BH56" s="402">
        <f t="shared" ref="BH56:BH69" si="27">AT56/AQ56*1000</f>
        <v>640.85166666666657</v>
      </c>
      <c r="BI56" s="402">
        <f t="shared" ref="BI56:BI69" si="28">AT56/AR56</f>
        <v>1.2817033333333332</v>
      </c>
    </row>
    <row r="57" spans="1:61" s="359" customFormat="1" ht="19.2" x14ac:dyDescent="0.3">
      <c r="A57" s="360" t="s">
        <v>187</v>
      </c>
      <c r="B57" s="579" t="s">
        <v>722</v>
      </c>
      <c r="C57" s="433" t="s">
        <v>628</v>
      </c>
      <c r="D57" s="361">
        <v>0.4</v>
      </c>
      <c r="E57" s="403"/>
      <c r="F57" s="404"/>
      <c r="G57" s="400"/>
      <c r="H57" s="401"/>
      <c r="I57" s="401"/>
      <c r="J57" s="401"/>
      <c r="K57" s="401"/>
      <c r="L57" s="401"/>
      <c r="M57" s="401"/>
      <c r="N57" s="401"/>
      <c r="O57" s="401"/>
      <c r="P57" s="401"/>
      <c r="Q57" s="401"/>
      <c r="R57" s="389"/>
      <c r="S57" s="389"/>
      <c r="T57" s="389"/>
      <c r="U57" s="521"/>
      <c r="V57" s="402"/>
      <c r="W57" s="402"/>
      <c r="X57" s="403"/>
      <c r="Y57" s="404"/>
      <c r="Z57" s="400"/>
      <c r="AA57" s="401"/>
      <c r="AB57" s="401"/>
      <c r="AC57" s="401"/>
      <c r="AD57" s="401"/>
      <c r="AE57" s="401"/>
      <c r="AF57" s="401"/>
      <c r="AG57" s="401"/>
      <c r="AH57" s="401"/>
      <c r="AI57" s="401"/>
      <c r="AJ57" s="401"/>
      <c r="AK57" s="385"/>
      <c r="AL57" s="439"/>
      <c r="AM57" s="389"/>
      <c r="AN57" s="521"/>
      <c r="AO57" s="402"/>
      <c r="AP57" s="402"/>
      <c r="AQ57" s="595">
        <v>42</v>
      </c>
      <c r="AR57" s="587">
        <v>15</v>
      </c>
      <c r="AS57" s="400">
        <v>15</v>
      </c>
      <c r="AT57" s="578">
        <v>21.848040000000001</v>
      </c>
      <c r="AU57" s="401">
        <v>14.760870000000001</v>
      </c>
      <c r="AV57" s="401">
        <v>2.47254</v>
      </c>
      <c r="AW57" s="401">
        <v>9.9283599999999996</v>
      </c>
      <c r="AX57" s="401">
        <v>3.18885</v>
      </c>
      <c r="AY57" s="401">
        <v>0</v>
      </c>
      <c r="AZ57" s="401">
        <v>0</v>
      </c>
      <c r="BA57" s="401">
        <v>1.9261699999999999</v>
      </c>
      <c r="BB57" s="401">
        <v>58.87</v>
      </c>
      <c r="BC57" s="401">
        <v>9.9283599999999996</v>
      </c>
      <c r="BD57" s="385" t="s">
        <v>167</v>
      </c>
      <c r="BE57" s="439" t="s">
        <v>175</v>
      </c>
      <c r="BF57" s="389"/>
      <c r="BG57" s="521">
        <v>37</v>
      </c>
      <c r="BH57" s="402">
        <f t="shared" si="27"/>
        <v>520.19142857142867</v>
      </c>
      <c r="BI57" s="402">
        <f t="shared" si="28"/>
        <v>1.4565360000000001</v>
      </c>
    </row>
    <row r="58" spans="1:61" s="359" customFormat="1" ht="19.2" x14ac:dyDescent="0.3">
      <c r="A58" s="360" t="s">
        <v>190</v>
      </c>
      <c r="B58" s="579" t="s">
        <v>723</v>
      </c>
      <c r="C58" s="433" t="s">
        <v>630</v>
      </c>
      <c r="D58" s="361">
        <v>0.4</v>
      </c>
      <c r="E58" s="403"/>
      <c r="F58" s="404"/>
      <c r="G58" s="400"/>
      <c r="H58" s="401"/>
      <c r="I58" s="401"/>
      <c r="J58" s="401"/>
      <c r="K58" s="401"/>
      <c r="L58" s="401"/>
      <c r="M58" s="401"/>
      <c r="N58" s="401"/>
      <c r="O58" s="401"/>
      <c r="P58" s="401"/>
      <c r="Q58" s="401"/>
      <c r="R58" s="389"/>
      <c r="S58" s="389"/>
      <c r="T58" s="389"/>
      <c r="U58" s="521"/>
      <c r="V58" s="402"/>
      <c r="W58" s="402"/>
      <c r="X58" s="403"/>
      <c r="Y58" s="404"/>
      <c r="Z58" s="400"/>
      <c r="AA58" s="401"/>
      <c r="AB58" s="401"/>
      <c r="AC58" s="401"/>
      <c r="AD58" s="401"/>
      <c r="AE58" s="401"/>
      <c r="AF58" s="401"/>
      <c r="AG58" s="401"/>
      <c r="AH58" s="401"/>
      <c r="AI58" s="401"/>
      <c r="AJ58" s="401"/>
      <c r="AK58" s="385"/>
      <c r="AL58" s="439"/>
      <c r="AM58" s="389"/>
      <c r="AN58" s="521"/>
      <c r="AO58" s="402"/>
      <c r="AP58" s="402"/>
      <c r="AQ58" s="595">
        <v>68</v>
      </c>
      <c r="AR58" s="587">
        <v>15</v>
      </c>
      <c r="AS58" s="400">
        <v>15</v>
      </c>
      <c r="AT58" s="578">
        <v>24.983239999999999</v>
      </c>
      <c r="AU58" s="401">
        <v>16.17154</v>
      </c>
      <c r="AV58" s="401">
        <v>4.0031600000000003</v>
      </c>
      <c r="AW58" s="401">
        <v>9.9283599999999996</v>
      </c>
      <c r="AX58" s="401">
        <v>3.9341499999999998</v>
      </c>
      <c r="AY58" s="401">
        <v>0</v>
      </c>
      <c r="AZ58" s="401">
        <v>0</v>
      </c>
      <c r="BA58" s="401">
        <v>2.4199700000000002</v>
      </c>
      <c r="BB58" s="401">
        <v>58.87</v>
      </c>
      <c r="BC58" s="401">
        <v>9.9283599999999996</v>
      </c>
      <c r="BD58" s="385" t="s">
        <v>167</v>
      </c>
      <c r="BE58" s="439" t="s">
        <v>175</v>
      </c>
      <c r="BF58" s="389"/>
      <c r="BG58" s="521">
        <v>45</v>
      </c>
      <c r="BH58" s="402">
        <f t="shared" si="27"/>
        <v>367.40058823529409</v>
      </c>
      <c r="BI58" s="402">
        <f t="shared" si="28"/>
        <v>1.6655493333333333</v>
      </c>
    </row>
    <row r="59" spans="1:61" s="359" customFormat="1" ht="19.2" x14ac:dyDescent="0.3">
      <c r="A59" s="360" t="s">
        <v>598</v>
      </c>
      <c r="B59" s="579" t="s">
        <v>724</v>
      </c>
      <c r="C59" s="433" t="s">
        <v>635</v>
      </c>
      <c r="D59" s="361">
        <v>0.4</v>
      </c>
      <c r="E59" s="403"/>
      <c r="F59" s="404"/>
      <c r="G59" s="400"/>
      <c r="H59" s="401"/>
      <c r="I59" s="401"/>
      <c r="J59" s="401"/>
      <c r="K59" s="401"/>
      <c r="L59" s="401"/>
      <c r="M59" s="401"/>
      <c r="N59" s="401"/>
      <c r="O59" s="401"/>
      <c r="P59" s="401"/>
      <c r="Q59" s="401"/>
      <c r="R59" s="389"/>
      <c r="S59" s="389"/>
      <c r="T59" s="389"/>
      <c r="U59" s="521"/>
      <c r="V59" s="402"/>
      <c r="W59" s="402"/>
      <c r="X59" s="403"/>
      <c r="Y59" s="404"/>
      <c r="Z59" s="400"/>
      <c r="AA59" s="401"/>
      <c r="AB59" s="401"/>
      <c r="AC59" s="401"/>
      <c r="AD59" s="401"/>
      <c r="AE59" s="401"/>
      <c r="AF59" s="401"/>
      <c r="AG59" s="401"/>
      <c r="AH59" s="401"/>
      <c r="AI59" s="401"/>
      <c r="AJ59" s="401"/>
      <c r="AK59" s="385"/>
      <c r="AL59" s="439"/>
      <c r="AM59" s="389"/>
      <c r="AN59" s="521"/>
      <c r="AO59" s="402"/>
      <c r="AP59" s="402"/>
      <c r="AQ59" s="595">
        <v>95</v>
      </c>
      <c r="AR59" s="587">
        <v>15</v>
      </c>
      <c r="AS59" s="400">
        <v>15</v>
      </c>
      <c r="AT59" s="578">
        <v>73.560050000000004</v>
      </c>
      <c r="AU59" s="401">
        <v>49.861750000000001</v>
      </c>
      <c r="AV59" s="401">
        <v>5.7569999999999997</v>
      </c>
      <c r="AW59" s="401">
        <f>19.81368+19.81368</f>
        <v>39.627360000000003</v>
      </c>
      <c r="AX59" s="401">
        <v>10.97176</v>
      </c>
      <c r="AY59" s="401">
        <v>0</v>
      </c>
      <c r="AZ59" s="401">
        <v>0</v>
      </c>
      <c r="BA59" s="401">
        <v>6.2966199999999999</v>
      </c>
      <c r="BB59" s="401">
        <v>60.6</v>
      </c>
      <c r="BC59" s="401">
        <v>9.9068400000000008</v>
      </c>
      <c r="BD59" s="385" t="s">
        <v>167</v>
      </c>
      <c r="BE59" s="439" t="s">
        <v>175</v>
      </c>
      <c r="BF59" s="389"/>
      <c r="BG59" s="521">
        <v>50</v>
      </c>
      <c r="BH59" s="402">
        <f t="shared" si="27"/>
        <v>774.31631578947372</v>
      </c>
      <c r="BI59" s="402">
        <f t="shared" si="28"/>
        <v>4.9040033333333337</v>
      </c>
    </row>
    <row r="60" spans="1:61" s="359" customFormat="1" ht="19.2" x14ac:dyDescent="0.3">
      <c r="A60" s="360" t="s">
        <v>599</v>
      </c>
      <c r="B60" s="579" t="s">
        <v>725</v>
      </c>
      <c r="C60" s="433" t="s">
        <v>643</v>
      </c>
      <c r="D60" s="361">
        <v>0.4</v>
      </c>
      <c r="E60" s="403"/>
      <c r="F60" s="404"/>
      <c r="G60" s="400"/>
      <c r="H60" s="401"/>
      <c r="I60" s="401"/>
      <c r="J60" s="401"/>
      <c r="K60" s="401"/>
      <c r="L60" s="401"/>
      <c r="M60" s="401"/>
      <c r="N60" s="401"/>
      <c r="O60" s="401"/>
      <c r="P60" s="401"/>
      <c r="Q60" s="401"/>
      <c r="R60" s="389"/>
      <c r="S60" s="389"/>
      <c r="T60" s="389"/>
      <c r="U60" s="521"/>
      <c r="V60" s="402"/>
      <c r="W60" s="402"/>
      <c r="X60" s="403"/>
      <c r="Y60" s="404"/>
      <c r="Z60" s="400"/>
      <c r="AA60" s="401"/>
      <c r="AB60" s="401"/>
      <c r="AC60" s="401"/>
      <c r="AD60" s="401"/>
      <c r="AE60" s="401"/>
      <c r="AF60" s="401"/>
      <c r="AG60" s="401"/>
      <c r="AH60" s="401"/>
      <c r="AI60" s="401"/>
      <c r="AJ60" s="401"/>
      <c r="AK60" s="385"/>
      <c r="AL60" s="439"/>
      <c r="AM60" s="389"/>
      <c r="AN60" s="521"/>
      <c r="AO60" s="402"/>
      <c r="AP60" s="402"/>
      <c r="AQ60" s="595">
        <v>45</v>
      </c>
      <c r="AR60" s="587">
        <v>15</v>
      </c>
      <c r="AS60" s="400">
        <v>15</v>
      </c>
      <c r="AT60" s="578">
        <v>22.00404</v>
      </c>
      <c r="AU60" s="401">
        <v>14.717890000000001</v>
      </c>
      <c r="AV60" s="401">
        <v>2.7269999999999999</v>
      </c>
      <c r="AW60" s="401">
        <v>9.8877000000000006</v>
      </c>
      <c r="AX60" s="401">
        <v>3.2748400000000002</v>
      </c>
      <c r="AY60" s="401">
        <v>0</v>
      </c>
      <c r="AZ60" s="401">
        <v>0</v>
      </c>
      <c r="BA60" s="401">
        <v>1.98315</v>
      </c>
      <c r="BB60" s="401">
        <v>60.6</v>
      </c>
      <c r="BC60" s="401">
        <v>9.8877000000000006</v>
      </c>
      <c r="BD60" s="385" t="s">
        <v>167</v>
      </c>
      <c r="BE60" s="439" t="s">
        <v>175</v>
      </c>
      <c r="BF60" s="389"/>
      <c r="BG60" s="521">
        <v>53</v>
      </c>
      <c r="BH60" s="402">
        <f t="shared" si="27"/>
        <v>488.9786666666667</v>
      </c>
      <c r="BI60" s="402">
        <f t="shared" si="28"/>
        <v>1.466936</v>
      </c>
    </row>
    <row r="61" spans="1:61" s="359" customFormat="1" ht="19.2" x14ac:dyDescent="0.3">
      <c r="A61" s="360" t="s">
        <v>600</v>
      </c>
      <c r="B61" s="579" t="s">
        <v>726</v>
      </c>
      <c r="C61" s="433" t="s">
        <v>649</v>
      </c>
      <c r="D61" s="361">
        <v>0.4</v>
      </c>
      <c r="E61" s="403"/>
      <c r="F61" s="404"/>
      <c r="G61" s="400"/>
      <c r="H61" s="401"/>
      <c r="I61" s="401"/>
      <c r="J61" s="401"/>
      <c r="K61" s="401"/>
      <c r="L61" s="401"/>
      <c r="M61" s="401"/>
      <c r="N61" s="401"/>
      <c r="O61" s="401"/>
      <c r="P61" s="401"/>
      <c r="Q61" s="401"/>
      <c r="R61" s="389"/>
      <c r="S61" s="389"/>
      <c r="T61" s="389"/>
      <c r="U61" s="521"/>
      <c r="V61" s="402"/>
      <c r="W61" s="402"/>
      <c r="X61" s="403"/>
      <c r="Y61" s="404"/>
      <c r="Z61" s="400"/>
      <c r="AA61" s="401"/>
      <c r="AB61" s="401"/>
      <c r="AC61" s="401"/>
      <c r="AD61" s="401"/>
      <c r="AE61" s="401"/>
      <c r="AF61" s="401"/>
      <c r="AG61" s="401"/>
      <c r="AH61" s="401"/>
      <c r="AI61" s="401"/>
      <c r="AJ61" s="401"/>
      <c r="AK61" s="385"/>
      <c r="AL61" s="439"/>
      <c r="AM61" s="389"/>
      <c r="AN61" s="521"/>
      <c r="AO61" s="402"/>
      <c r="AP61" s="402"/>
      <c r="AQ61" s="595">
        <v>53</v>
      </c>
      <c r="AR61" s="587">
        <v>15</v>
      </c>
      <c r="AS61" s="400">
        <v>15</v>
      </c>
      <c r="AT61" s="578">
        <v>22.801839999999999</v>
      </c>
      <c r="AU61" s="401">
        <v>14.98507</v>
      </c>
      <c r="AV61" s="401">
        <v>3.2118000000000002</v>
      </c>
      <c r="AW61" s="401">
        <v>9.8790499999999994</v>
      </c>
      <c r="AX61" s="401">
        <v>3.5041699999999998</v>
      </c>
      <c r="AY61" s="401">
        <v>0</v>
      </c>
      <c r="AZ61" s="401">
        <v>0</v>
      </c>
      <c r="BA61" s="401">
        <v>2.1350799999999999</v>
      </c>
      <c r="BB61" s="401">
        <v>60.6</v>
      </c>
      <c r="BC61" s="401">
        <v>9.8790499999999994</v>
      </c>
      <c r="BD61" s="385" t="s">
        <v>167</v>
      </c>
      <c r="BE61" s="439" t="s">
        <v>175</v>
      </c>
      <c r="BF61" s="389"/>
      <c r="BG61" s="521">
        <v>57</v>
      </c>
      <c r="BH61" s="402">
        <f t="shared" si="27"/>
        <v>430.2233962264151</v>
      </c>
      <c r="BI61" s="402">
        <f t="shared" si="28"/>
        <v>1.5201226666666665</v>
      </c>
    </row>
    <row r="62" spans="1:61" s="359" customFormat="1" ht="19.2" x14ac:dyDescent="0.3">
      <c r="A62" s="360" t="s">
        <v>601</v>
      </c>
      <c r="B62" s="579" t="s">
        <v>727</v>
      </c>
      <c r="C62" s="433" t="s">
        <v>662</v>
      </c>
      <c r="D62" s="361">
        <v>0.4</v>
      </c>
      <c r="E62" s="403"/>
      <c r="F62" s="404"/>
      <c r="G62" s="400"/>
      <c r="H62" s="401"/>
      <c r="I62" s="401"/>
      <c r="J62" s="401"/>
      <c r="K62" s="401"/>
      <c r="L62" s="401"/>
      <c r="M62" s="401"/>
      <c r="N62" s="401"/>
      <c r="O62" s="401"/>
      <c r="P62" s="401"/>
      <c r="Q62" s="401"/>
      <c r="R62" s="389"/>
      <c r="S62" s="389"/>
      <c r="T62" s="389"/>
      <c r="U62" s="521"/>
      <c r="V62" s="402"/>
      <c r="W62" s="402"/>
      <c r="X62" s="403"/>
      <c r="Y62" s="404"/>
      <c r="Z62" s="400"/>
      <c r="AA62" s="401"/>
      <c r="AB62" s="401"/>
      <c r="AC62" s="401"/>
      <c r="AD62" s="401"/>
      <c r="AE62" s="401"/>
      <c r="AF62" s="401"/>
      <c r="AG62" s="401"/>
      <c r="AH62" s="401"/>
      <c r="AI62" s="401"/>
      <c r="AJ62" s="401"/>
      <c r="AK62" s="385"/>
      <c r="AL62" s="439"/>
      <c r="AM62" s="389"/>
      <c r="AN62" s="521"/>
      <c r="AO62" s="402"/>
      <c r="AP62" s="402"/>
      <c r="AQ62" s="595">
        <v>345</v>
      </c>
      <c r="AR62" s="587">
        <v>1</v>
      </c>
      <c r="AS62" s="400">
        <v>1</v>
      </c>
      <c r="AT62" s="578">
        <v>189.80260000000001</v>
      </c>
      <c r="AU62" s="401">
        <v>129.50468000000001</v>
      </c>
      <c r="AV62" s="401">
        <v>20.907</v>
      </c>
      <c r="AW62" s="401">
        <f>49.3424+39.47392</f>
        <v>88.81631999999999</v>
      </c>
      <c r="AX62" s="401">
        <v>27.06738</v>
      </c>
      <c r="AY62" s="401">
        <v>0</v>
      </c>
      <c r="AZ62" s="401">
        <v>0</v>
      </c>
      <c r="BA62" s="401">
        <v>16.288810000000002</v>
      </c>
      <c r="BB62" s="401">
        <v>60.6</v>
      </c>
      <c r="BC62" s="401">
        <v>9.8684799999999999</v>
      </c>
      <c r="BD62" s="385" t="s">
        <v>167</v>
      </c>
      <c r="BE62" s="439" t="s">
        <v>175</v>
      </c>
      <c r="BF62" s="389"/>
      <c r="BG62" s="521">
        <v>62</v>
      </c>
      <c r="BH62" s="402">
        <f t="shared" si="27"/>
        <v>550.15246376811604</v>
      </c>
      <c r="BI62" s="402">
        <f t="shared" si="28"/>
        <v>189.80260000000001</v>
      </c>
    </row>
    <row r="63" spans="1:61" s="359" customFormat="1" ht="19.2" x14ac:dyDescent="0.3">
      <c r="A63" s="360" t="s">
        <v>602</v>
      </c>
      <c r="B63" s="579" t="s">
        <v>728</v>
      </c>
      <c r="C63" s="433" t="s">
        <v>663</v>
      </c>
      <c r="D63" s="361">
        <v>0.4</v>
      </c>
      <c r="E63" s="403"/>
      <c r="F63" s="404"/>
      <c r="G63" s="400"/>
      <c r="H63" s="401"/>
      <c r="I63" s="401"/>
      <c r="J63" s="401"/>
      <c r="K63" s="401"/>
      <c r="L63" s="401"/>
      <c r="M63" s="401"/>
      <c r="N63" s="401"/>
      <c r="O63" s="401"/>
      <c r="P63" s="401"/>
      <c r="Q63" s="401"/>
      <c r="R63" s="389"/>
      <c r="S63" s="389"/>
      <c r="T63" s="389"/>
      <c r="U63" s="521"/>
      <c r="V63" s="402"/>
      <c r="W63" s="402"/>
      <c r="X63" s="403"/>
      <c r="Y63" s="404"/>
      <c r="Z63" s="400"/>
      <c r="AA63" s="401"/>
      <c r="AB63" s="401"/>
      <c r="AC63" s="401"/>
      <c r="AD63" s="401"/>
      <c r="AE63" s="401"/>
      <c r="AF63" s="401"/>
      <c r="AG63" s="401"/>
      <c r="AH63" s="401"/>
      <c r="AI63" s="401"/>
      <c r="AJ63" s="401"/>
      <c r="AK63" s="385"/>
      <c r="AL63" s="439"/>
      <c r="AM63" s="389"/>
      <c r="AN63" s="521"/>
      <c r="AO63" s="402"/>
      <c r="AP63" s="402"/>
      <c r="AQ63" s="595">
        <v>60</v>
      </c>
      <c r="AR63" s="587">
        <v>30</v>
      </c>
      <c r="AS63" s="400">
        <v>30</v>
      </c>
      <c r="AT63" s="578">
        <v>25.182359999999999</v>
      </c>
      <c r="AU63" s="401">
        <v>17.124639999999999</v>
      </c>
      <c r="AV63" s="401">
        <v>3.6360000000000001</v>
      </c>
      <c r="AW63" s="401">
        <v>9.8768899999999995</v>
      </c>
      <c r="AX63" s="401">
        <v>3.5358200000000002</v>
      </c>
      <c r="AY63" s="401">
        <v>0</v>
      </c>
      <c r="AZ63" s="401">
        <v>0</v>
      </c>
      <c r="BA63" s="401">
        <v>2.2136900000000002</v>
      </c>
      <c r="BB63" s="401">
        <v>60.6</v>
      </c>
      <c r="BC63" s="401">
        <v>9.8768899999999995</v>
      </c>
      <c r="BD63" s="385" t="s">
        <v>167</v>
      </c>
      <c r="BE63" s="439" t="s">
        <v>175</v>
      </c>
      <c r="BF63" s="389"/>
      <c r="BG63" s="521">
        <v>65</v>
      </c>
      <c r="BH63" s="402">
        <f t="shared" si="27"/>
        <v>419.70599999999996</v>
      </c>
      <c r="BI63" s="402">
        <f t="shared" si="28"/>
        <v>0.83941199999999994</v>
      </c>
    </row>
    <row r="64" spans="1:61" s="359" customFormat="1" ht="19.2" x14ac:dyDescent="0.3">
      <c r="A64" s="360" t="s">
        <v>603</v>
      </c>
      <c r="B64" s="579" t="s">
        <v>729</v>
      </c>
      <c r="C64" s="433" t="s">
        <v>672</v>
      </c>
      <c r="D64" s="361">
        <v>0.4</v>
      </c>
      <c r="E64" s="403"/>
      <c r="F64" s="404"/>
      <c r="G64" s="400"/>
      <c r="H64" s="401"/>
      <c r="I64" s="401"/>
      <c r="J64" s="401"/>
      <c r="K64" s="401"/>
      <c r="L64" s="401"/>
      <c r="M64" s="401"/>
      <c r="N64" s="401"/>
      <c r="O64" s="401"/>
      <c r="P64" s="401"/>
      <c r="Q64" s="401"/>
      <c r="R64" s="389"/>
      <c r="S64" s="389"/>
      <c r="T64" s="389"/>
      <c r="U64" s="521"/>
      <c r="V64" s="402"/>
      <c r="W64" s="402"/>
      <c r="X64" s="403"/>
      <c r="Y64" s="404"/>
      <c r="Z64" s="400"/>
      <c r="AA64" s="401"/>
      <c r="AB64" s="401"/>
      <c r="AC64" s="401"/>
      <c r="AD64" s="401"/>
      <c r="AE64" s="401"/>
      <c r="AF64" s="401"/>
      <c r="AG64" s="401"/>
      <c r="AH64" s="401"/>
      <c r="AI64" s="401"/>
      <c r="AJ64" s="401"/>
      <c r="AK64" s="385"/>
      <c r="AL64" s="439"/>
      <c r="AM64" s="389"/>
      <c r="AN64" s="521"/>
      <c r="AO64" s="402"/>
      <c r="AP64" s="402"/>
      <c r="AQ64" s="595">
        <v>155</v>
      </c>
      <c r="AR64" s="587">
        <v>15</v>
      </c>
      <c r="AS64" s="400">
        <v>15</v>
      </c>
      <c r="AT64" s="578">
        <v>54.598080000000003</v>
      </c>
      <c r="AU64" s="401">
        <v>36.188929999999999</v>
      </c>
      <c r="AV64" s="401">
        <v>9.3930000000000007</v>
      </c>
      <c r="AW64" s="401">
        <v>19.726759999999999</v>
      </c>
      <c r="AX64" s="401">
        <v>8.0444399999999998</v>
      </c>
      <c r="AY64" s="401">
        <v>0</v>
      </c>
      <c r="AZ64" s="401">
        <v>0</v>
      </c>
      <c r="BA64" s="401">
        <v>5.0825500000000003</v>
      </c>
      <c r="BB64" s="401">
        <v>60.6</v>
      </c>
      <c r="BC64" s="401">
        <v>9.8633799999999994</v>
      </c>
      <c r="BD64" s="385" t="s">
        <v>167</v>
      </c>
      <c r="BE64" s="439" t="s">
        <v>175</v>
      </c>
      <c r="BF64" s="389"/>
      <c r="BG64" s="521">
        <v>69</v>
      </c>
      <c r="BH64" s="402">
        <f t="shared" si="27"/>
        <v>352.24567741935488</v>
      </c>
      <c r="BI64" s="402">
        <f t="shared" si="28"/>
        <v>3.639872</v>
      </c>
    </row>
    <row r="65" spans="1:61" s="359" customFormat="1" ht="19.2" x14ac:dyDescent="0.3">
      <c r="A65" s="360" t="s">
        <v>604</v>
      </c>
      <c r="B65" s="579" t="s">
        <v>528</v>
      </c>
      <c r="C65" s="433" t="s">
        <v>680</v>
      </c>
      <c r="D65" s="361">
        <v>0.4</v>
      </c>
      <c r="E65" s="403"/>
      <c r="F65" s="404"/>
      <c r="G65" s="400"/>
      <c r="H65" s="401"/>
      <c r="I65" s="401"/>
      <c r="J65" s="401"/>
      <c r="K65" s="401"/>
      <c r="L65" s="401"/>
      <c r="M65" s="401"/>
      <c r="N65" s="401"/>
      <c r="O65" s="401"/>
      <c r="P65" s="401"/>
      <c r="Q65" s="401"/>
      <c r="R65" s="389"/>
      <c r="S65" s="389"/>
      <c r="T65" s="389"/>
      <c r="U65" s="521"/>
      <c r="V65" s="402"/>
      <c r="W65" s="402"/>
      <c r="X65" s="403"/>
      <c r="Y65" s="404"/>
      <c r="Z65" s="400"/>
      <c r="AA65" s="401"/>
      <c r="AB65" s="401"/>
      <c r="AC65" s="401"/>
      <c r="AD65" s="401"/>
      <c r="AE65" s="401"/>
      <c r="AF65" s="401"/>
      <c r="AG65" s="401"/>
      <c r="AH65" s="401"/>
      <c r="AI65" s="401"/>
      <c r="AJ65" s="401"/>
      <c r="AK65" s="385"/>
      <c r="AL65" s="439"/>
      <c r="AM65" s="389"/>
      <c r="AN65" s="521"/>
      <c r="AO65" s="402"/>
      <c r="AP65" s="402"/>
      <c r="AQ65" s="595">
        <v>40</v>
      </c>
      <c r="AR65" s="587">
        <v>10</v>
      </c>
      <c r="AS65" s="400">
        <v>10</v>
      </c>
      <c r="AT65" s="578">
        <v>22.059760000000001</v>
      </c>
      <c r="AU65" s="401">
        <v>15.25881</v>
      </c>
      <c r="AV65" s="401">
        <v>2.4239999999999999</v>
      </c>
      <c r="AW65" s="401">
        <v>9.8634500000000003</v>
      </c>
      <c r="AX65" s="401">
        <v>3.0196000000000001</v>
      </c>
      <c r="AY65" s="401">
        <v>0</v>
      </c>
      <c r="AZ65" s="401">
        <v>0</v>
      </c>
      <c r="BA65" s="401">
        <v>1.8465400000000001</v>
      </c>
      <c r="BB65" s="401">
        <v>60.6</v>
      </c>
      <c r="BC65" s="401">
        <v>9.8634500000000003</v>
      </c>
      <c r="BD65" s="385" t="s">
        <v>167</v>
      </c>
      <c r="BE65" s="439" t="s">
        <v>175</v>
      </c>
      <c r="BF65" s="389"/>
      <c r="BG65" s="521">
        <v>73</v>
      </c>
      <c r="BH65" s="402">
        <f t="shared" si="27"/>
        <v>551.49400000000003</v>
      </c>
      <c r="BI65" s="402">
        <f t="shared" si="28"/>
        <v>2.2059760000000002</v>
      </c>
    </row>
    <row r="66" spans="1:61" s="359" customFormat="1" ht="19.2" x14ac:dyDescent="0.3">
      <c r="A66" s="360" t="s">
        <v>605</v>
      </c>
      <c r="B66" s="579" t="s">
        <v>718</v>
      </c>
      <c r="C66" s="433" t="s">
        <v>691</v>
      </c>
      <c r="D66" s="361">
        <v>0.4</v>
      </c>
      <c r="E66" s="403"/>
      <c r="F66" s="404"/>
      <c r="G66" s="400"/>
      <c r="H66" s="401"/>
      <c r="I66" s="401"/>
      <c r="J66" s="401"/>
      <c r="K66" s="401"/>
      <c r="L66" s="401"/>
      <c r="M66" s="401"/>
      <c r="N66" s="401"/>
      <c r="O66" s="401"/>
      <c r="P66" s="401"/>
      <c r="Q66" s="401"/>
      <c r="R66" s="389"/>
      <c r="S66" s="389"/>
      <c r="T66" s="389"/>
      <c r="U66" s="521"/>
      <c r="V66" s="402"/>
      <c r="W66" s="402"/>
      <c r="X66" s="403"/>
      <c r="Y66" s="404"/>
      <c r="Z66" s="400"/>
      <c r="AA66" s="401"/>
      <c r="AB66" s="401"/>
      <c r="AC66" s="401"/>
      <c r="AD66" s="401"/>
      <c r="AE66" s="401"/>
      <c r="AF66" s="401"/>
      <c r="AG66" s="401"/>
      <c r="AH66" s="401"/>
      <c r="AI66" s="401"/>
      <c r="AJ66" s="401"/>
      <c r="AK66" s="385"/>
      <c r="AL66" s="439"/>
      <c r="AM66" s="389"/>
      <c r="AN66" s="521"/>
      <c r="AO66" s="402"/>
      <c r="AP66" s="402"/>
      <c r="AQ66" s="595">
        <v>50</v>
      </c>
      <c r="AR66" s="587">
        <v>15</v>
      </c>
      <c r="AS66" s="400">
        <v>15</v>
      </c>
      <c r="AT66" s="578">
        <v>7.6046199999999997</v>
      </c>
      <c r="AU66" s="401">
        <v>4.3822799999999997</v>
      </c>
      <c r="AV66" s="401">
        <v>3.03</v>
      </c>
      <c r="AW66" s="401"/>
      <c r="AX66" s="401">
        <v>1.3709199999999999</v>
      </c>
      <c r="AY66" s="401">
        <v>0</v>
      </c>
      <c r="AZ66" s="401">
        <v>0</v>
      </c>
      <c r="BA66" s="401">
        <v>0.91790000000000005</v>
      </c>
      <c r="BB66" s="401">
        <v>60.6</v>
      </c>
      <c r="BC66" s="401">
        <v>9.8634500000000003</v>
      </c>
      <c r="BD66" s="385" t="s">
        <v>167</v>
      </c>
      <c r="BE66" s="439" t="s">
        <v>175</v>
      </c>
      <c r="BF66" s="389"/>
      <c r="BG66" s="521">
        <v>15</v>
      </c>
      <c r="BH66" s="402">
        <f t="shared" si="27"/>
        <v>152.0924</v>
      </c>
      <c r="BI66" s="402">
        <f t="shared" si="28"/>
        <v>0.50697466666666668</v>
      </c>
    </row>
    <row r="67" spans="1:61" s="359" customFormat="1" ht="19.2" x14ac:dyDescent="0.3">
      <c r="A67" s="360" t="s">
        <v>606</v>
      </c>
      <c r="B67" s="579" t="s">
        <v>730</v>
      </c>
      <c r="C67" s="433" t="s">
        <v>692</v>
      </c>
      <c r="D67" s="361">
        <v>0.4</v>
      </c>
      <c r="E67" s="403"/>
      <c r="F67" s="404"/>
      <c r="G67" s="400"/>
      <c r="H67" s="401"/>
      <c r="I67" s="401"/>
      <c r="J67" s="401"/>
      <c r="K67" s="401"/>
      <c r="L67" s="401"/>
      <c r="M67" s="401"/>
      <c r="N67" s="401"/>
      <c r="O67" s="401"/>
      <c r="P67" s="401"/>
      <c r="Q67" s="401"/>
      <c r="R67" s="389"/>
      <c r="S67" s="389"/>
      <c r="T67" s="389"/>
      <c r="U67" s="521"/>
      <c r="V67" s="402"/>
      <c r="W67" s="402"/>
      <c r="X67" s="403"/>
      <c r="Y67" s="404"/>
      <c r="Z67" s="400"/>
      <c r="AA67" s="401"/>
      <c r="AB67" s="401"/>
      <c r="AC67" s="401"/>
      <c r="AD67" s="401"/>
      <c r="AE67" s="401"/>
      <c r="AF67" s="401"/>
      <c r="AG67" s="401"/>
      <c r="AH67" s="401"/>
      <c r="AI67" s="401"/>
      <c r="AJ67" s="401"/>
      <c r="AK67" s="385"/>
      <c r="AL67" s="439"/>
      <c r="AM67" s="389"/>
      <c r="AN67" s="521"/>
      <c r="AO67" s="402"/>
      <c r="AP67" s="402"/>
      <c r="AQ67" s="595">
        <v>25</v>
      </c>
      <c r="AR67" s="587">
        <v>15</v>
      </c>
      <c r="AS67" s="400">
        <v>15</v>
      </c>
      <c r="AT67" s="578">
        <v>18.38974</v>
      </c>
      <c r="AU67" s="401">
        <v>12.55551</v>
      </c>
      <c r="AV67" s="401">
        <v>1.5149999999999999</v>
      </c>
      <c r="AW67" s="401">
        <v>9.8634500000000003</v>
      </c>
      <c r="AX67" s="401">
        <v>2.60832</v>
      </c>
      <c r="AY67" s="401">
        <v>0</v>
      </c>
      <c r="AZ67" s="401">
        <v>0</v>
      </c>
      <c r="BA67" s="401">
        <v>1.5711599999999999</v>
      </c>
      <c r="BB67" s="401">
        <v>60.6</v>
      </c>
      <c r="BC67" s="401">
        <v>9.8634500000000003</v>
      </c>
      <c r="BD67" s="385" t="s">
        <v>167</v>
      </c>
      <c r="BE67" s="439" t="s">
        <v>175</v>
      </c>
      <c r="BF67" s="389"/>
      <c r="BG67" s="521">
        <v>77</v>
      </c>
      <c r="BH67" s="402">
        <f t="shared" si="27"/>
        <v>735.5895999999999</v>
      </c>
      <c r="BI67" s="402">
        <f t="shared" si="28"/>
        <v>1.2259826666666667</v>
      </c>
    </row>
    <row r="68" spans="1:61" s="359" customFormat="1" ht="19.2" x14ac:dyDescent="0.3">
      <c r="A68" s="360" t="s">
        <v>607</v>
      </c>
      <c r="B68" s="579" t="s">
        <v>731</v>
      </c>
      <c r="C68" s="433" t="s">
        <v>694</v>
      </c>
      <c r="D68" s="361">
        <v>0.4</v>
      </c>
      <c r="E68" s="403"/>
      <c r="F68" s="404"/>
      <c r="G68" s="400"/>
      <c r="H68" s="401"/>
      <c r="I68" s="401"/>
      <c r="J68" s="401"/>
      <c r="K68" s="401"/>
      <c r="L68" s="401"/>
      <c r="M68" s="401"/>
      <c r="N68" s="401"/>
      <c r="O68" s="401"/>
      <c r="P68" s="401"/>
      <c r="Q68" s="401"/>
      <c r="R68" s="389"/>
      <c r="S68" s="389"/>
      <c r="T68" s="389"/>
      <c r="U68" s="521"/>
      <c r="V68" s="402"/>
      <c r="W68" s="402"/>
      <c r="X68" s="403"/>
      <c r="Y68" s="404"/>
      <c r="Z68" s="400"/>
      <c r="AA68" s="401"/>
      <c r="AB68" s="401"/>
      <c r="AC68" s="401"/>
      <c r="AD68" s="401"/>
      <c r="AE68" s="401"/>
      <c r="AF68" s="401"/>
      <c r="AG68" s="401"/>
      <c r="AH68" s="401"/>
      <c r="AI68" s="401"/>
      <c r="AJ68" s="401"/>
      <c r="AK68" s="385"/>
      <c r="AL68" s="439"/>
      <c r="AM68" s="389"/>
      <c r="AN68" s="521"/>
      <c r="AO68" s="402"/>
      <c r="AP68" s="402"/>
      <c r="AQ68" s="595">
        <v>35</v>
      </c>
      <c r="AR68" s="587">
        <v>15</v>
      </c>
      <c r="AS68" s="400">
        <v>15</v>
      </c>
      <c r="AT68" s="578">
        <v>35.95055</v>
      </c>
      <c r="AU68" s="401">
        <v>25.24879</v>
      </c>
      <c r="AV68" s="401">
        <v>2.121</v>
      </c>
      <c r="AW68" s="401">
        <v>19.724979999999999</v>
      </c>
      <c r="AX68" s="401">
        <v>4.8053600000000003</v>
      </c>
      <c r="AY68" s="401">
        <v>0</v>
      </c>
      <c r="AZ68" s="401">
        <v>0</v>
      </c>
      <c r="BA68" s="401">
        <v>2.8669600000000002</v>
      </c>
      <c r="BB68" s="401">
        <v>60.6</v>
      </c>
      <c r="BC68" s="401">
        <v>9.8624899999999993</v>
      </c>
      <c r="BD68" s="385" t="s">
        <v>167</v>
      </c>
      <c r="BE68" s="439" t="s">
        <v>175</v>
      </c>
      <c r="BF68" s="389"/>
      <c r="BG68" s="521">
        <v>81</v>
      </c>
      <c r="BH68" s="402">
        <f t="shared" si="27"/>
        <v>1027.1585714285713</v>
      </c>
      <c r="BI68" s="402">
        <f t="shared" si="28"/>
        <v>2.3967033333333334</v>
      </c>
    </row>
    <row r="69" spans="1:61" s="359" customFormat="1" ht="19.2" x14ac:dyDescent="0.3">
      <c r="A69" s="360" t="s">
        <v>608</v>
      </c>
      <c r="B69" s="579" t="s">
        <v>732</v>
      </c>
      <c r="C69" s="433" t="s">
        <v>707</v>
      </c>
      <c r="D69" s="361">
        <v>0.4</v>
      </c>
      <c r="E69" s="403"/>
      <c r="F69" s="404"/>
      <c r="G69" s="400"/>
      <c r="H69" s="401"/>
      <c r="I69" s="401"/>
      <c r="J69" s="401"/>
      <c r="K69" s="401"/>
      <c r="L69" s="401"/>
      <c r="M69" s="401"/>
      <c r="N69" s="401"/>
      <c r="O69" s="401"/>
      <c r="P69" s="401"/>
      <c r="Q69" s="401"/>
      <c r="R69" s="389"/>
      <c r="S69" s="389"/>
      <c r="T69" s="389"/>
      <c r="U69" s="521"/>
      <c r="V69" s="402"/>
      <c r="W69" s="402"/>
      <c r="X69" s="403"/>
      <c r="Y69" s="404"/>
      <c r="Z69" s="400"/>
      <c r="AA69" s="401"/>
      <c r="AB69" s="401"/>
      <c r="AC69" s="401"/>
      <c r="AD69" s="401"/>
      <c r="AE69" s="401"/>
      <c r="AF69" s="401"/>
      <c r="AG69" s="401"/>
      <c r="AH69" s="401"/>
      <c r="AI69" s="401"/>
      <c r="AJ69" s="401"/>
      <c r="AK69" s="385"/>
      <c r="AL69" s="439"/>
      <c r="AM69" s="389"/>
      <c r="AN69" s="521"/>
      <c r="AO69" s="402"/>
      <c r="AP69" s="402"/>
      <c r="AQ69" s="595">
        <v>65</v>
      </c>
      <c r="AR69" s="587">
        <v>15</v>
      </c>
      <c r="AS69" s="400">
        <v>15</v>
      </c>
      <c r="AT69" s="578">
        <v>26.00619</v>
      </c>
      <c r="AU69" s="401">
        <v>17.341550000000002</v>
      </c>
      <c r="AV69" s="401">
        <v>3.9390000000000001</v>
      </c>
      <c r="AW69" s="401">
        <v>9.86219</v>
      </c>
      <c r="AX69" s="401">
        <v>3.9270900000000002</v>
      </c>
      <c r="AY69" s="401">
        <v>0</v>
      </c>
      <c r="AZ69" s="401">
        <v>0</v>
      </c>
      <c r="BA69" s="401">
        <v>2.3629899999999999</v>
      </c>
      <c r="BB69" s="401">
        <v>60.6</v>
      </c>
      <c r="BC69" s="401">
        <v>9.86219</v>
      </c>
      <c r="BD69" s="385" t="s">
        <v>167</v>
      </c>
      <c r="BE69" s="439" t="s">
        <v>175</v>
      </c>
      <c r="BF69" s="389"/>
      <c r="BG69" s="521">
        <v>85</v>
      </c>
      <c r="BH69" s="402">
        <f t="shared" si="27"/>
        <v>400.09523076923074</v>
      </c>
      <c r="BI69" s="402">
        <f t="shared" si="28"/>
        <v>1.733746</v>
      </c>
    </row>
    <row r="70" spans="1:61" s="359" customFormat="1" x14ac:dyDescent="0.3">
      <c r="A70" s="360"/>
      <c r="B70" s="382"/>
      <c r="C70" s="433"/>
      <c r="D70" s="361">
        <v>0.4</v>
      </c>
      <c r="E70" s="403"/>
      <c r="F70" s="404"/>
      <c r="G70" s="400"/>
      <c r="H70" s="401"/>
      <c r="I70" s="401"/>
      <c r="J70" s="401"/>
      <c r="K70" s="401"/>
      <c r="L70" s="401"/>
      <c r="M70" s="401"/>
      <c r="N70" s="401"/>
      <c r="O70" s="401"/>
      <c r="P70" s="401"/>
      <c r="Q70" s="401"/>
      <c r="R70" s="389"/>
      <c r="S70" s="389"/>
      <c r="T70" s="389"/>
      <c r="U70" s="521"/>
      <c r="V70" s="402"/>
      <c r="W70" s="402"/>
      <c r="X70" s="403"/>
      <c r="Y70" s="404"/>
      <c r="Z70" s="400"/>
      <c r="AA70" s="401"/>
      <c r="AB70" s="401"/>
      <c r="AC70" s="401"/>
      <c r="AD70" s="401"/>
      <c r="AE70" s="401"/>
      <c r="AF70" s="401"/>
      <c r="AG70" s="401"/>
      <c r="AH70" s="401"/>
      <c r="AI70" s="401"/>
      <c r="AJ70" s="401"/>
      <c r="AK70" s="385"/>
      <c r="AL70" s="439"/>
      <c r="AM70" s="389"/>
      <c r="AN70" s="521"/>
      <c r="AO70" s="402"/>
      <c r="AP70" s="402"/>
      <c r="AQ70" s="595"/>
      <c r="AR70" s="587"/>
      <c r="AS70" s="400"/>
      <c r="AT70" s="401"/>
      <c r="AU70" s="401"/>
      <c r="AV70" s="401"/>
      <c r="AW70" s="401"/>
      <c r="AX70" s="401"/>
      <c r="AY70" s="401"/>
      <c r="AZ70" s="401"/>
      <c r="BA70" s="401"/>
      <c r="BB70" s="401"/>
      <c r="BC70" s="401"/>
      <c r="BD70" s="385"/>
      <c r="BE70" s="439"/>
      <c r="BF70" s="389"/>
      <c r="BG70" s="521"/>
      <c r="BH70" s="402" t="e">
        <f t="shared" ref="BH70:BH95" si="29">AT70/AQ70*1000</f>
        <v>#DIV/0!</v>
      </c>
      <c r="BI70" s="402" t="e">
        <f t="shared" ref="BI70:BI95" si="30">AT70/AR70</f>
        <v>#DIV/0!</v>
      </c>
    </row>
    <row r="71" spans="1:61" s="359" customFormat="1" x14ac:dyDescent="0.3">
      <c r="A71" s="360"/>
      <c r="B71" s="382"/>
      <c r="C71" s="433"/>
      <c r="D71" s="361"/>
      <c r="E71" s="403"/>
      <c r="F71" s="404"/>
      <c r="G71" s="400"/>
      <c r="H71" s="401"/>
      <c r="I71" s="401"/>
      <c r="J71" s="401"/>
      <c r="K71" s="401"/>
      <c r="L71" s="401"/>
      <c r="M71" s="401"/>
      <c r="N71" s="401"/>
      <c r="O71" s="401"/>
      <c r="P71" s="401"/>
      <c r="Q71" s="401"/>
      <c r="R71" s="389"/>
      <c r="S71" s="389"/>
      <c r="T71" s="389"/>
      <c r="U71" s="521"/>
      <c r="V71" s="402" t="e">
        <f t="shared" ref="V71:V93" si="31">H71/E71*1000</f>
        <v>#DIV/0!</v>
      </c>
      <c r="W71" s="402" t="e">
        <f t="shared" ref="W71:W93" si="32">H71/F71</f>
        <v>#DIV/0!</v>
      </c>
      <c r="X71" s="403"/>
      <c r="Y71" s="404"/>
      <c r="Z71" s="400"/>
      <c r="AA71" s="401"/>
      <c r="AB71" s="401"/>
      <c r="AC71" s="401"/>
      <c r="AD71" s="401"/>
      <c r="AE71" s="401"/>
      <c r="AF71" s="401"/>
      <c r="AG71" s="401"/>
      <c r="AH71" s="401"/>
      <c r="AI71" s="401"/>
      <c r="AJ71" s="401"/>
      <c r="AK71" s="389"/>
      <c r="AL71" s="389"/>
      <c r="AM71" s="389"/>
      <c r="AN71" s="521"/>
      <c r="AO71" s="402" t="e">
        <f t="shared" ref="AO71:AO93" si="33">AA71/X71*1000</f>
        <v>#DIV/0!</v>
      </c>
      <c r="AP71" s="402" t="e">
        <f t="shared" ref="AP71:AP93" si="34">AA71/Y71</f>
        <v>#DIV/0!</v>
      </c>
      <c r="AQ71" s="595"/>
      <c r="AR71" s="587"/>
      <c r="AS71" s="400"/>
      <c r="AT71" s="401"/>
      <c r="AU71" s="401"/>
      <c r="AV71" s="401"/>
      <c r="AW71" s="401"/>
      <c r="AX71" s="401"/>
      <c r="AY71" s="401"/>
      <c r="AZ71" s="401"/>
      <c r="BA71" s="401"/>
      <c r="BB71" s="401"/>
      <c r="BC71" s="401"/>
      <c r="BD71" s="389"/>
      <c r="BE71" s="389"/>
      <c r="BF71" s="389"/>
      <c r="BG71" s="521"/>
      <c r="BH71" s="402" t="e">
        <f t="shared" si="29"/>
        <v>#DIV/0!</v>
      </c>
      <c r="BI71" s="402" t="e">
        <f t="shared" si="30"/>
        <v>#DIV/0!</v>
      </c>
    </row>
    <row r="72" spans="1:61" s="359" customFormat="1" ht="24.75" customHeight="1" x14ac:dyDescent="0.3">
      <c r="A72" s="355" t="s">
        <v>185</v>
      </c>
      <c r="B72" s="356" t="s">
        <v>232</v>
      </c>
      <c r="C72" s="432"/>
      <c r="D72" s="357">
        <v>0.4</v>
      </c>
      <c r="E72" s="396">
        <f t="shared" ref="E72:Q72" si="35">SUM(E73:E100)</f>
        <v>464</v>
      </c>
      <c r="F72" s="396">
        <f t="shared" si="35"/>
        <v>80</v>
      </c>
      <c r="G72" s="396">
        <f t="shared" si="35"/>
        <v>80</v>
      </c>
      <c r="H72" s="397">
        <f t="shared" si="35"/>
        <v>244.33143000000001</v>
      </c>
      <c r="I72" s="397">
        <f t="shared" si="35"/>
        <v>164.76077000000001</v>
      </c>
      <c r="J72" s="397">
        <f t="shared" si="35"/>
        <v>34.552300000000002</v>
      </c>
      <c r="K72" s="397">
        <f t="shared" si="35"/>
        <v>117.05719000000001</v>
      </c>
      <c r="L72" s="397">
        <f t="shared" si="35"/>
        <v>36.785469999999997</v>
      </c>
      <c r="M72" s="397">
        <f t="shared" si="35"/>
        <v>0</v>
      </c>
      <c r="N72" s="397">
        <f t="shared" si="35"/>
        <v>0</v>
      </c>
      <c r="O72" s="397">
        <f t="shared" si="35"/>
        <v>19.055060000000001</v>
      </c>
      <c r="P72" s="397">
        <f t="shared" si="35"/>
        <v>376.89000000000004</v>
      </c>
      <c r="Q72" s="397">
        <f t="shared" si="35"/>
        <v>45.2393</v>
      </c>
      <c r="R72" s="398"/>
      <c r="S72" s="398"/>
      <c r="T72" s="398"/>
      <c r="U72" s="520"/>
      <c r="V72" s="399">
        <f t="shared" si="31"/>
        <v>526.5763577586207</v>
      </c>
      <c r="W72" s="399">
        <f t="shared" si="32"/>
        <v>3.0541428750000001</v>
      </c>
      <c r="X72" s="396">
        <f t="shared" ref="X72:AJ72" si="36">SUM(X73:X100)</f>
        <v>1745</v>
      </c>
      <c r="Y72" s="396">
        <f t="shared" si="36"/>
        <v>370</v>
      </c>
      <c r="Z72" s="396">
        <f t="shared" si="36"/>
        <v>370</v>
      </c>
      <c r="AA72" s="397">
        <f t="shared" si="36"/>
        <v>1209.2635400000001</v>
      </c>
      <c r="AB72" s="397">
        <f t="shared" si="36"/>
        <v>825.22642999999994</v>
      </c>
      <c r="AC72" s="397">
        <f t="shared" si="36"/>
        <v>129.09110000000001</v>
      </c>
      <c r="AD72" s="397">
        <f t="shared" si="36"/>
        <v>599.95555999999999</v>
      </c>
      <c r="AE72" s="397">
        <f t="shared" si="36"/>
        <v>169.09067000000002</v>
      </c>
      <c r="AF72" s="397">
        <f t="shared" si="36"/>
        <v>0</v>
      </c>
      <c r="AG72" s="397">
        <f t="shared" si="36"/>
        <v>0</v>
      </c>
      <c r="AH72" s="397">
        <f t="shared" si="36"/>
        <v>104.49008000000001</v>
      </c>
      <c r="AI72" s="397">
        <f t="shared" si="36"/>
        <v>1183.3399999999999</v>
      </c>
      <c r="AJ72" s="397">
        <f t="shared" si="36"/>
        <v>139.98501999999999</v>
      </c>
      <c r="AK72" s="398"/>
      <c r="AL72" s="398"/>
      <c r="AM72" s="398"/>
      <c r="AN72" s="520"/>
      <c r="AO72" s="399">
        <f t="shared" si="33"/>
        <v>692.98770200573074</v>
      </c>
      <c r="AP72" s="399">
        <f t="shared" si="34"/>
        <v>3.2682798378378384</v>
      </c>
      <c r="AQ72" s="396">
        <f t="shared" ref="AQ72:BC72" si="37">SUM(AQ73:AQ100)</f>
        <v>477</v>
      </c>
      <c r="AR72" s="396">
        <f t="shared" si="37"/>
        <v>85</v>
      </c>
      <c r="AS72" s="396">
        <f t="shared" si="37"/>
        <v>85</v>
      </c>
      <c r="AT72" s="397">
        <f t="shared" si="37"/>
        <v>294.74738000000002</v>
      </c>
      <c r="AU72" s="397">
        <f t="shared" si="37"/>
        <v>204.15742</v>
      </c>
      <c r="AV72" s="397">
        <f t="shared" si="37"/>
        <v>41.457210000000003</v>
      </c>
      <c r="AW72" s="397">
        <f t="shared" si="37"/>
        <v>138.21842999999998</v>
      </c>
      <c r="AX72" s="397">
        <f t="shared" si="37"/>
        <v>40.849469999999997</v>
      </c>
      <c r="AY72" s="397">
        <f t="shared" si="37"/>
        <v>0</v>
      </c>
      <c r="AZ72" s="397">
        <f t="shared" si="37"/>
        <v>0</v>
      </c>
      <c r="BA72" s="397">
        <f t="shared" si="37"/>
        <v>24.394310000000001</v>
      </c>
      <c r="BB72" s="397">
        <f t="shared" si="37"/>
        <v>434.40999999999997</v>
      </c>
      <c r="BC72" s="397">
        <f t="shared" si="37"/>
        <v>49.366329999999998</v>
      </c>
      <c r="BD72" s="398"/>
      <c r="BE72" s="398"/>
      <c r="BF72" s="398"/>
      <c r="BG72" s="520"/>
      <c r="BH72" s="399">
        <f t="shared" si="29"/>
        <v>617.9190356394131</v>
      </c>
      <c r="BI72" s="399">
        <f t="shared" si="30"/>
        <v>3.467616235294118</v>
      </c>
    </row>
    <row r="73" spans="1:61" s="359" customFormat="1" ht="19.2" x14ac:dyDescent="0.3">
      <c r="A73" s="360" t="s">
        <v>179</v>
      </c>
      <c r="B73" s="513" t="s">
        <v>300</v>
      </c>
      <c r="C73" s="433" t="s">
        <v>301</v>
      </c>
      <c r="D73" s="361">
        <v>0.4</v>
      </c>
      <c r="E73" s="403">
        <v>42</v>
      </c>
      <c r="F73" s="404">
        <v>10</v>
      </c>
      <c r="G73" s="400">
        <v>10</v>
      </c>
      <c r="H73" s="419">
        <v>34.490270000000002</v>
      </c>
      <c r="I73" s="401">
        <v>23.584530000000001</v>
      </c>
      <c r="J73" s="401">
        <v>3.1021200000000002</v>
      </c>
      <c r="K73" s="401">
        <v>17.94716</v>
      </c>
      <c r="L73" s="401">
        <v>4.9801299999999999</v>
      </c>
      <c r="M73" s="401">
        <v>0</v>
      </c>
      <c r="N73" s="401">
        <v>0</v>
      </c>
      <c r="O73" s="401">
        <v>2.6207500000000001</v>
      </c>
      <c r="P73" s="401">
        <v>73.86</v>
      </c>
      <c r="Q73" s="401">
        <v>8.9735800000000001</v>
      </c>
      <c r="R73" s="385" t="s">
        <v>167</v>
      </c>
      <c r="S73" s="439" t="s">
        <v>175</v>
      </c>
      <c r="T73" s="389"/>
      <c r="U73" s="521">
        <v>121</v>
      </c>
      <c r="V73" s="402">
        <f t="shared" si="31"/>
        <v>821.19690476190476</v>
      </c>
      <c r="W73" s="402">
        <f t="shared" si="32"/>
        <v>3.4490270000000001</v>
      </c>
      <c r="X73" s="403"/>
      <c r="Y73" s="404"/>
      <c r="Z73" s="400"/>
      <c r="AA73" s="419"/>
      <c r="AB73" s="401"/>
      <c r="AC73" s="401"/>
      <c r="AD73" s="401"/>
      <c r="AE73" s="401"/>
      <c r="AF73" s="401"/>
      <c r="AG73" s="401"/>
      <c r="AH73" s="401"/>
      <c r="AI73" s="401"/>
      <c r="AJ73" s="401"/>
      <c r="AK73" s="385"/>
      <c r="AL73" s="439"/>
      <c r="AM73" s="389"/>
      <c r="AN73" s="521"/>
      <c r="AO73" s="402" t="e">
        <f t="shared" si="33"/>
        <v>#DIV/0!</v>
      </c>
      <c r="AP73" s="402" t="e">
        <f t="shared" si="34"/>
        <v>#DIV/0!</v>
      </c>
      <c r="AQ73" s="595"/>
      <c r="AR73" s="587"/>
      <c r="AS73" s="400"/>
      <c r="AT73" s="419"/>
      <c r="AU73" s="401"/>
      <c r="AV73" s="401"/>
      <c r="AW73" s="401"/>
      <c r="AX73" s="401"/>
      <c r="AY73" s="401"/>
      <c r="AZ73" s="401"/>
      <c r="BA73" s="401"/>
      <c r="BB73" s="401"/>
      <c r="BC73" s="401"/>
      <c r="BD73" s="385"/>
      <c r="BE73" s="439"/>
      <c r="BF73" s="389"/>
      <c r="BG73" s="521"/>
      <c r="BH73" s="402" t="e">
        <f t="shared" si="29"/>
        <v>#DIV/0!</v>
      </c>
      <c r="BI73" s="402" t="e">
        <f t="shared" si="30"/>
        <v>#DIV/0!</v>
      </c>
    </row>
    <row r="74" spans="1:61" s="359" customFormat="1" ht="19.2" x14ac:dyDescent="0.3">
      <c r="A74" s="360" t="s">
        <v>183</v>
      </c>
      <c r="B74" s="513" t="s">
        <v>309</v>
      </c>
      <c r="C74" s="433" t="s">
        <v>310</v>
      </c>
      <c r="D74" s="361">
        <v>0.4</v>
      </c>
      <c r="E74" s="403">
        <v>37</v>
      </c>
      <c r="F74" s="404">
        <v>15</v>
      </c>
      <c r="G74" s="400">
        <v>15</v>
      </c>
      <c r="H74" s="419">
        <v>18.809899999999999</v>
      </c>
      <c r="I74" s="401">
        <v>13.26474</v>
      </c>
      <c r="J74" s="401">
        <v>3.01328</v>
      </c>
      <c r="K74" s="401">
        <v>9.3332800000000002</v>
      </c>
      <c r="L74" s="401">
        <v>2.6739199999999999</v>
      </c>
      <c r="M74" s="401">
        <v>0</v>
      </c>
      <c r="N74" s="401">
        <v>0</v>
      </c>
      <c r="O74" s="401">
        <v>1.2598499999999999</v>
      </c>
      <c r="P74" s="401">
        <v>81.44</v>
      </c>
      <c r="Q74" s="401">
        <v>9.3332800000000002</v>
      </c>
      <c r="R74" s="385" t="s">
        <v>167</v>
      </c>
      <c r="S74" s="439" t="s">
        <v>175</v>
      </c>
      <c r="T74" s="389"/>
      <c r="U74" s="521">
        <v>144</v>
      </c>
      <c r="V74" s="402">
        <f t="shared" si="31"/>
        <v>508.37567567567567</v>
      </c>
      <c r="W74" s="402">
        <f t="shared" si="32"/>
        <v>1.2539933333333333</v>
      </c>
      <c r="X74" s="403"/>
      <c r="Y74" s="404"/>
      <c r="Z74" s="400"/>
      <c r="AA74" s="419"/>
      <c r="AB74" s="401"/>
      <c r="AC74" s="401"/>
      <c r="AD74" s="401"/>
      <c r="AE74" s="401"/>
      <c r="AF74" s="401"/>
      <c r="AG74" s="401"/>
      <c r="AH74" s="401"/>
      <c r="AI74" s="401"/>
      <c r="AJ74" s="401"/>
      <c r="AK74" s="385"/>
      <c r="AL74" s="439"/>
      <c r="AM74" s="389"/>
      <c r="AN74" s="521"/>
      <c r="AO74" s="402" t="e">
        <f t="shared" si="33"/>
        <v>#DIV/0!</v>
      </c>
      <c r="AP74" s="402" t="e">
        <f t="shared" si="34"/>
        <v>#DIV/0!</v>
      </c>
      <c r="AQ74" s="595"/>
      <c r="AR74" s="587"/>
      <c r="AS74" s="400"/>
      <c r="AT74" s="419"/>
      <c r="AU74" s="401"/>
      <c r="AV74" s="401"/>
      <c r="AW74" s="401"/>
      <c r="AX74" s="401"/>
      <c r="AY74" s="401"/>
      <c r="AZ74" s="401"/>
      <c r="BA74" s="401"/>
      <c r="BB74" s="401"/>
      <c r="BC74" s="401"/>
      <c r="BD74" s="385"/>
      <c r="BE74" s="439"/>
      <c r="BF74" s="389"/>
      <c r="BG74" s="521"/>
      <c r="BH74" s="402" t="e">
        <f t="shared" si="29"/>
        <v>#DIV/0!</v>
      </c>
      <c r="BI74" s="402" t="e">
        <f t="shared" si="30"/>
        <v>#DIV/0!</v>
      </c>
    </row>
    <row r="75" spans="1:61" s="359" customFormat="1" ht="19.2" x14ac:dyDescent="0.3">
      <c r="A75" s="360" t="s">
        <v>185</v>
      </c>
      <c r="B75" s="513" t="s">
        <v>358</v>
      </c>
      <c r="C75" s="433" t="s">
        <v>359</v>
      </c>
      <c r="D75" s="361">
        <v>0.4</v>
      </c>
      <c r="E75" s="403">
        <v>170</v>
      </c>
      <c r="F75" s="404">
        <v>15</v>
      </c>
      <c r="G75" s="400">
        <v>15</v>
      </c>
      <c r="H75" s="419">
        <v>90.822230000000005</v>
      </c>
      <c r="I75" s="401">
        <v>61.313180000000003</v>
      </c>
      <c r="J75" s="401">
        <v>12.5562</v>
      </c>
      <c r="K75" s="401">
        <f>8.97943+35.91772</f>
        <v>44.897150000000003</v>
      </c>
      <c r="L75" s="401">
        <v>13.83663</v>
      </c>
      <c r="M75" s="401">
        <v>0</v>
      </c>
      <c r="N75" s="401">
        <v>0</v>
      </c>
      <c r="O75" s="401">
        <v>7.0010300000000001</v>
      </c>
      <c r="P75" s="401">
        <v>73.86</v>
      </c>
      <c r="Q75" s="401">
        <v>8.9794300000000007</v>
      </c>
      <c r="R75" s="385" t="s">
        <v>167</v>
      </c>
      <c r="S75" s="439" t="s">
        <v>175</v>
      </c>
      <c r="T75" s="389"/>
      <c r="U75" s="521">
        <v>243</v>
      </c>
      <c r="V75" s="402">
        <f t="shared" si="31"/>
        <v>534.24841176470591</v>
      </c>
      <c r="W75" s="402">
        <f t="shared" si="32"/>
        <v>6.0548153333333339</v>
      </c>
      <c r="X75" s="403"/>
      <c r="Y75" s="404"/>
      <c r="Z75" s="400"/>
      <c r="AA75" s="419"/>
      <c r="AB75" s="401"/>
      <c r="AC75" s="401"/>
      <c r="AD75" s="401"/>
      <c r="AE75" s="401"/>
      <c r="AF75" s="401"/>
      <c r="AG75" s="401"/>
      <c r="AH75" s="401"/>
      <c r="AI75" s="401"/>
      <c r="AJ75" s="401"/>
      <c r="AK75" s="385"/>
      <c r="AL75" s="439"/>
      <c r="AM75" s="389"/>
      <c r="AN75" s="521"/>
      <c r="AO75" s="402" t="e">
        <f t="shared" si="33"/>
        <v>#DIV/0!</v>
      </c>
      <c r="AP75" s="402" t="e">
        <f t="shared" si="34"/>
        <v>#DIV/0!</v>
      </c>
      <c r="AQ75" s="595"/>
      <c r="AR75" s="587"/>
      <c r="AS75" s="400"/>
      <c r="AT75" s="419"/>
      <c r="AU75" s="401"/>
      <c r="AV75" s="401"/>
      <c r="AW75" s="401"/>
      <c r="AX75" s="401"/>
      <c r="AY75" s="401"/>
      <c r="AZ75" s="401"/>
      <c r="BA75" s="401"/>
      <c r="BB75" s="401"/>
      <c r="BC75" s="401"/>
      <c r="BD75" s="385"/>
      <c r="BE75" s="439"/>
      <c r="BF75" s="389"/>
      <c r="BG75" s="521"/>
      <c r="BH75" s="402" t="e">
        <f t="shared" si="29"/>
        <v>#DIV/0!</v>
      </c>
      <c r="BI75" s="402" t="e">
        <f t="shared" si="30"/>
        <v>#DIV/0!</v>
      </c>
    </row>
    <row r="76" spans="1:61" s="359" customFormat="1" ht="19.2" x14ac:dyDescent="0.3">
      <c r="A76" s="360" t="s">
        <v>187</v>
      </c>
      <c r="B76" s="513" t="s">
        <v>368</v>
      </c>
      <c r="C76" s="433" t="s">
        <v>369</v>
      </c>
      <c r="D76" s="361">
        <v>0.4</v>
      </c>
      <c r="E76" s="403">
        <v>80</v>
      </c>
      <c r="F76" s="404">
        <v>15</v>
      </c>
      <c r="G76" s="400">
        <v>15</v>
      </c>
      <c r="H76" s="419">
        <v>37.287439999999997</v>
      </c>
      <c r="I76" s="401">
        <v>24.21405</v>
      </c>
      <c r="J76" s="401">
        <v>5.9096000000000002</v>
      </c>
      <c r="K76" s="401">
        <v>17.958860000000001</v>
      </c>
      <c r="L76" s="401">
        <v>5.9523999999999999</v>
      </c>
      <c r="M76" s="401">
        <v>0</v>
      </c>
      <c r="N76" s="401">
        <v>0</v>
      </c>
      <c r="O76" s="401">
        <v>3.1742300000000001</v>
      </c>
      <c r="P76" s="401">
        <v>73.87</v>
      </c>
      <c r="Q76" s="401">
        <v>8.9794300000000007</v>
      </c>
      <c r="R76" s="385" t="s">
        <v>167</v>
      </c>
      <c r="S76" s="439" t="s">
        <v>175</v>
      </c>
      <c r="T76" s="389"/>
      <c r="U76" s="521">
        <v>263</v>
      </c>
      <c r="V76" s="402">
        <f t="shared" si="31"/>
        <v>466.09299999999996</v>
      </c>
      <c r="W76" s="402">
        <f t="shared" si="32"/>
        <v>2.4858293333333332</v>
      </c>
      <c r="X76" s="403"/>
      <c r="Y76" s="404"/>
      <c r="Z76" s="400"/>
      <c r="AA76" s="419"/>
      <c r="AB76" s="401"/>
      <c r="AC76" s="401"/>
      <c r="AD76" s="401"/>
      <c r="AE76" s="401"/>
      <c r="AF76" s="401"/>
      <c r="AG76" s="401"/>
      <c r="AH76" s="401"/>
      <c r="AI76" s="401"/>
      <c r="AJ76" s="401"/>
      <c r="AK76" s="385"/>
      <c r="AL76" s="439"/>
      <c r="AM76" s="389"/>
      <c r="AN76" s="521"/>
      <c r="AO76" s="402" t="e">
        <f t="shared" si="33"/>
        <v>#DIV/0!</v>
      </c>
      <c r="AP76" s="402" t="e">
        <f t="shared" si="34"/>
        <v>#DIV/0!</v>
      </c>
      <c r="AQ76" s="595"/>
      <c r="AR76" s="587"/>
      <c r="AS76" s="400"/>
      <c r="AT76" s="419"/>
      <c r="AU76" s="401"/>
      <c r="AV76" s="401"/>
      <c r="AW76" s="401"/>
      <c r="AX76" s="401"/>
      <c r="AY76" s="401"/>
      <c r="AZ76" s="401"/>
      <c r="BA76" s="401"/>
      <c r="BB76" s="401"/>
      <c r="BC76" s="401"/>
      <c r="BD76" s="385"/>
      <c r="BE76" s="439"/>
      <c r="BF76" s="389"/>
      <c r="BG76" s="521"/>
      <c r="BH76" s="402" t="e">
        <f t="shared" si="29"/>
        <v>#DIV/0!</v>
      </c>
      <c r="BI76" s="402" t="e">
        <f t="shared" si="30"/>
        <v>#DIV/0!</v>
      </c>
    </row>
    <row r="77" spans="1:61" s="359" customFormat="1" ht="19.2" x14ac:dyDescent="0.3">
      <c r="A77" s="360" t="s">
        <v>190</v>
      </c>
      <c r="B77" s="513" t="s">
        <v>373</v>
      </c>
      <c r="C77" s="433" t="s">
        <v>374</v>
      </c>
      <c r="D77" s="361">
        <v>0.4</v>
      </c>
      <c r="E77" s="403">
        <v>135</v>
      </c>
      <c r="F77" s="404">
        <v>25</v>
      </c>
      <c r="G77" s="400">
        <v>25</v>
      </c>
      <c r="H77" s="419">
        <v>62.921590000000002</v>
      </c>
      <c r="I77" s="401">
        <v>42.384270000000001</v>
      </c>
      <c r="J77" s="401">
        <v>9.9710999999999999</v>
      </c>
      <c r="K77" s="401">
        <v>26.920739999999999</v>
      </c>
      <c r="L77" s="401">
        <v>9.34239</v>
      </c>
      <c r="M77" s="401">
        <v>0</v>
      </c>
      <c r="N77" s="401">
        <v>0</v>
      </c>
      <c r="O77" s="401">
        <v>4.9992000000000001</v>
      </c>
      <c r="P77" s="401">
        <v>73.86</v>
      </c>
      <c r="Q77" s="401">
        <v>8.9735800000000001</v>
      </c>
      <c r="R77" s="385" t="s">
        <v>167</v>
      </c>
      <c r="S77" s="439" t="s">
        <v>175</v>
      </c>
      <c r="T77" s="389"/>
      <c r="U77" s="521">
        <v>285</v>
      </c>
      <c r="V77" s="402">
        <f t="shared" si="31"/>
        <v>466.08585185185188</v>
      </c>
      <c r="W77" s="402">
        <f t="shared" si="32"/>
        <v>2.5168636000000002</v>
      </c>
      <c r="X77" s="403"/>
      <c r="Y77" s="404"/>
      <c r="Z77" s="400"/>
      <c r="AA77" s="419"/>
      <c r="AB77" s="401"/>
      <c r="AC77" s="401"/>
      <c r="AD77" s="401"/>
      <c r="AE77" s="401"/>
      <c r="AF77" s="401"/>
      <c r="AG77" s="401"/>
      <c r="AH77" s="401"/>
      <c r="AI77" s="401"/>
      <c r="AJ77" s="401"/>
      <c r="AK77" s="385"/>
      <c r="AL77" s="439"/>
      <c r="AM77" s="389"/>
      <c r="AN77" s="521"/>
      <c r="AO77" s="402" t="e">
        <f t="shared" si="33"/>
        <v>#DIV/0!</v>
      </c>
      <c r="AP77" s="402" t="e">
        <f t="shared" si="34"/>
        <v>#DIV/0!</v>
      </c>
      <c r="AQ77" s="595"/>
      <c r="AR77" s="587"/>
      <c r="AS77" s="400"/>
      <c r="AT77" s="419"/>
      <c r="AU77" s="401"/>
      <c r="AV77" s="401"/>
      <c r="AW77" s="401"/>
      <c r="AX77" s="401"/>
      <c r="AY77" s="401"/>
      <c r="AZ77" s="401"/>
      <c r="BA77" s="401"/>
      <c r="BB77" s="401"/>
      <c r="BC77" s="401"/>
      <c r="BD77" s="385"/>
      <c r="BE77" s="439"/>
      <c r="BF77" s="389"/>
      <c r="BG77" s="521"/>
      <c r="BH77" s="402" t="e">
        <f t="shared" si="29"/>
        <v>#DIV/0!</v>
      </c>
      <c r="BI77" s="402" t="e">
        <f t="shared" si="30"/>
        <v>#DIV/0!</v>
      </c>
    </row>
    <row r="78" spans="1:61" s="359" customFormat="1" ht="19.2" x14ac:dyDescent="0.3">
      <c r="A78" s="360" t="s">
        <v>179</v>
      </c>
      <c r="B78" s="543" t="s">
        <v>509</v>
      </c>
      <c r="C78" s="433" t="s">
        <v>429</v>
      </c>
      <c r="D78" s="361">
        <v>0.4</v>
      </c>
      <c r="E78" s="403"/>
      <c r="F78" s="404"/>
      <c r="G78" s="400"/>
      <c r="H78" s="401"/>
      <c r="I78" s="401"/>
      <c r="J78" s="401"/>
      <c r="K78" s="401"/>
      <c r="L78" s="401"/>
      <c r="M78" s="401"/>
      <c r="N78" s="401"/>
      <c r="O78" s="401"/>
      <c r="P78" s="401"/>
      <c r="Q78" s="401"/>
      <c r="R78" s="389"/>
      <c r="S78" s="389"/>
      <c r="T78" s="389"/>
      <c r="U78" s="521"/>
      <c r="V78" s="402" t="e">
        <f t="shared" si="31"/>
        <v>#DIV/0!</v>
      </c>
      <c r="W78" s="402" t="e">
        <f t="shared" si="32"/>
        <v>#DIV/0!</v>
      </c>
      <c r="X78" s="403">
        <v>115</v>
      </c>
      <c r="Y78" s="404">
        <v>15</v>
      </c>
      <c r="Z78" s="400">
        <v>15</v>
      </c>
      <c r="AA78" s="545">
        <v>62.702689999999997</v>
      </c>
      <c r="AB78" s="401">
        <v>42.457459999999998</v>
      </c>
      <c r="AC78" s="401">
        <v>8.4939</v>
      </c>
      <c r="AD78" s="401">
        <v>29.988659999999999</v>
      </c>
      <c r="AE78" s="401">
        <v>8.82714</v>
      </c>
      <c r="AF78" s="401">
        <v>0</v>
      </c>
      <c r="AG78" s="401">
        <v>0</v>
      </c>
      <c r="AH78" s="401">
        <v>5.5562199999999997</v>
      </c>
      <c r="AI78" s="401">
        <v>73.86</v>
      </c>
      <c r="AJ78" s="401">
        <v>9.9962199999999992</v>
      </c>
      <c r="AK78" s="385" t="s">
        <v>167</v>
      </c>
      <c r="AL78" s="439" t="s">
        <v>175</v>
      </c>
      <c r="AM78" s="389"/>
      <c r="AN78" s="521">
        <v>149</v>
      </c>
      <c r="AO78" s="402">
        <f t="shared" si="33"/>
        <v>545.24078260869555</v>
      </c>
      <c r="AP78" s="402">
        <f t="shared" si="34"/>
        <v>4.1801793333333332</v>
      </c>
      <c r="AQ78" s="595"/>
      <c r="AR78" s="587"/>
      <c r="AS78" s="400"/>
      <c r="AT78" s="545"/>
      <c r="AU78" s="401"/>
      <c r="AV78" s="401"/>
      <c r="AW78" s="401"/>
      <c r="AX78" s="401"/>
      <c r="AY78" s="401"/>
      <c r="AZ78" s="401"/>
      <c r="BA78" s="401"/>
      <c r="BB78" s="401"/>
      <c r="BC78" s="401"/>
      <c r="BD78" s="385"/>
      <c r="BE78" s="439"/>
      <c r="BF78" s="389"/>
      <c r="BG78" s="521"/>
      <c r="BH78" s="402" t="e">
        <f t="shared" si="29"/>
        <v>#DIV/0!</v>
      </c>
      <c r="BI78" s="402" t="e">
        <f t="shared" si="30"/>
        <v>#DIV/0!</v>
      </c>
    </row>
    <row r="79" spans="1:61" s="359" customFormat="1" ht="19.2" x14ac:dyDescent="0.3">
      <c r="A79" s="360" t="s">
        <v>183</v>
      </c>
      <c r="B79" s="543" t="s">
        <v>510</v>
      </c>
      <c r="C79" s="433" t="s">
        <v>431</v>
      </c>
      <c r="D79" s="361">
        <v>0.4</v>
      </c>
      <c r="E79" s="403"/>
      <c r="F79" s="404"/>
      <c r="G79" s="400"/>
      <c r="H79" s="401"/>
      <c r="I79" s="401"/>
      <c r="J79" s="401"/>
      <c r="K79" s="401"/>
      <c r="L79" s="401"/>
      <c r="M79" s="401"/>
      <c r="N79" s="401"/>
      <c r="O79" s="401"/>
      <c r="P79" s="401"/>
      <c r="Q79" s="401"/>
      <c r="R79" s="389"/>
      <c r="S79" s="389"/>
      <c r="T79" s="389"/>
      <c r="U79" s="521"/>
      <c r="V79" s="402" t="e">
        <f t="shared" si="31"/>
        <v>#DIV/0!</v>
      </c>
      <c r="W79" s="402" t="e">
        <f t="shared" si="32"/>
        <v>#DIV/0!</v>
      </c>
      <c r="X79" s="403">
        <v>30</v>
      </c>
      <c r="Y79" s="404">
        <v>15</v>
      </c>
      <c r="Z79" s="400">
        <v>15</v>
      </c>
      <c r="AA79" s="545">
        <v>19.406210000000002</v>
      </c>
      <c r="AB79" s="401">
        <v>13.16902</v>
      </c>
      <c r="AC79" s="401">
        <v>2.2158000000000002</v>
      </c>
      <c r="AD79" s="401">
        <v>9.9962199999999992</v>
      </c>
      <c r="AE79" s="401">
        <v>2.7163900000000001</v>
      </c>
      <c r="AF79" s="401">
        <v>0</v>
      </c>
      <c r="AG79" s="401">
        <v>0</v>
      </c>
      <c r="AH79" s="401">
        <v>1.70824</v>
      </c>
      <c r="AI79" s="401">
        <v>73.86</v>
      </c>
      <c r="AJ79" s="401">
        <v>9.9962199999999992</v>
      </c>
      <c r="AK79" s="385" t="s">
        <v>167</v>
      </c>
      <c r="AL79" s="439" t="s">
        <v>175</v>
      </c>
      <c r="AM79" s="389"/>
      <c r="AN79" s="521">
        <v>157</v>
      </c>
      <c r="AO79" s="402">
        <f t="shared" si="33"/>
        <v>646.87366666666674</v>
      </c>
      <c r="AP79" s="402">
        <f t="shared" si="34"/>
        <v>1.2937473333333334</v>
      </c>
      <c r="AQ79" s="595"/>
      <c r="AR79" s="587"/>
      <c r="AS79" s="400"/>
      <c r="AT79" s="545"/>
      <c r="AU79" s="401"/>
      <c r="AV79" s="401"/>
      <c r="AW79" s="401"/>
      <c r="AX79" s="401"/>
      <c r="AY79" s="401"/>
      <c r="AZ79" s="401"/>
      <c r="BA79" s="401"/>
      <c r="BB79" s="401"/>
      <c r="BC79" s="401"/>
      <c r="BD79" s="385"/>
      <c r="BE79" s="439"/>
      <c r="BF79" s="389"/>
      <c r="BG79" s="521"/>
      <c r="BH79" s="402" t="e">
        <f t="shared" si="29"/>
        <v>#DIV/0!</v>
      </c>
      <c r="BI79" s="402" t="e">
        <f t="shared" si="30"/>
        <v>#DIV/0!</v>
      </c>
    </row>
    <row r="80" spans="1:61" s="359" customFormat="1" ht="19.2" x14ac:dyDescent="0.3">
      <c r="A80" s="360" t="s">
        <v>185</v>
      </c>
      <c r="B80" s="543" t="s">
        <v>511</v>
      </c>
      <c r="C80" s="433" t="s">
        <v>433</v>
      </c>
      <c r="D80" s="361">
        <v>0.4</v>
      </c>
      <c r="E80" s="403"/>
      <c r="F80" s="404"/>
      <c r="G80" s="400"/>
      <c r="H80" s="401"/>
      <c r="I80" s="401"/>
      <c r="J80" s="401"/>
      <c r="K80" s="401"/>
      <c r="L80" s="401"/>
      <c r="M80" s="401"/>
      <c r="N80" s="401"/>
      <c r="O80" s="401"/>
      <c r="P80" s="401"/>
      <c r="Q80" s="401"/>
      <c r="R80" s="389"/>
      <c r="S80" s="389"/>
      <c r="T80" s="389"/>
      <c r="U80" s="521"/>
      <c r="V80" s="402" t="e">
        <f t="shared" si="31"/>
        <v>#DIV/0!</v>
      </c>
      <c r="W80" s="402" t="e">
        <f t="shared" si="32"/>
        <v>#DIV/0!</v>
      </c>
      <c r="X80" s="403">
        <v>50</v>
      </c>
      <c r="Y80" s="404">
        <v>15</v>
      </c>
      <c r="Z80" s="400">
        <v>15</v>
      </c>
      <c r="AA80" s="545">
        <v>22.375869999999999</v>
      </c>
      <c r="AB80" s="401">
        <v>14.91174</v>
      </c>
      <c r="AC80" s="401">
        <v>3.6930000000000001</v>
      </c>
      <c r="AD80" s="401">
        <v>9.9985300000000006</v>
      </c>
      <c r="AE80" s="401">
        <v>3.2587700000000002</v>
      </c>
      <c r="AF80" s="401">
        <v>0</v>
      </c>
      <c r="AG80" s="401">
        <v>0</v>
      </c>
      <c r="AH80" s="401">
        <v>2.0534500000000002</v>
      </c>
      <c r="AI80" s="401">
        <v>73.86</v>
      </c>
      <c r="AJ80" s="401">
        <v>9.9985300000000006</v>
      </c>
      <c r="AK80" s="385" t="s">
        <v>167</v>
      </c>
      <c r="AL80" s="439" t="s">
        <v>175</v>
      </c>
      <c r="AM80" s="389"/>
      <c r="AN80" s="521">
        <v>165</v>
      </c>
      <c r="AO80" s="402">
        <f t="shared" si="33"/>
        <v>447.51739999999995</v>
      </c>
      <c r="AP80" s="402">
        <f t="shared" si="34"/>
        <v>1.4917246666666666</v>
      </c>
      <c r="AQ80" s="595"/>
      <c r="AR80" s="587"/>
      <c r="AS80" s="400"/>
      <c r="AT80" s="545"/>
      <c r="AU80" s="401"/>
      <c r="AV80" s="401"/>
      <c r="AW80" s="401"/>
      <c r="AX80" s="401"/>
      <c r="AY80" s="401"/>
      <c r="AZ80" s="401"/>
      <c r="BA80" s="401"/>
      <c r="BB80" s="401"/>
      <c r="BC80" s="401"/>
      <c r="BD80" s="385"/>
      <c r="BE80" s="439"/>
      <c r="BF80" s="389"/>
      <c r="BG80" s="521"/>
      <c r="BH80" s="402" t="e">
        <f t="shared" si="29"/>
        <v>#DIV/0!</v>
      </c>
      <c r="BI80" s="402" t="e">
        <f t="shared" si="30"/>
        <v>#DIV/0!</v>
      </c>
    </row>
    <row r="81" spans="1:61" s="359" customFormat="1" ht="19.2" x14ac:dyDescent="0.3">
      <c r="A81" s="360" t="s">
        <v>187</v>
      </c>
      <c r="B81" s="543" t="s">
        <v>512</v>
      </c>
      <c r="C81" s="433" t="s">
        <v>434</v>
      </c>
      <c r="D81" s="361">
        <v>0.4</v>
      </c>
      <c r="E81" s="403"/>
      <c r="F81" s="404"/>
      <c r="G81" s="400"/>
      <c r="H81" s="401"/>
      <c r="I81" s="401"/>
      <c r="J81" s="401"/>
      <c r="K81" s="401"/>
      <c r="L81" s="401"/>
      <c r="M81" s="401"/>
      <c r="N81" s="401"/>
      <c r="O81" s="401"/>
      <c r="P81" s="401"/>
      <c r="Q81" s="401"/>
      <c r="R81" s="389"/>
      <c r="S81" s="389"/>
      <c r="T81" s="389"/>
      <c r="U81" s="521"/>
      <c r="V81" s="402" t="e">
        <f t="shared" si="31"/>
        <v>#DIV/0!</v>
      </c>
      <c r="W81" s="402" t="e">
        <f t="shared" si="32"/>
        <v>#DIV/0!</v>
      </c>
      <c r="X81" s="403">
        <v>160</v>
      </c>
      <c r="Y81" s="404">
        <v>15</v>
      </c>
      <c r="Z81" s="400">
        <v>15</v>
      </c>
      <c r="AA81" s="545">
        <v>116.09882</v>
      </c>
      <c r="AB81" s="401">
        <v>78.905779999999993</v>
      </c>
      <c r="AC81" s="401">
        <v>11.817600000000001</v>
      </c>
      <c r="AD81" s="401">
        <f>19.99708+39.99416</f>
        <v>59.991240000000005</v>
      </c>
      <c r="AE81" s="401">
        <v>16.503499999999999</v>
      </c>
      <c r="AF81" s="401">
        <v>0</v>
      </c>
      <c r="AG81" s="401">
        <v>0</v>
      </c>
      <c r="AH81" s="401">
        <v>10.061299999999999</v>
      </c>
      <c r="AI81" s="401">
        <v>73.86</v>
      </c>
      <c r="AJ81" s="401">
        <v>9.9985400000000002</v>
      </c>
      <c r="AK81" s="385" t="s">
        <v>167</v>
      </c>
      <c r="AL81" s="439" t="s">
        <v>175</v>
      </c>
      <c r="AM81" s="389"/>
      <c r="AN81" s="521">
        <v>170</v>
      </c>
      <c r="AO81" s="402">
        <f t="shared" si="33"/>
        <v>725.61762500000009</v>
      </c>
      <c r="AP81" s="402">
        <f t="shared" si="34"/>
        <v>7.7399213333333332</v>
      </c>
      <c r="AQ81" s="595"/>
      <c r="AR81" s="587"/>
      <c r="AS81" s="400"/>
      <c r="AT81" s="545"/>
      <c r="AU81" s="401"/>
      <c r="AV81" s="401"/>
      <c r="AW81" s="401"/>
      <c r="AX81" s="401"/>
      <c r="AY81" s="401"/>
      <c r="AZ81" s="401"/>
      <c r="BA81" s="401"/>
      <c r="BB81" s="401"/>
      <c r="BC81" s="401"/>
      <c r="BD81" s="385"/>
      <c r="BE81" s="439"/>
      <c r="BF81" s="389"/>
      <c r="BG81" s="521"/>
      <c r="BH81" s="402" t="e">
        <f t="shared" si="29"/>
        <v>#DIV/0!</v>
      </c>
      <c r="BI81" s="402" t="e">
        <f t="shared" si="30"/>
        <v>#DIV/0!</v>
      </c>
    </row>
    <row r="82" spans="1:61" s="359" customFormat="1" ht="19.2" x14ac:dyDescent="0.3">
      <c r="A82" s="360" t="s">
        <v>190</v>
      </c>
      <c r="B82" s="543" t="s">
        <v>513</v>
      </c>
      <c r="C82" s="433" t="s">
        <v>435</v>
      </c>
      <c r="D82" s="361">
        <v>0.4</v>
      </c>
      <c r="E82" s="403"/>
      <c r="F82" s="404"/>
      <c r="G82" s="400"/>
      <c r="H82" s="401"/>
      <c r="I82" s="401"/>
      <c r="J82" s="401"/>
      <c r="K82" s="401"/>
      <c r="L82" s="401"/>
      <c r="M82" s="401"/>
      <c r="N82" s="401"/>
      <c r="O82" s="401"/>
      <c r="P82" s="401"/>
      <c r="Q82" s="401"/>
      <c r="R82" s="389"/>
      <c r="S82" s="389"/>
      <c r="T82" s="389"/>
      <c r="U82" s="521"/>
      <c r="V82" s="402" t="e">
        <f t="shared" si="31"/>
        <v>#DIV/0!</v>
      </c>
      <c r="W82" s="402" t="e">
        <f t="shared" si="32"/>
        <v>#DIV/0!</v>
      </c>
      <c r="X82" s="403">
        <v>130</v>
      </c>
      <c r="Y82" s="404">
        <v>15</v>
      </c>
      <c r="Z82" s="400">
        <v>15</v>
      </c>
      <c r="AA82" s="545">
        <v>110.17422999999999</v>
      </c>
      <c r="AB82" s="401">
        <v>74.821619999999996</v>
      </c>
      <c r="AC82" s="401">
        <v>9.6018000000000008</v>
      </c>
      <c r="AD82" s="401">
        <f>19.99708+39.99416</f>
        <v>59.991240000000005</v>
      </c>
      <c r="AE82" s="401">
        <v>15.689920000000001</v>
      </c>
      <c r="AF82" s="401">
        <v>0</v>
      </c>
      <c r="AG82" s="401">
        <v>0</v>
      </c>
      <c r="AH82" s="401">
        <v>9.5434800000000006</v>
      </c>
      <c r="AI82" s="401">
        <v>73.86</v>
      </c>
      <c r="AJ82" s="401">
        <v>9.9985400000000002</v>
      </c>
      <c r="AK82" s="385" t="s">
        <v>167</v>
      </c>
      <c r="AL82" s="439" t="s">
        <v>175</v>
      </c>
      <c r="AM82" s="389"/>
      <c r="AN82" s="521">
        <v>174</v>
      </c>
      <c r="AO82" s="402">
        <f t="shared" si="33"/>
        <v>847.49407692307693</v>
      </c>
      <c r="AP82" s="402">
        <f t="shared" si="34"/>
        <v>7.3449486666666663</v>
      </c>
      <c r="AQ82" s="595"/>
      <c r="AR82" s="587"/>
      <c r="AS82" s="400"/>
      <c r="AT82" s="545"/>
      <c r="AU82" s="401"/>
      <c r="AV82" s="401"/>
      <c r="AW82" s="401"/>
      <c r="AX82" s="401"/>
      <c r="AY82" s="401"/>
      <c r="AZ82" s="401"/>
      <c r="BA82" s="401"/>
      <c r="BB82" s="401"/>
      <c r="BC82" s="401"/>
      <c r="BD82" s="385"/>
      <c r="BE82" s="439"/>
      <c r="BF82" s="389"/>
      <c r="BG82" s="521"/>
      <c r="BH82" s="402" t="e">
        <f t="shared" si="29"/>
        <v>#DIV/0!</v>
      </c>
      <c r="BI82" s="402" t="e">
        <f t="shared" si="30"/>
        <v>#DIV/0!</v>
      </c>
    </row>
    <row r="83" spans="1:61" s="359" customFormat="1" ht="19.2" x14ac:dyDescent="0.3">
      <c r="A83" s="360" t="s">
        <v>598</v>
      </c>
      <c r="B83" s="543" t="s">
        <v>514</v>
      </c>
      <c r="C83" s="433" t="s">
        <v>436</v>
      </c>
      <c r="D83" s="361">
        <v>0.4</v>
      </c>
      <c r="E83" s="403"/>
      <c r="F83" s="404"/>
      <c r="G83" s="400"/>
      <c r="H83" s="401"/>
      <c r="I83" s="401"/>
      <c r="J83" s="401"/>
      <c r="K83" s="401"/>
      <c r="L83" s="401"/>
      <c r="M83" s="401"/>
      <c r="N83" s="401"/>
      <c r="O83" s="401"/>
      <c r="P83" s="401"/>
      <c r="Q83" s="401"/>
      <c r="R83" s="389"/>
      <c r="S83" s="389"/>
      <c r="T83" s="389"/>
      <c r="U83" s="521"/>
      <c r="V83" s="402" t="e">
        <f t="shared" si="31"/>
        <v>#DIV/0!</v>
      </c>
      <c r="W83" s="402" t="e">
        <f t="shared" si="32"/>
        <v>#DIV/0!</v>
      </c>
      <c r="X83" s="403">
        <v>130</v>
      </c>
      <c r="Y83" s="404">
        <v>15</v>
      </c>
      <c r="Z83" s="400">
        <v>15</v>
      </c>
      <c r="AA83" s="545">
        <v>65.191649999999996</v>
      </c>
      <c r="AB83" s="401">
        <v>43.527749999999997</v>
      </c>
      <c r="AC83" s="401">
        <v>9.6018000000000008</v>
      </c>
      <c r="AD83" s="401">
        <f>9.99854+9.99854</f>
        <v>19.99708</v>
      </c>
      <c r="AE83" s="401">
        <v>9.6077100000000009</v>
      </c>
      <c r="AF83" s="401">
        <v>0</v>
      </c>
      <c r="AG83" s="401">
        <v>0</v>
      </c>
      <c r="AH83" s="401">
        <v>5.8936799999999998</v>
      </c>
      <c r="AI83" s="401">
        <v>73.86</v>
      </c>
      <c r="AJ83" s="401">
        <v>9.9985400000000002</v>
      </c>
      <c r="AK83" s="385" t="s">
        <v>167</v>
      </c>
      <c r="AL83" s="439" t="s">
        <v>175</v>
      </c>
      <c r="AM83" s="389"/>
      <c r="AN83" s="521">
        <v>177</v>
      </c>
      <c r="AO83" s="402">
        <f t="shared" si="33"/>
        <v>501.4742307692307</v>
      </c>
      <c r="AP83" s="402">
        <f t="shared" si="34"/>
        <v>4.3461099999999995</v>
      </c>
      <c r="AQ83" s="595"/>
      <c r="AR83" s="587"/>
      <c r="AS83" s="400"/>
      <c r="AT83" s="545"/>
      <c r="AU83" s="401"/>
      <c r="AV83" s="401"/>
      <c r="AW83" s="401"/>
      <c r="AX83" s="401"/>
      <c r="AY83" s="401"/>
      <c r="AZ83" s="401"/>
      <c r="BA83" s="401"/>
      <c r="BB83" s="401"/>
      <c r="BC83" s="401"/>
      <c r="BD83" s="385"/>
      <c r="BE83" s="439"/>
      <c r="BF83" s="389"/>
      <c r="BG83" s="521"/>
      <c r="BH83" s="402" t="e">
        <f t="shared" si="29"/>
        <v>#DIV/0!</v>
      </c>
      <c r="BI83" s="402" t="e">
        <f t="shared" si="30"/>
        <v>#DIV/0!</v>
      </c>
    </row>
    <row r="84" spans="1:61" s="359" customFormat="1" ht="19.2" x14ac:dyDescent="0.3">
      <c r="A84" s="360" t="s">
        <v>599</v>
      </c>
      <c r="B84" s="543" t="s">
        <v>515</v>
      </c>
      <c r="C84" s="435" t="s">
        <v>437</v>
      </c>
      <c r="D84" s="361">
        <v>0.4</v>
      </c>
      <c r="E84" s="403"/>
      <c r="F84" s="404"/>
      <c r="G84" s="400"/>
      <c r="H84" s="401"/>
      <c r="I84" s="401"/>
      <c r="J84" s="401"/>
      <c r="K84" s="401"/>
      <c r="L84" s="401"/>
      <c r="M84" s="401"/>
      <c r="N84" s="401"/>
      <c r="O84" s="401"/>
      <c r="P84" s="401"/>
      <c r="Q84" s="401"/>
      <c r="R84" s="389"/>
      <c r="S84" s="389"/>
      <c r="T84" s="389"/>
      <c r="U84" s="521"/>
      <c r="V84" s="402" t="e">
        <f t="shared" si="31"/>
        <v>#DIV/0!</v>
      </c>
      <c r="W84" s="402" t="e">
        <f t="shared" si="32"/>
        <v>#DIV/0!</v>
      </c>
      <c r="X84" s="403">
        <v>40</v>
      </c>
      <c r="Y84" s="404">
        <v>150</v>
      </c>
      <c r="Z84" s="400">
        <v>150</v>
      </c>
      <c r="AA84" s="545">
        <v>6.8823800000000004</v>
      </c>
      <c r="AB84" s="401">
        <v>4.42849</v>
      </c>
      <c r="AC84" s="401">
        <v>2.9544000000000001</v>
      </c>
      <c r="AD84" s="401"/>
      <c r="AE84" s="401">
        <v>1.08477</v>
      </c>
      <c r="AF84" s="401">
        <v>0</v>
      </c>
      <c r="AG84" s="401">
        <v>0</v>
      </c>
      <c r="AH84" s="401">
        <v>0.69042000000000003</v>
      </c>
      <c r="AI84" s="401">
        <v>73.86</v>
      </c>
      <c r="AJ84" s="401"/>
      <c r="AK84" s="385" t="s">
        <v>167</v>
      </c>
      <c r="AL84" s="439" t="s">
        <v>175</v>
      </c>
      <c r="AM84" s="389"/>
      <c r="AN84" s="521">
        <v>184</v>
      </c>
      <c r="AO84" s="402">
        <f t="shared" si="33"/>
        <v>172.05950000000001</v>
      </c>
      <c r="AP84" s="402">
        <f t="shared" si="34"/>
        <v>4.5882533333333336E-2</v>
      </c>
      <c r="AQ84" s="595"/>
      <c r="AR84" s="587"/>
      <c r="AS84" s="400"/>
      <c r="AT84" s="545"/>
      <c r="AU84" s="401"/>
      <c r="AV84" s="401"/>
      <c r="AW84" s="401"/>
      <c r="AX84" s="401"/>
      <c r="AY84" s="401"/>
      <c r="AZ84" s="401"/>
      <c r="BA84" s="401"/>
      <c r="BB84" s="401"/>
      <c r="BC84" s="401"/>
      <c r="BD84" s="385"/>
      <c r="BE84" s="439"/>
      <c r="BF84" s="389"/>
      <c r="BG84" s="521"/>
      <c r="BH84" s="402" t="e">
        <f t="shared" si="29"/>
        <v>#DIV/0!</v>
      </c>
      <c r="BI84" s="402" t="e">
        <f t="shared" si="30"/>
        <v>#DIV/0!</v>
      </c>
    </row>
    <row r="85" spans="1:61" s="359" customFormat="1" ht="19.2" x14ac:dyDescent="0.3">
      <c r="A85" s="360" t="s">
        <v>600</v>
      </c>
      <c r="B85" s="543" t="s">
        <v>516</v>
      </c>
      <c r="C85" s="433" t="s">
        <v>438</v>
      </c>
      <c r="D85" s="361">
        <v>0.4</v>
      </c>
      <c r="E85" s="403"/>
      <c r="F85" s="404"/>
      <c r="G85" s="400"/>
      <c r="H85" s="401"/>
      <c r="I85" s="401"/>
      <c r="J85" s="401"/>
      <c r="K85" s="401"/>
      <c r="L85" s="401"/>
      <c r="M85" s="401"/>
      <c r="N85" s="401"/>
      <c r="O85" s="401"/>
      <c r="P85" s="401"/>
      <c r="Q85" s="401"/>
      <c r="R85" s="389"/>
      <c r="S85" s="389"/>
      <c r="T85" s="389"/>
      <c r="U85" s="521"/>
      <c r="V85" s="402" t="e">
        <f t="shared" si="31"/>
        <v>#DIV/0!</v>
      </c>
      <c r="W85" s="402" t="e">
        <f t="shared" si="32"/>
        <v>#DIV/0!</v>
      </c>
      <c r="X85" s="403">
        <v>150</v>
      </c>
      <c r="Y85" s="404">
        <v>15</v>
      </c>
      <c r="Z85" s="400">
        <v>15</v>
      </c>
      <c r="AA85" s="545">
        <v>102.4121</v>
      </c>
      <c r="AB85" s="401">
        <v>70.092200000000005</v>
      </c>
      <c r="AC85" s="401">
        <v>11.079000000000001</v>
      </c>
      <c r="AD85" s="401">
        <f>19.99708+29.99562</f>
        <v>49.992699999999999</v>
      </c>
      <c r="AE85" s="401">
        <v>14.41831</v>
      </c>
      <c r="AF85" s="401">
        <v>0</v>
      </c>
      <c r="AG85" s="401">
        <v>0</v>
      </c>
      <c r="AH85" s="401">
        <v>8.7244399999999995</v>
      </c>
      <c r="AI85" s="401">
        <v>73.86</v>
      </c>
      <c r="AJ85" s="401">
        <v>9.9985400000000002</v>
      </c>
      <c r="AK85" s="385" t="s">
        <v>167</v>
      </c>
      <c r="AL85" s="439" t="s">
        <v>175</v>
      </c>
      <c r="AM85" s="389"/>
      <c r="AN85" s="521">
        <v>196</v>
      </c>
      <c r="AO85" s="402">
        <f t="shared" si="33"/>
        <v>682.74733333333324</v>
      </c>
      <c r="AP85" s="402">
        <f t="shared" si="34"/>
        <v>6.8274733333333328</v>
      </c>
      <c r="AQ85" s="595"/>
      <c r="AR85" s="587"/>
      <c r="AS85" s="400"/>
      <c r="AT85" s="545"/>
      <c r="AU85" s="401"/>
      <c r="AV85" s="401"/>
      <c r="AW85" s="401"/>
      <c r="AX85" s="401"/>
      <c r="AY85" s="401"/>
      <c r="AZ85" s="401"/>
      <c r="BA85" s="401"/>
      <c r="BB85" s="401"/>
      <c r="BC85" s="401"/>
      <c r="BD85" s="385"/>
      <c r="BE85" s="439"/>
      <c r="BF85" s="389"/>
      <c r="BG85" s="521"/>
      <c r="BH85" s="402" t="e">
        <f t="shared" si="29"/>
        <v>#DIV/0!</v>
      </c>
      <c r="BI85" s="402" t="e">
        <f t="shared" si="30"/>
        <v>#DIV/0!</v>
      </c>
    </row>
    <row r="86" spans="1:61" s="359" customFormat="1" ht="19.2" x14ac:dyDescent="0.3">
      <c r="A86" s="360" t="s">
        <v>601</v>
      </c>
      <c r="B86" s="543" t="s">
        <v>517</v>
      </c>
      <c r="C86" s="433" t="s">
        <v>445</v>
      </c>
      <c r="D86" s="361">
        <v>0.4</v>
      </c>
      <c r="E86" s="403"/>
      <c r="F86" s="404"/>
      <c r="G86" s="400"/>
      <c r="H86" s="401"/>
      <c r="I86" s="401"/>
      <c r="J86" s="401"/>
      <c r="K86" s="401"/>
      <c r="L86" s="401"/>
      <c r="M86" s="401"/>
      <c r="N86" s="401"/>
      <c r="O86" s="401"/>
      <c r="P86" s="401"/>
      <c r="Q86" s="401"/>
      <c r="R86" s="389"/>
      <c r="S86" s="389"/>
      <c r="T86" s="389"/>
      <c r="U86" s="521"/>
      <c r="V86" s="402" t="e">
        <f t="shared" si="31"/>
        <v>#DIV/0!</v>
      </c>
      <c r="W86" s="402" t="e">
        <f t="shared" si="32"/>
        <v>#DIV/0!</v>
      </c>
      <c r="X86" s="403">
        <v>65</v>
      </c>
      <c r="Y86" s="404">
        <v>15</v>
      </c>
      <c r="Z86" s="400">
        <v>15</v>
      </c>
      <c r="AA86" s="545">
        <v>26.60783</v>
      </c>
      <c r="AB86" s="401">
        <v>18.223479999999999</v>
      </c>
      <c r="AC86" s="401">
        <v>4.8009000000000004</v>
      </c>
      <c r="AD86" s="401">
        <v>10</v>
      </c>
      <c r="AE86" s="401">
        <v>3.6655600000000002</v>
      </c>
      <c r="AF86" s="401">
        <v>0</v>
      </c>
      <c r="AG86" s="401">
        <v>0</v>
      </c>
      <c r="AH86" s="401">
        <v>2.3123800000000001</v>
      </c>
      <c r="AI86" s="401">
        <v>73.86</v>
      </c>
      <c r="AJ86" s="401">
        <v>10</v>
      </c>
      <c r="AK86" s="385" t="s">
        <v>167</v>
      </c>
      <c r="AL86" s="439" t="s">
        <v>175</v>
      </c>
      <c r="AM86" s="389"/>
      <c r="AN86" s="521">
        <v>221</v>
      </c>
      <c r="AO86" s="402">
        <f t="shared" si="33"/>
        <v>409.35123076923077</v>
      </c>
      <c r="AP86" s="402">
        <f t="shared" si="34"/>
        <v>1.7738553333333333</v>
      </c>
      <c r="AQ86" s="595"/>
      <c r="AR86" s="587"/>
      <c r="AS86" s="400"/>
      <c r="AT86" s="545"/>
      <c r="AU86" s="401"/>
      <c r="AV86" s="401"/>
      <c r="AW86" s="401"/>
      <c r="AX86" s="401"/>
      <c r="AY86" s="401"/>
      <c r="AZ86" s="401"/>
      <c r="BA86" s="401"/>
      <c r="BB86" s="401"/>
      <c r="BC86" s="401"/>
      <c r="BD86" s="385"/>
      <c r="BE86" s="439"/>
      <c r="BF86" s="389"/>
      <c r="BG86" s="521"/>
      <c r="BH86" s="402" t="e">
        <f t="shared" si="29"/>
        <v>#DIV/0!</v>
      </c>
      <c r="BI86" s="402" t="e">
        <f t="shared" si="30"/>
        <v>#DIV/0!</v>
      </c>
    </row>
    <row r="87" spans="1:61" s="359" customFormat="1" ht="19.2" x14ac:dyDescent="0.3">
      <c r="A87" s="360" t="s">
        <v>602</v>
      </c>
      <c r="B87" s="543" t="s">
        <v>518</v>
      </c>
      <c r="C87" s="433" t="s">
        <v>446</v>
      </c>
      <c r="D87" s="361">
        <v>0.4</v>
      </c>
      <c r="E87" s="403"/>
      <c r="F87" s="404"/>
      <c r="G87" s="400"/>
      <c r="H87" s="401"/>
      <c r="I87" s="401"/>
      <c r="J87" s="401"/>
      <c r="K87" s="401"/>
      <c r="L87" s="401"/>
      <c r="M87" s="401"/>
      <c r="N87" s="401"/>
      <c r="O87" s="401"/>
      <c r="P87" s="401"/>
      <c r="Q87" s="401"/>
      <c r="R87" s="389"/>
      <c r="S87" s="389"/>
      <c r="T87" s="389"/>
      <c r="U87" s="521"/>
      <c r="V87" s="402" t="e">
        <f t="shared" si="31"/>
        <v>#DIV/0!</v>
      </c>
      <c r="W87" s="402" t="e">
        <f t="shared" si="32"/>
        <v>#DIV/0!</v>
      </c>
      <c r="X87" s="403">
        <v>180</v>
      </c>
      <c r="Y87" s="404">
        <v>15</v>
      </c>
      <c r="Z87" s="400">
        <v>15</v>
      </c>
      <c r="AA87" s="545">
        <v>133.35592</v>
      </c>
      <c r="AB87" s="401">
        <v>91.037620000000004</v>
      </c>
      <c r="AC87" s="401">
        <v>13.2948</v>
      </c>
      <c r="AD87" s="401">
        <f>50+20</f>
        <v>70</v>
      </c>
      <c r="AE87" s="401">
        <v>18.574919999999999</v>
      </c>
      <c r="AF87" s="401">
        <v>0</v>
      </c>
      <c r="AG87" s="401">
        <v>0</v>
      </c>
      <c r="AH87" s="401">
        <v>11.518380000000001</v>
      </c>
      <c r="AI87" s="401">
        <v>73.86</v>
      </c>
      <c r="AJ87" s="401">
        <v>10</v>
      </c>
      <c r="AK87" s="385" t="s">
        <v>167</v>
      </c>
      <c r="AL87" s="439" t="s">
        <v>175</v>
      </c>
      <c r="AM87" s="389"/>
      <c r="AN87" s="521">
        <v>226</v>
      </c>
      <c r="AO87" s="402">
        <f t="shared" si="33"/>
        <v>740.86622222222218</v>
      </c>
      <c r="AP87" s="402">
        <f t="shared" si="34"/>
        <v>8.8903946666666673</v>
      </c>
      <c r="AQ87" s="595"/>
      <c r="AR87" s="587"/>
      <c r="AS87" s="400"/>
      <c r="AT87" s="545"/>
      <c r="AU87" s="401"/>
      <c r="AV87" s="401"/>
      <c r="AW87" s="401"/>
      <c r="AX87" s="401"/>
      <c r="AY87" s="401"/>
      <c r="AZ87" s="401"/>
      <c r="BA87" s="401"/>
      <c r="BB87" s="401"/>
      <c r="BC87" s="401"/>
      <c r="BD87" s="385"/>
      <c r="BE87" s="439"/>
      <c r="BF87" s="389"/>
      <c r="BG87" s="521"/>
      <c r="BH87" s="402" t="e">
        <f t="shared" si="29"/>
        <v>#DIV/0!</v>
      </c>
      <c r="BI87" s="402" t="e">
        <f t="shared" si="30"/>
        <v>#DIV/0!</v>
      </c>
    </row>
    <row r="88" spans="1:61" s="359" customFormat="1" ht="19.2" x14ac:dyDescent="0.3">
      <c r="A88" s="360" t="s">
        <v>603</v>
      </c>
      <c r="B88" s="543" t="s">
        <v>519</v>
      </c>
      <c r="C88" s="548" t="s">
        <v>451</v>
      </c>
      <c r="D88" s="361">
        <v>0.4</v>
      </c>
      <c r="E88" s="403"/>
      <c r="F88" s="404"/>
      <c r="G88" s="400"/>
      <c r="H88" s="401"/>
      <c r="I88" s="401"/>
      <c r="J88" s="401"/>
      <c r="K88" s="401"/>
      <c r="L88" s="401"/>
      <c r="M88" s="401"/>
      <c r="N88" s="401"/>
      <c r="O88" s="401"/>
      <c r="P88" s="401"/>
      <c r="Q88" s="401"/>
      <c r="R88" s="389"/>
      <c r="S88" s="389"/>
      <c r="T88" s="389"/>
      <c r="U88" s="521"/>
      <c r="V88" s="402" t="e">
        <f t="shared" si="31"/>
        <v>#DIV/0!</v>
      </c>
      <c r="W88" s="402" t="e">
        <f t="shared" si="32"/>
        <v>#DIV/0!</v>
      </c>
      <c r="X88" s="403">
        <v>170</v>
      </c>
      <c r="Y88" s="404">
        <v>15</v>
      </c>
      <c r="Z88" s="400">
        <v>15</v>
      </c>
      <c r="AA88" s="545">
        <v>149.18232</v>
      </c>
      <c r="AB88" s="401">
        <v>102.58229</v>
      </c>
      <c r="AC88" s="401">
        <v>12.5562</v>
      </c>
      <c r="AD88" s="401">
        <f>40+40</f>
        <v>80</v>
      </c>
      <c r="AE88" s="401">
        <v>20.580310000000001</v>
      </c>
      <c r="AF88" s="401">
        <v>0</v>
      </c>
      <c r="AG88" s="401">
        <v>0</v>
      </c>
      <c r="AH88" s="401">
        <v>12.614739999999999</v>
      </c>
      <c r="AI88" s="401">
        <v>73.86</v>
      </c>
      <c r="AJ88" s="401">
        <v>10</v>
      </c>
      <c r="AK88" s="385" t="s">
        <v>167</v>
      </c>
      <c r="AL88" s="439" t="s">
        <v>175</v>
      </c>
      <c r="AM88" s="389"/>
      <c r="AN88" s="521">
        <v>248</v>
      </c>
      <c r="AO88" s="402">
        <f t="shared" si="33"/>
        <v>877.54305882352946</v>
      </c>
      <c r="AP88" s="402">
        <f t="shared" si="34"/>
        <v>9.945488000000001</v>
      </c>
      <c r="AQ88" s="595"/>
      <c r="AR88" s="587"/>
      <c r="AS88" s="400"/>
      <c r="AT88" s="545"/>
      <c r="AU88" s="401"/>
      <c r="AV88" s="401"/>
      <c r="AW88" s="401"/>
      <c r="AX88" s="401"/>
      <c r="AY88" s="401"/>
      <c r="AZ88" s="401"/>
      <c r="BA88" s="401"/>
      <c r="BB88" s="401"/>
      <c r="BC88" s="401"/>
      <c r="BD88" s="385"/>
      <c r="BE88" s="439"/>
      <c r="BF88" s="389"/>
      <c r="BG88" s="521"/>
      <c r="BH88" s="402" t="e">
        <f t="shared" si="29"/>
        <v>#DIV/0!</v>
      </c>
      <c r="BI88" s="402" t="e">
        <f t="shared" si="30"/>
        <v>#DIV/0!</v>
      </c>
    </row>
    <row r="89" spans="1:61" s="359" customFormat="1" ht="19.2" x14ac:dyDescent="0.3">
      <c r="A89" s="360" t="s">
        <v>604</v>
      </c>
      <c r="B89" s="543" t="s">
        <v>509</v>
      </c>
      <c r="C89" s="433" t="s">
        <v>454</v>
      </c>
      <c r="D89" s="361">
        <v>0.4</v>
      </c>
      <c r="E89" s="403"/>
      <c r="F89" s="404"/>
      <c r="G89" s="400"/>
      <c r="H89" s="401"/>
      <c r="I89" s="401"/>
      <c r="J89" s="401"/>
      <c r="K89" s="401"/>
      <c r="L89" s="401"/>
      <c r="M89" s="401"/>
      <c r="N89" s="401"/>
      <c r="O89" s="401"/>
      <c r="P89" s="401"/>
      <c r="Q89" s="401"/>
      <c r="R89" s="389"/>
      <c r="S89" s="389"/>
      <c r="T89" s="389"/>
      <c r="U89" s="521"/>
      <c r="V89" s="402" t="e">
        <f t="shared" si="31"/>
        <v>#DIV/0!</v>
      </c>
      <c r="W89" s="402" t="e">
        <f t="shared" si="32"/>
        <v>#DIV/0!</v>
      </c>
      <c r="X89" s="403">
        <v>95</v>
      </c>
      <c r="Y89" s="404">
        <v>15</v>
      </c>
      <c r="Z89" s="400">
        <v>15</v>
      </c>
      <c r="AA89" s="545">
        <v>30.604310000000002</v>
      </c>
      <c r="AB89" s="401">
        <v>20.379549999999998</v>
      </c>
      <c r="AC89" s="401">
        <v>7.0167000000000002</v>
      </c>
      <c r="AD89" s="401">
        <v>9.9998900000000006</v>
      </c>
      <c r="AE89" s="401">
        <v>4.4791400000000001</v>
      </c>
      <c r="AF89" s="401">
        <v>0</v>
      </c>
      <c r="AG89" s="401">
        <v>0</v>
      </c>
      <c r="AH89" s="401">
        <v>2.8301699999999999</v>
      </c>
      <c r="AI89" s="401">
        <v>73.86</v>
      </c>
      <c r="AJ89" s="401">
        <v>9.9998900000000006</v>
      </c>
      <c r="AK89" s="385" t="s">
        <v>167</v>
      </c>
      <c r="AL89" s="439" t="s">
        <v>175</v>
      </c>
      <c r="AM89" s="389"/>
      <c r="AN89" s="521">
        <v>259</v>
      </c>
      <c r="AO89" s="402">
        <f t="shared" si="33"/>
        <v>322.15063157894741</v>
      </c>
      <c r="AP89" s="402">
        <f t="shared" si="34"/>
        <v>2.0402873333333336</v>
      </c>
      <c r="AQ89" s="595"/>
      <c r="AR89" s="587"/>
      <c r="AS89" s="400"/>
      <c r="AT89" s="545"/>
      <c r="AU89" s="401"/>
      <c r="AV89" s="401"/>
      <c r="AW89" s="401"/>
      <c r="AX89" s="401"/>
      <c r="AY89" s="401"/>
      <c r="AZ89" s="401"/>
      <c r="BA89" s="401"/>
      <c r="BB89" s="401"/>
      <c r="BC89" s="401"/>
      <c r="BD89" s="385"/>
      <c r="BE89" s="439"/>
      <c r="BF89" s="389"/>
      <c r="BG89" s="521"/>
      <c r="BH89" s="402" t="e">
        <f t="shared" si="29"/>
        <v>#DIV/0!</v>
      </c>
      <c r="BI89" s="402" t="e">
        <f t="shared" si="30"/>
        <v>#DIV/0!</v>
      </c>
    </row>
    <row r="90" spans="1:61" s="359" customFormat="1" ht="19.2" x14ac:dyDescent="0.3">
      <c r="A90" s="360" t="s">
        <v>605</v>
      </c>
      <c r="B90" s="543" t="s">
        <v>520</v>
      </c>
      <c r="C90" s="433" t="s">
        <v>456</v>
      </c>
      <c r="D90" s="361">
        <v>0.4</v>
      </c>
      <c r="E90" s="403"/>
      <c r="F90" s="404"/>
      <c r="G90" s="400"/>
      <c r="H90" s="401"/>
      <c r="I90" s="401"/>
      <c r="J90" s="401"/>
      <c r="K90" s="401"/>
      <c r="L90" s="401"/>
      <c r="M90" s="401"/>
      <c r="N90" s="401"/>
      <c r="O90" s="401"/>
      <c r="P90" s="401"/>
      <c r="Q90" s="401"/>
      <c r="R90" s="389"/>
      <c r="S90" s="389"/>
      <c r="T90" s="389"/>
      <c r="U90" s="521"/>
      <c r="V90" s="402" t="e">
        <f t="shared" si="31"/>
        <v>#DIV/0!</v>
      </c>
      <c r="W90" s="402" t="e">
        <f t="shared" si="32"/>
        <v>#DIV/0!</v>
      </c>
      <c r="X90" s="403">
        <v>180</v>
      </c>
      <c r="Y90" s="404">
        <v>15</v>
      </c>
      <c r="Z90" s="400">
        <v>15</v>
      </c>
      <c r="AA90" s="545">
        <v>182.51342</v>
      </c>
      <c r="AB90" s="401">
        <v>125.87085999999999</v>
      </c>
      <c r="AC90" s="401">
        <v>13.2948</v>
      </c>
      <c r="AD90" s="401">
        <f>50+20+30</f>
        <v>100</v>
      </c>
      <c r="AE90" s="401">
        <v>25.119720000000001</v>
      </c>
      <c r="AF90" s="401">
        <v>0</v>
      </c>
      <c r="AG90" s="401">
        <v>0</v>
      </c>
      <c r="AH90" s="401">
        <v>15.27289</v>
      </c>
      <c r="AI90" s="401">
        <v>73.86</v>
      </c>
      <c r="AJ90" s="401">
        <v>10</v>
      </c>
      <c r="AK90" s="385" t="s">
        <v>167</v>
      </c>
      <c r="AL90" s="439" t="s">
        <v>175</v>
      </c>
      <c r="AM90" s="389"/>
      <c r="AN90" s="521">
        <v>268</v>
      </c>
      <c r="AO90" s="402">
        <f t="shared" si="33"/>
        <v>1013.9634444444446</v>
      </c>
      <c r="AP90" s="402">
        <f t="shared" si="34"/>
        <v>12.167561333333333</v>
      </c>
      <c r="AQ90" s="595"/>
      <c r="AR90" s="587"/>
      <c r="AS90" s="400"/>
      <c r="AT90" s="545"/>
      <c r="AU90" s="401"/>
      <c r="AV90" s="401"/>
      <c r="AW90" s="401"/>
      <c r="AX90" s="401"/>
      <c r="AY90" s="401"/>
      <c r="AZ90" s="401"/>
      <c r="BA90" s="401"/>
      <c r="BB90" s="401"/>
      <c r="BC90" s="401"/>
      <c r="BD90" s="385"/>
      <c r="BE90" s="439"/>
      <c r="BF90" s="389"/>
      <c r="BG90" s="521"/>
      <c r="BH90" s="402" t="e">
        <f t="shared" si="29"/>
        <v>#DIV/0!</v>
      </c>
      <c r="BI90" s="402" t="e">
        <f t="shared" si="30"/>
        <v>#DIV/0!</v>
      </c>
    </row>
    <row r="91" spans="1:61" s="359" customFormat="1" ht="19.2" x14ac:dyDescent="0.3">
      <c r="A91" s="360" t="s">
        <v>606</v>
      </c>
      <c r="B91" s="543" t="s">
        <v>521</v>
      </c>
      <c r="C91" s="435" t="s">
        <v>457</v>
      </c>
      <c r="D91" s="361">
        <v>0.4</v>
      </c>
      <c r="E91" s="403"/>
      <c r="F91" s="404"/>
      <c r="G91" s="400"/>
      <c r="H91" s="401"/>
      <c r="I91" s="401"/>
      <c r="J91" s="401"/>
      <c r="K91" s="401"/>
      <c r="L91" s="401"/>
      <c r="M91" s="401"/>
      <c r="N91" s="401"/>
      <c r="O91" s="401"/>
      <c r="P91" s="401"/>
      <c r="Q91" s="401"/>
      <c r="R91" s="389"/>
      <c r="S91" s="389"/>
      <c r="T91" s="389"/>
      <c r="U91" s="521"/>
      <c r="V91" s="402" t="e">
        <f t="shared" si="31"/>
        <v>#DIV/0!</v>
      </c>
      <c r="W91" s="402" t="e">
        <f t="shared" si="32"/>
        <v>#DIV/0!</v>
      </c>
      <c r="X91" s="403">
        <v>60</v>
      </c>
      <c r="Y91" s="404">
        <v>15</v>
      </c>
      <c r="Z91" s="400">
        <v>15</v>
      </c>
      <c r="AA91" s="545">
        <v>9.4208599999999993</v>
      </c>
      <c r="AB91" s="401">
        <v>5.74</v>
      </c>
      <c r="AC91" s="401">
        <v>4.4316000000000004</v>
      </c>
      <c r="AD91" s="401"/>
      <c r="AE91" s="401">
        <v>1.6271599999999999</v>
      </c>
      <c r="AF91" s="401">
        <v>0</v>
      </c>
      <c r="AG91" s="401">
        <v>0</v>
      </c>
      <c r="AH91" s="401">
        <v>1.0356399999999999</v>
      </c>
      <c r="AI91" s="401">
        <v>73.86</v>
      </c>
      <c r="AJ91" s="401"/>
      <c r="AK91" s="385" t="s">
        <v>167</v>
      </c>
      <c r="AL91" s="439" t="s">
        <v>175</v>
      </c>
      <c r="AM91" s="389"/>
      <c r="AN91" s="521">
        <v>276</v>
      </c>
      <c r="AO91" s="402">
        <f t="shared" si="33"/>
        <v>157.0143333333333</v>
      </c>
      <c r="AP91" s="402">
        <f t="shared" si="34"/>
        <v>0.62805733333333325</v>
      </c>
      <c r="AQ91" s="595"/>
      <c r="AR91" s="587"/>
      <c r="AS91" s="400"/>
      <c r="AT91" s="545"/>
      <c r="AU91" s="401"/>
      <c r="AV91" s="401"/>
      <c r="AW91" s="401"/>
      <c r="AX91" s="401"/>
      <c r="AY91" s="401"/>
      <c r="AZ91" s="401"/>
      <c r="BA91" s="401"/>
      <c r="BB91" s="401"/>
      <c r="BC91" s="401"/>
      <c r="BD91" s="385"/>
      <c r="BE91" s="439"/>
      <c r="BF91" s="389"/>
      <c r="BG91" s="521"/>
      <c r="BH91" s="402" t="e">
        <f t="shared" si="29"/>
        <v>#DIV/0!</v>
      </c>
      <c r="BI91" s="402" t="e">
        <f t="shared" si="30"/>
        <v>#DIV/0!</v>
      </c>
    </row>
    <row r="92" spans="1:61" s="359" customFormat="1" ht="19.2" x14ac:dyDescent="0.3">
      <c r="A92" s="360" t="s">
        <v>607</v>
      </c>
      <c r="B92" s="543" t="s">
        <v>522</v>
      </c>
      <c r="C92" s="433" t="s">
        <v>465</v>
      </c>
      <c r="D92" s="361">
        <v>0.4</v>
      </c>
      <c r="E92" s="403"/>
      <c r="F92" s="404"/>
      <c r="G92" s="400"/>
      <c r="H92" s="401"/>
      <c r="I92" s="401"/>
      <c r="J92" s="401"/>
      <c r="K92" s="401"/>
      <c r="L92" s="401"/>
      <c r="M92" s="401"/>
      <c r="N92" s="401"/>
      <c r="O92" s="401"/>
      <c r="P92" s="401"/>
      <c r="Q92" s="401"/>
      <c r="R92" s="389"/>
      <c r="S92" s="389"/>
      <c r="T92" s="389"/>
      <c r="U92" s="521"/>
      <c r="V92" s="402" t="e">
        <f t="shared" si="31"/>
        <v>#DIV/0!</v>
      </c>
      <c r="W92" s="402" t="e">
        <f t="shared" si="32"/>
        <v>#DIV/0!</v>
      </c>
      <c r="X92" s="403">
        <v>60</v>
      </c>
      <c r="Y92" s="404">
        <v>15</v>
      </c>
      <c r="Z92" s="400">
        <v>15</v>
      </c>
      <c r="AA92" s="545">
        <v>58.048879999999997</v>
      </c>
      <c r="AB92" s="401">
        <v>40.677579999999999</v>
      </c>
      <c r="AC92" s="401">
        <v>4.4316000000000004</v>
      </c>
      <c r="AD92" s="401">
        <v>30</v>
      </c>
      <c r="AE92" s="401">
        <v>7.4272900000000002</v>
      </c>
      <c r="AF92" s="401">
        <v>0</v>
      </c>
      <c r="AG92" s="401">
        <v>0</v>
      </c>
      <c r="AH92" s="401">
        <v>4.8042400000000001</v>
      </c>
      <c r="AI92" s="401">
        <v>73.86</v>
      </c>
      <c r="AJ92" s="401">
        <v>10</v>
      </c>
      <c r="AK92" s="385" t="s">
        <v>167</v>
      </c>
      <c r="AL92" s="439" t="s">
        <v>175</v>
      </c>
      <c r="AM92" s="389"/>
      <c r="AN92" s="521">
        <v>315</v>
      </c>
      <c r="AO92" s="402">
        <f t="shared" si="33"/>
        <v>967.48133333333328</v>
      </c>
      <c r="AP92" s="402">
        <f t="shared" si="34"/>
        <v>3.8699253333333332</v>
      </c>
      <c r="AQ92" s="595"/>
      <c r="AR92" s="587"/>
      <c r="AS92" s="400"/>
      <c r="AT92" s="545"/>
      <c r="AU92" s="401"/>
      <c r="AV92" s="401"/>
      <c r="AW92" s="401"/>
      <c r="AX92" s="401"/>
      <c r="AY92" s="401"/>
      <c r="AZ92" s="401"/>
      <c r="BA92" s="401"/>
      <c r="BB92" s="401"/>
      <c r="BC92" s="401"/>
      <c r="BD92" s="385"/>
      <c r="BE92" s="439"/>
      <c r="BF92" s="389"/>
      <c r="BG92" s="521"/>
      <c r="BH92" s="402" t="e">
        <f t="shared" si="29"/>
        <v>#DIV/0!</v>
      </c>
      <c r="BI92" s="402" t="e">
        <f t="shared" si="30"/>
        <v>#DIV/0!</v>
      </c>
    </row>
    <row r="93" spans="1:61" s="359" customFormat="1" ht="19.2" x14ac:dyDescent="0.3">
      <c r="A93" s="360" t="s">
        <v>608</v>
      </c>
      <c r="B93" s="543" t="s">
        <v>523</v>
      </c>
      <c r="C93" s="433" t="s">
        <v>482</v>
      </c>
      <c r="D93" s="361">
        <v>0.4</v>
      </c>
      <c r="E93" s="403"/>
      <c r="F93" s="404"/>
      <c r="G93" s="400"/>
      <c r="H93" s="401"/>
      <c r="I93" s="401"/>
      <c r="J93" s="401"/>
      <c r="K93" s="401"/>
      <c r="L93" s="401"/>
      <c r="M93" s="401"/>
      <c r="N93" s="401"/>
      <c r="O93" s="401"/>
      <c r="P93" s="401"/>
      <c r="Q93" s="401"/>
      <c r="R93" s="389"/>
      <c r="S93" s="389"/>
      <c r="T93" s="389"/>
      <c r="U93" s="521"/>
      <c r="V93" s="402" t="e">
        <f t="shared" si="31"/>
        <v>#DIV/0!</v>
      </c>
      <c r="W93" s="402" t="e">
        <f t="shared" si="32"/>
        <v>#DIV/0!</v>
      </c>
      <c r="X93" s="403">
        <v>130</v>
      </c>
      <c r="Y93" s="404">
        <v>10</v>
      </c>
      <c r="Z93" s="400">
        <v>10</v>
      </c>
      <c r="AA93" s="545">
        <v>114.28605</v>
      </c>
      <c r="AB93" s="401">
        <v>78.400989999999993</v>
      </c>
      <c r="AC93" s="401">
        <v>9.8071999999999999</v>
      </c>
      <c r="AD93" s="401">
        <f>40+20</f>
        <v>60</v>
      </c>
      <c r="AE93" s="401">
        <v>15.510059999999999</v>
      </c>
      <c r="AF93" s="401">
        <v>0</v>
      </c>
      <c r="AG93" s="401">
        <v>0</v>
      </c>
      <c r="AH93" s="401">
        <v>9.8704099999999997</v>
      </c>
      <c r="AI93" s="401">
        <v>75.44</v>
      </c>
      <c r="AJ93" s="401">
        <v>10</v>
      </c>
      <c r="AK93" s="385" t="s">
        <v>167</v>
      </c>
      <c r="AL93" s="439" t="s">
        <v>175</v>
      </c>
      <c r="AM93" s="389"/>
      <c r="AN93" s="521">
        <v>446</v>
      </c>
      <c r="AO93" s="402">
        <f t="shared" si="33"/>
        <v>879.12346153846158</v>
      </c>
      <c r="AP93" s="402">
        <f t="shared" si="34"/>
        <v>11.428605000000001</v>
      </c>
      <c r="AQ93" s="595"/>
      <c r="AR93" s="587"/>
      <c r="AS93" s="400"/>
      <c r="AT93" s="545"/>
      <c r="AU93" s="401"/>
      <c r="AV93" s="401"/>
      <c r="AW93" s="401"/>
      <c r="AX93" s="401"/>
      <c r="AY93" s="401"/>
      <c r="AZ93" s="401"/>
      <c r="BA93" s="401"/>
      <c r="BB93" s="401"/>
      <c r="BC93" s="401"/>
      <c r="BD93" s="385"/>
      <c r="BE93" s="439"/>
      <c r="BF93" s="389"/>
      <c r="BG93" s="521"/>
      <c r="BH93" s="402" t="e">
        <f t="shared" si="29"/>
        <v>#DIV/0!</v>
      </c>
      <c r="BI93" s="402" t="e">
        <f t="shared" si="30"/>
        <v>#DIV/0!</v>
      </c>
    </row>
    <row r="94" spans="1:61" s="359" customFormat="1" ht="19.2" x14ac:dyDescent="0.3">
      <c r="A94" s="360" t="s">
        <v>179</v>
      </c>
      <c r="B94" s="579" t="s">
        <v>723</v>
      </c>
      <c r="C94" s="433" t="s">
        <v>630</v>
      </c>
      <c r="D94" s="361">
        <v>0.4</v>
      </c>
      <c r="E94" s="403"/>
      <c r="F94" s="404"/>
      <c r="G94" s="400"/>
      <c r="H94" s="401"/>
      <c r="I94" s="401"/>
      <c r="J94" s="401"/>
      <c r="K94" s="401"/>
      <c r="L94" s="401"/>
      <c r="M94" s="401"/>
      <c r="N94" s="401"/>
      <c r="O94" s="401"/>
      <c r="P94" s="401"/>
      <c r="Q94" s="401"/>
      <c r="R94" s="389"/>
      <c r="S94" s="389"/>
      <c r="T94" s="389"/>
      <c r="U94" s="521"/>
      <c r="V94" s="402"/>
      <c r="W94" s="402"/>
      <c r="X94" s="403"/>
      <c r="Y94" s="404"/>
      <c r="Z94" s="400"/>
      <c r="AA94" s="401"/>
      <c r="AB94" s="401"/>
      <c r="AC94" s="401"/>
      <c r="AD94" s="401"/>
      <c r="AE94" s="401"/>
      <c r="AF94" s="401"/>
      <c r="AG94" s="401"/>
      <c r="AH94" s="401"/>
      <c r="AI94" s="401"/>
      <c r="AJ94" s="401"/>
      <c r="AK94" s="385"/>
      <c r="AL94" s="439"/>
      <c r="AM94" s="389"/>
      <c r="AN94" s="521"/>
      <c r="AO94" s="402"/>
      <c r="AP94" s="402"/>
      <c r="AQ94" s="595">
        <v>27</v>
      </c>
      <c r="AR94" s="587">
        <v>15</v>
      </c>
      <c r="AS94" s="400">
        <v>15</v>
      </c>
      <c r="AT94" s="578">
        <v>19.337309999999999</v>
      </c>
      <c r="AU94" s="401">
        <v>13.40446</v>
      </c>
      <c r="AV94" s="401">
        <v>2.3376600000000001</v>
      </c>
      <c r="AW94" s="401">
        <v>9.8656000000000006</v>
      </c>
      <c r="AX94" s="401">
        <v>2.6328800000000001</v>
      </c>
      <c r="AY94" s="401">
        <v>0</v>
      </c>
      <c r="AZ94" s="401">
        <v>0</v>
      </c>
      <c r="BA94" s="401">
        <v>1.60788</v>
      </c>
      <c r="BB94" s="401">
        <v>86.58</v>
      </c>
      <c r="BC94" s="401">
        <v>9.8656000000000006</v>
      </c>
      <c r="BD94" s="385" t="s">
        <v>167</v>
      </c>
      <c r="BE94" s="439" t="s">
        <v>175</v>
      </c>
      <c r="BF94" s="389"/>
      <c r="BG94" s="521">
        <v>41</v>
      </c>
      <c r="BH94" s="402">
        <f t="shared" si="29"/>
        <v>716.1966666666666</v>
      </c>
      <c r="BI94" s="402">
        <f t="shared" si="30"/>
        <v>1.2891539999999999</v>
      </c>
    </row>
    <row r="95" spans="1:61" s="359" customFormat="1" ht="19.2" x14ac:dyDescent="0.3">
      <c r="A95" s="360" t="s">
        <v>183</v>
      </c>
      <c r="B95" s="579" t="s">
        <v>733</v>
      </c>
      <c r="C95" s="433" t="s">
        <v>632</v>
      </c>
      <c r="D95" s="361">
        <v>0.4</v>
      </c>
      <c r="E95" s="403"/>
      <c r="F95" s="404"/>
      <c r="G95" s="400"/>
      <c r="H95" s="401"/>
      <c r="I95" s="401"/>
      <c r="J95" s="401"/>
      <c r="K95" s="401"/>
      <c r="L95" s="401"/>
      <c r="M95" s="401"/>
      <c r="N95" s="401"/>
      <c r="O95" s="401"/>
      <c r="P95" s="401"/>
      <c r="Q95" s="401"/>
      <c r="R95" s="389"/>
      <c r="S95" s="389"/>
      <c r="T95" s="389"/>
      <c r="U95" s="521"/>
      <c r="V95" s="402"/>
      <c r="W95" s="402"/>
      <c r="X95" s="403"/>
      <c r="Y95" s="404"/>
      <c r="Z95" s="400"/>
      <c r="AA95" s="401"/>
      <c r="AB95" s="401"/>
      <c r="AC95" s="401"/>
      <c r="AD95" s="401"/>
      <c r="AE95" s="401"/>
      <c r="AF95" s="401"/>
      <c r="AG95" s="401"/>
      <c r="AH95" s="401"/>
      <c r="AI95" s="401"/>
      <c r="AJ95" s="401"/>
      <c r="AK95" s="385"/>
      <c r="AL95" s="439"/>
      <c r="AM95" s="389"/>
      <c r="AN95" s="521"/>
      <c r="AO95" s="402"/>
      <c r="AP95" s="402"/>
      <c r="AQ95" s="595">
        <v>105</v>
      </c>
      <c r="AR95" s="587">
        <v>15</v>
      </c>
      <c r="AS95" s="400">
        <v>15</v>
      </c>
      <c r="AT95" s="578">
        <v>63.0961</v>
      </c>
      <c r="AU95" s="401">
        <v>43.035870000000003</v>
      </c>
      <c r="AV95" s="401">
        <v>9.2494499999999995</v>
      </c>
      <c r="AW95" s="401">
        <f>9.90684+19.81368</f>
        <v>29.72052</v>
      </c>
      <c r="AX95" s="401">
        <v>9.2735299999999992</v>
      </c>
      <c r="AY95" s="401">
        <v>0</v>
      </c>
      <c r="AZ95" s="401">
        <v>0</v>
      </c>
      <c r="BA95" s="401">
        <v>5.3580699999999997</v>
      </c>
      <c r="BB95" s="401">
        <v>88.09</v>
      </c>
      <c r="BC95" s="401">
        <v>9.9068400000000008</v>
      </c>
      <c r="BD95" s="385" t="s">
        <v>167</v>
      </c>
      <c r="BE95" s="439" t="s">
        <v>175</v>
      </c>
      <c r="BF95" s="389"/>
      <c r="BG95" s="521">
        <v>90</v>
      </c>
      <c r="BH95" s="402">
        <f t="shared" si="29"/>
        <v>600.91523809523801</v>
      </c>
      <c r="BI95" s="402">
        <f t="shared" si="30"/>
        <v>4.2064066666666671</v>
      </c>
    </row>
    <row r="96" spans="1:61" s="359" customFormat="1" ht="19.2" x14ac:dyDescent="0.3">
      <c r="A96" s="360" t="s">
        <v>185</v>
      </c>
      <c r="B96" s="579" t="s">
        <v>734</v>
      </c>
      <c r="C96" s="433" t="s">
        <v>659</v>
      </c>
      <c r="D96" s="361">
        <v>0.4</v>
      </c>
      <c r="E96" s="403"/>
      <c r="F96" s="404"/>
      <c r="G96" s="400"/>
      <c r="H96" s="401"/>
      <c r="I96" s="401"/>
      <c r="J96" s="401"/>
      <c r="K96" s="401"/>
      <c r="L96" s="401"/>
      <c r="M96" s="401"/>
      <c r="N96" s="401"/>
      <c r="O96" s="401"/>
      <c r="P96" s="401"/>
      <c r="Q96" s="401"/>
      <c r="R96" s="389"/>
      <c r="S96" s="389"/>
      <c r="T96" s="389"/>
      <c r="U96" s="521"/>
      <c r="V96" s="402"/>
      <c r="W96" s="402"/>
      <c r="X96" s="403"/>
      <c r="Y96" s="404"/>
      <c r="Z96" s="400"/>
      <c r="AA96" s="401"/>
      <c r="AB96" s="401"/>
      <c r="AC96" s="401"/>
      <c r="AD96" s="401"/>
      <c r="AE96" s="401"/>
      <c r="AF96" s="401"/>
      <c r="AG96" s="401"/>
      <c r="AH96" s="401"/>
      <c r="AI96" s="401"/>
      <c r="AJ96" s="401"/>
      <c r="AK96" s="385"/>
      <c r="AL96" s="439"/>
      <c r="AM96" s="389"/>
      <c r="AN96" s="521"/>
      <c r="AO96" s="402"/>
      <c r="AP96" s="402"/>
      <c r="AQ96" s="595">
        <v>45</v>
      </c>
      <c r="AR96" s="587">
        <v>25</v>
      </c>
      <c r="AS96" s="400">
        <v>25</v>
      </c>
      <c r="AT96" s="578">
        <v>23.980699999999999</v>
      </c>
      <c r="AU96" s="401">
        <v>16.888819999999999</v>
      </c>
      <c r="AV96" s="401">
        <v>3.8961000000000001</v>
      </c>
      <c r="AW96" s="401">
        <v>9.8684799999999999</v>
      </c>
      <c r="AX96" s="401">
        <v>3.1253899999999999</v>
      </c>
      <c r="AY96" s="401">
        <v>0</v>
      </c>
      <c r="AZ96" s="401">
        <v>0</v>
      </c>
      <c r="BA96" s="401">
        <v>1.9383300000000001</v>
      </c>
      <c r="BB96" s="401">
        <v>86.58</v>
      </c>
      <c r="BC96" s="401">
        <v>9.8684799999999999</v>
      </c>
      <c r="BD96" s="385" t="s">
        <v>167</v>
      </c>
      <c r="BE96" s="439" t="s">
        <v>175</v>
      </c>
      <c r="BF96" s="389"/>
      <c r="BG96" s="521">
        <v>93</v>
      </c>
      <c r="BH96" s="402">
        <f t="shared" ref="BH96:BH99" si="38">AT96/AQ96*1000</f>
        <v>532.90444444444438</v>
      </c>
      <c r="BI96" s="402">
        <f t="shared" ref="BI96:BI99" si="39">AT96/AR96</f>
        <v>0.95922799999999997</v>
      </c>
    </row>
    <row r="97" spans="1:61" s="359" customFormat="1" ht="19.2" x14ac:dyDescent="0.3">
      <c r="A97" s="360" t="s">
        <v>187</v>
      </c>
      <c r="B97" s="579" t="s">
        <v>735</v>
      </c>
      <c r="C97" s="433" t="s">
        <v>682</v>
      </c>
      <c r="D97" s="361">
        <v>0.4</v>
      </c>
      <c r="E97" s="403"/>
      <c r="F97" s="404"/>
      <c r="G97" s="400"/>
      <c r="H97" s="401"/>
      <c r="I97" s="401"/>
      <c r="J97" s="401"/>
      <c r="K97" s="401"/>
      <c r="L97" s="401"/>
      <c r="M97" s="401"/>
      <c r="N97" s="401"/>
      <c r="O97" s="401"/>
      <c r="P97" s="401"/>
      <c r="Q97" s="401"/>
      <c r="R97" s="389"/>
      <c r="S97" s="389"/>
      <c r="T97" s="389"/>
      <c r="U97" s="521"/>
      <c r="V97" s="402"/>
      <c r="W97" s="402"/>
      <c r="X97" s="403"/>
      <c r="Y97" s="404"/>
      <c r="Z97" s="400"/>
      <c r="AA97" s="401"/>
      <c r="AB97" s="401"/>
      <c r="AC97" s="401"/>
      <c r="AD97" s="401"/>
      <c r="AE97" s="401"/>
      <c r="AF97" s="401"/>
      <c r="AG97" s="401"/>
      <c r="AH97" s="401"/>
      <c r="AI97" s="401"/>
      <c r="AJ97" s="401"/>
      <c r="AK97" s="385"/>
      <c r="AL97" s="439"/>
      <c r="AM97" s="389"/>
      <c r="AN97" s="521"/>
      <c r="AO97" s="402"/>
      <c r="AP97" s="402"/>
      <c r="AQ97" s="595">
        <v>120</v>
      </c>
      <c r="AR97" s="587">
        <v>15</v>
      </c>
      <c r="AS97" s="400">
        <v>15</v>
      </c>
      <c r="AT97" s="578">
        <v>81.85566</v>
      </c>
      <c r="AU97" s="401">
        <v>57.066409999999998</v>
      </c>
      <c r="AV97" s="401">
        <v>10.3896</v>
      </c>
      <c r="AW97" s="401">
        <f>19.72644+19.72644</f>
        <v>39.45288</v>
      </c>
      <c r="AX97" s="401">
        <v>11.26806</v>
      </c>
      <c r="AY97" s="401">
        <v>0</v>
      </c>
      <c r="AZ97" s="401">
        <v>0</v>
      </c>
      <c r="BA97" s="401">
        <v>6.6245099999999999</v>
      </c>
      <c r="BB97" s="401">
        <v>86.58</v>
      </c>
      <c r="BC97" s="401">
        <v>9.8632200000000001</v>
      </c>
      <c r="BD97" s="385" t="s">
        <v>167</v>
      </c>
      <c r="BE97" s="439" t="s">
        <v>175</v>
      </c>
      <c r="BF97" s="389"/>
      <c r="BG97" s="521">
        <v>98</v>
      </c>
      <c r="BH97" s="402">
        <f t="shared" si="38"/>
        <v>682.13049999999998</v>
      </c>
      <c r="BI97" s="402">
        <f t="shared" si="39"/>
        <v>5.4570439999999998</v>
      </c>
    </row>
    <row r="98" spans="1:61" s="359" customFormat="1" ht="19.2" x14ac:dyDescent="0.3">
      <c r="A98" s="360" t="s">
        <v>190</v>
      </c>
      <c r="B98" s="579" t="s">
        <v>736</v>
      </c>
      <c r="C98" s="433" t="s">
        <v>699</v>
      </c>
      <c r="D98" s="361">
        <v>0.4</v>
      </c>
      <c r="E98" s="403"/>
      <c r="F98" s="404"/>
      <c r="G98" s="400"/>
      <c r="H98" s="401"/>
      <c r="I98" s="401"/>
      <c r="J98" s="401"/>
      <c r="K98" s="401"/>
      <c r="L98" s="401"/>
      <c r="M98" s="401"/>
      <c r="N98" s="401"/>
      <c r="O98" s="401"/>
      <c r="P98" s="401"/>
      <c r="Q98" s="401"/>
      <c r="R98" s="389"/>
      <c r="S98" s="389"/>
      <c r="T98" s="389"/>
      <c r="U98" s="521"/>
      <c r="V98" s="402"/>
      <c r="W98" s="402"/>
      <c r="X98" s="403"/>
      <c r="Y98" s="404"/>
      <c r="Z98" s="400"/>
      <c r="AA98" s="401"/>
      <c r="AB98" s="401"/>
      <c r="AC98" s="401"/>
      <c r="AD98" s="401"/>
      <c r="AE98" s="401"/>
      <c r="AF98" s="401"/>
      <c r="AG98" s="401"/>
      <c r="AH98" s="401"/>
      <c r="AI98" s="401"/>
      <c r="AJ98" s="401"/>
      <c r="AK98" s="385"/>
      <c r="AL98" s="439"/>
      <c r="AM98" s="389"/>
      <c r="AN98" s="521"/>
      <c r="AO98" s="402"/>
      <c r="AP98" s="402"/>
      <c r="AQ98" s="595">
        <v>180</v>
      </c>
      <c r="AR98" s="587">
        <v>15</v>
      </c>
      <c r="AS98" s="400">
        <v>15</v>
      </c>
      <c r="AT98" s="578">
        <v>106.47761</v>
      </c>
      <c r="AU98" s="401">
        <v>73.761859999999999</v>
      </c>
      <c r="AV98" s="401">
        <v>15.5844</v>
      </c>
      <c r="AW98" s="401">
        <v>49.310949999999998</v>
      </c>
      <c r="AX98" s="401">
        <v>14.549609999999999</v>
      </c>
      <c r="AY98" s="401">
        <v>0</v>
      </c>
      <c r="AZ98" s="401">
        <v>0</v>
      </c>
      <c r="BA98" s="401">
        <v>8.8655200000000001</v>
      </c>
      <c r="BB98" s="401">
        <v>86.58</v>
      </c>
      <c r="BC98" s="401">
        <v>9.86219</v>
      </c>
      <c r="BD98" s="385" t="s">
        <v>167</v>
      </c>
      <c r="BE98" s="439" t="s">
        <v>175</v>
      </c>
      <c r="BF98" s="389"/>
      <c r="BG98" s="521">
        <v>101</v>
      </c>
      <c r="BH98" s="402">
        <f t="shared" si="38"/>
        <v>591.54227777777783</v>
      </c>
      <c r="BI98" s="402">
        <f t="shared" si="39"/>
        <v>7.0985073333333331</v>
      </c>
    </row>
    <row r="99" spans="1:61" s="359" customFormat="1" x14ac:dyDescent="0.3">
      <c r="A99" s="360"/>
      <c r="B99" s="382"/>
      <c r="C99" s="433"/>
      <c r="D99" s="361">
        <v>0.4</v>
      </c>
      <c r="E99" s="403"/>
      <c r="F99" s="404"/>
      <c r="G99" s="400"/>
      <c r="H99" s="401"/>
      <c r="I99" s="401"/>
      <c r="J99" s="401"/>
      <c r="K99" s="401"/>
      <c r="L99" s="401"/>
      <c r="M99" s="401"/>
      <c r="N99" s="401"/>
      <c r="O99" s="401"/>
      <c r="P99" s="401"/>
      <c r="Q99" s="401"/>
      <c r="R99" s="389"/>
      <c r="S99" s="389"/>
      <c r="T99" s="389"/>
      <c r="U99" s="521"/>
      <c r="V99" s="402"/>
      <c r="W99" s="402"/>
      <c r="X99" s="403"/>
      <c r="Y99" s="404"/>
      <c r="Z99" s="400"/>
      <c r="AA99" s="401"/>
      <c r="AB99" s="401"/>
      <c r="AC99" s="401"/>
      <c r="AD99" s="401"/>
      <c r="AE99" s="401"/>
      <c r="AF99" s="401"/>
      <c r="AG99" s="401"/>
      <c r="AH99" s="401"/>
      <c r="AI99" s="401"/>
      <c r="AJ99" s="401"/>
      <c r="AK99" s="385"/>
      <c r="AL99" s="439"/>
      <c r="AM99" s="389"/>
      <c r="AN99" s="521"/>
      <c r="AO99" s="402"/>
      <c r="AP99" s="402"/>
      <c r="AQ99" s="595"/>
      <c r="AR99" s="587"/>
      <c r="AS99" s="400"/>
      <c r="AT99" s="401"/>
      <c r="AU99" s="401"/>
      <c r="AV99" s="401"/>
      <c r="AW99" s="401"/>
      <c r="AX99" s="401"/>
      <c r="AY99" s="401"/>
      <c r="AZ99" s="401"/>
      <c r="BA99" s="401"/>
      <c r="BB99" s="401"/>
      <c r="BC99" s="401"/>
      <c r="BD99" s="385"/>
      <c r="BE99" s="439"/>
      <c r="BF99" s="389"/>
      <c r="BG99" s="521"/>
      <c r="BH99" s="402" t="e">
        <f t="shared" si="38"/>
        <v>#DIV/0!</v>
      </c>
      <c r="BI99" s="402" t="e">
        <f t="shared" si="39"/>
        <v>#DIV/0!</v>
      </c>
    </row>
    <row r="100" spans="1:61" s="359" customFormat="1" x14ac:dyDescent="0.3">
      <c r="A100" s="360"/>
      <c r="B100" s="382"/>
      <c r="C100" s="433"/>
      <c r="D100" s="361"/>
      <c r="E100" s="403"/>
      <c r="F100" s="404"/>
      <c r="G100" s="400"/>
      <c r="H100" s="401"/>
      <c r="I100" s="401"/>
      <c r="J100" s="401"/>
      <c r="K100" s="401"/>
      <c r="L100" s="401"/>
      <c r="M100" s="401"/>
      <c r="N100" s="401"/>
      <c r="O100" s="401"/>
      <c r="P100" s="401"/>
      <c r="Q100" s="401"/>
      <c r="R100" s="389"/>
      <c r="S100" s="389"/>
      <c r="T100" s="389"/>
      <c r="U100" s="521"/>
      <c r="V100" s="402" t="e">
        <f t="shared" ref="V100:V126" si="40">H100/E100*1000</f>
        <v>#DIV/0!</v>
      </c>
      <c r="W100" s="402" t="e">
        <f t="shared" ref="W100:W126" si="41">H100/F100</f>
        <v>#DIV/0!</v>
      </c>
      <c r="X100" s="403"/>
      <c r="Y100" s="404"/>
      <c r="Z100" s="400"/>
      <c r="AA100" s="401"/>
      <c r="AB100" s="401"/>
      <c r="AC100" s="401"/>
      <c r="AD100" s="401"/>
      <c r="AE100" s="401"/>
      <c r="AF100" s="401"/>
      <c r="AG100" s="401"/>
      <c r="AH100" s="401"/>
      <c r="AI100" s="401"/>
      <c r="AJ100" s="401"/>
      <c r="AK100" s="389"/>
      <c r="AL100" s="389"/>
      <c r="AM100" s="389"/>
      <c r="AN100" s="521"/>
      <c r="AO100" s="402" t="e">
        <f t="shared" ref="AO100:AO126" si="42">AA100/X100*1000</f>
        <v>#DIV/0!</v>
      </c>
      <c r="AP100" s="402" t="e">
        <f t="shared" ref="AP100:AP126" si="43">AA100/Y100</f>
        <v>#DIV/0!</v>
      </c>
      <c r="AQ100" s="595"/>
      <c r="AR100" s="587"/>
      <c r="AS100" s="400"/>
      <c r="AT100" s="401"/>
      <c r="AU100" s="401"/>
      <c r="AV100" s="401"/>
      <c r="AW100" s="401"/>
      <c r="AX100" s="401"/>
      <c r="AY100" s="401"/>
      <c r="AZ100" s="401"/>
      <c r="BA100" s="401"/>
      <c r="BB100" s="401"/>
      <c r="BC100" s="401"/>
      <c r="BD100" s="389"/>
      <c r="BE100" s="389"/>
      <c r="BF100" s="389"/>
      <c r="BG100" s="521"/>
      <c r="BH100" s="402" t="e">
        <f t="shared" ref="BH100:BH128" si="44">AT100/AQ100*1000</f>
        <v>#DIV/0!</v>
      </c>
      <c r="BI100" s="402" t="e">
        <f t="shared" ref="BI100:BI128" si="45">AT100/AR100</f>
        <v>#DIV/0!</v>
      </c>
    </row>
    <row r="101" spans="1:61" s="359" customFormat="1" ht="24.75" customHeight="1" x14ac:dyDescent="0.3">
      <c r="A101" s="355" t="s">
        <v>187</v>
      </c>
      <c r="B101" s="356" t="s">
        <v>192</v>
      </c>
      <c r="C101" s="432"/>
      <c r="D101" s="357">
        <v>0.4</v>
      </c>
      <c r="E101" s="396">
        <f t="shared" ref="E101:Q101" si="46">SUM(E102:E145)</f>
        <v>1421</v>
      </c>
      <c r="F101" s="396">
        <f t="shared" si="46"/>
        <v>245</v>
      </c>
      <c r="G101" s="396">
        <f t="shared" si="46"/>
        <v>245</v>
      </c>
      <c r="H101" s="397">
        <f t="shared" si="46"/>
        <v>980.36083000000008</v>
      </c>
      <c r="I101" s="397">
        <f t="shared" si="46"/>
        <v>687.26946999999996</v>
      </c>
      <c r="J101" s="397">
        <f t="shared" si="46"/>
        <v>147.55663999999999</v>
      </c>
      <c r="K101" s="397">
        <f t="shared" si="46"/>
        <v>445.24788999999998</v>
      </c>
      <c r="L101" s="397">
        <f t="shared" si="46"/>
        <v>136.57997</v>
      </c>
      <c r="M101" s="397">
        <f t="shared" si="46"/>
        <v>0</v>
      </c>
      <c r="N101" s="397">
        <f t="shared" si="46"/>
        <v>0</v>
      </c>
      <c r="O101" s="397">
        <f t="shared" si="46"/>
        <v>69.546019999999999</v>
      </c>
      <c r="P101" s="397">
        <f t="shared" si="46"/>
        <v>1453.7599999999998</v>
      </c>
      <c r="Q101" s="397">
        <f t="shared" si="46"/>
        <v>129.17867999999999</v>
      </c>
      <c r="R101" s="398"/>
      <c r="S101" s="398"/>
      <c r="T101" s="398"/>
      <c r="U101" s="520"/>
      <c r="V101" s="399">
        <f t="shared" si="40"/>
        <v>689.90909922589731</v>
      </c>
      <c r="W101" s="399">
        <f t="shared" si="41"/>
        <v>4.0014727755102042</v>
      </c>
      <c r="X101" s="396">
        <f t="shared" ref="X101:AJ101" si="47">SUM(X102:X145)</f>
        <v>2119</v>
      </c>
      <c r="Y101" s="396">
        <f t="shared" si="47"/>
        <v>170</v>
      </c>
      <c r="Z101" s="396">
        <f t="shared" si="47"/>
        <v>170</v>
      </c>
      <c r="AA101" s="397">
        <f t="shared" si="47"/>
        <v>1344.1735299999998</v>
      </c>
      <c r="AB101" s="397">
        <f t="shared" si="47"/>
        <v>920.2248699999999</v>
      </c>
      <c r="AC101" s="397">
        <f t="shared" si="47"/>
        <v>221.46786</v>
      </c>
      <c r="AD101" s="397">
        <f t="shared" si="47"/>
        <v>585.30552999999998</v>
      </c>
      <c r="AE101" s="397">
        <f t="shared" si="47"/>
        <v>191.17777999999998</v>
      </c>
      <c r="AF101" s="397">
        <f t="shared" si="47"/>
        <v>0</v>
      </c>
      <c r="AG101" s="397">
        <f t="shared" si="47"/>
        <v>0</v>
      </c>
      <c r="AH101" s="397">
        <f t="shared" si="47"/>
        <v>113.30736999999999</v>
      </c>
      <c r="AI101" s="397">
        <f t="shared" si="47"/>
        <v>1149.22</v>
      </c>
      <c r="AJ101" s="397">
        <f t="shared" si="47"/>
        <v>103.59613</v>
      </c>
      <c r="AK101" s="398"/>
      <c r="AL101" s="398"/>
      <c r="AM101" s="398"/>
      <c r="AN101" s="520"/>
      <c r="AO101" s="399">
        <f t="shared" si="42"/>
        <v>634.34333647947142</v>
      </c>
      <c r="AP101" s="399">
        <f t="shared" si="43"/>
        <v>7.9069031176470572</v>
      </c>
      <c r="AQ101" s="396">
        <f t="shared" ref="AQ101:BC101" si="48">SUM(AQ102:AQ145)</f>
        <v>1582</v>
      </c>
      <c r="AR101" s="396">
        <f t="shared" si="48"/>
        <v>335</v>
      </c>
      <c r="AS101" s="396">
        <f t="shared" si="48"/>
        <v>335</v>
      </c>
      <c r="AT101" s="397">
        <f t="shared" si="48"/>
        <v>955.12815999999998</v>
      </c>
      <c r="AU101" s="397">
        <f t="shared" si="48"/>
        <v>677.50869000000023</v>
      </c>
      <c r="AV101" s="397">
        <f t="shared" si="48"/>
        <v>176.91338999999999</v>
      </c>
      <c r="AW101" s="397">
        <f t="shared" si="48"/>
        <v>426.77488000000005</v>
      </c>
      <c r="AX101" s="397">
        <f t="shared" si="48"/>
        <v>125.33559000000002</v>
      </c>
      <c r="AY101" s="397">
        <f t="shared" si="48"/>
        <v>0</v>
      </c>
      <c r="AZ101" s="397">
        <f t="shared" si="48"/>
        <v>0</v>
      </c>
      <c r="BA101" s="397">
        <f t="shared" si="48"/>
        <v>74.960697999999994</v>
      </c>
      <c r="BB101" s="397">
        <f t="shared" si="48"/>
        <v>1889.9299999999994</v>
      </c>
      <c r="BC101" s="397">
        <f t="shared" si="48"/>
        <v>168.64006000000001</v>
      </c>
      <c r="BD101" s="398"/>
      <c r="BE101" s="398"/>
      <c r="BF101" s="398"/>
      <c r="BG101" s="520"/>
      <c r="BH101" s="399">
        <f t="shared" si="44"/>
        <v>603.74725663716811</v>
      </c>
      <c r="BI101" s="399">
        <f t="shared" si="45"/>
        <v>2.8511288358208953</v>
      </c>
    </row>
    <row r="102" spans="1:61" s="359" customFormat="1" ht="19.2" x14ac:dyDescent="0.3">
      <c r="A102" s="360" t="s">
        <v>179</v>
      </c>
      <c r="B102" s="516" t="s">
        <v>257</v>
      </c>
      <c r="C102" s="434" t="s">
        <v>258</v>
      </c>
      <c r="D102" s="361">
        <v>0.4</v>
      </c>
      <c r="E102" s="403">
        <v>22</v>
      </c>
      <c r="F102" s="404">
        <v>15</v>
      </c>
      <c r="G102" s="400">
        <v>15</v>
      </c>
      <c r="H102" s="419">
        <v>34.99897</v>
      </c>
      <c r="I102" s="401">
        <v>23.77281</v>
      </c>
      <c r="J102" s="401">
        <v>2.2844799999999998</v>
      </c>
      <c r="K102" s="401">
        <v>18.66658</v>
      </c>
      <c r="L102" s="401">
        <v>5.4287200000000002</v>
      </c>
      <c r="M102" s="401">
        <v>0</v>
      </c>
      <c r="N102" s="401">
        <v>0</v>
      </c>
      <c r="O102" s="401">
        <v>2.4805000000000001</v>
      </c>
      <c r="P102" s="401">
        <v>103.84</v>
      </c>
      <c r="Q102" s="401">
        <v>9.3332899999999999</v>
      </c>
      <c r="R102" s="385" t="s">
        <v>167</v>
      </c>
      <c r="S102" s="439" t="s">
        <v>175</v>
      </c>
      <c r="T102" s="389"/>
      <c r="U102" s="521">
        <v>7</v>
      </c>
      <c r="V102" s="402">
        <f t="shared" si="40"/>
        <v>1590.8622727272727</v>
      </c>
      <c r="W102" s="402">
        <f t="shared" si="41"/>
        <v>2.3332646666666665</v>
      </c>
      <c r="X102" s="403"/>
      <c r="Y102" s="404"/>
      <c r="Z102" s="400"/>
      <c r="AA102" s="419"/>
      <c r="AB102" s="401"/>
      <c r="AC102" s="401"/>
      <c r="AD102" s="401"/>
      <c r="AE102" s="401"/>
      <c r="AF102" s="401"/>
      <c r="AG102" s="401"/>
      <c r="AH102" s="401"/>
      <c r="AI102" s="401"/>
      <c r="AJ102" s="401"/>
      <c r="AK102" s="385"/>
      <c r="AL102" s="439"/>
      <c r="AM102" s="389"/>
      <c r="AN102" s="521"/>
      <c r="AO102" s="402" t="e">
        <f t="shared" si="42"/>
        <v>#DIV/0!</v>
      </c>
      <c r="AP102" s="402" t="e">
        <f t="shared" si="43"/>
        <v>#DIV/0!</v>
      </c>
      <c r="AQ102" s="595"/>
      <c r="AR102" s="587"/>
      <c r="AS102" s="400"/>
      <c r="AT102" s="419"/>
      <c r="AU102" s="401"/>
      <c r="AV102" s="401"/>
      <c r="AW102" s="401"/>
      <c r="AX102" s="401"/>
      <c r="AY102" s="401"/>
      <c r="AZ102" s="401"/>
      <c r="BA102" s="401"/>
      <c r="BB102" s="401"/>
      <c r="BC102" s="401"/>
      <c r="BD102" s="385"/>
      <c r="BE102" s="439"/>
      <c r="BF102" s="389"/>
      <c r="BG102" s="521"/>
      <c r="BH102" s="402" t="e">
        <f t="shared" si="44"/>
        <v>#DIV/0!</v>
      </c>
      <c r="BI102" s="402" t="e">
        <f t="shared" si="45"/>
        <v>#DIV/0!</v>
      </c>
    </row>
    <row r="103" spans="1:61" s="359" customFormat="1" ht="19.2" x14ac:dyDescent="0.3">
      <c r="A103" s="360" t="s">
        <v>183</v>
      </c>
      <c r="B103" s="513" t="s">
        <v>267</v>
      </c>
      <c r="C103" s="434" t="s">
        <v>268</v>
      </c>
      <c r="D103" s="361">
        <v>0.4</v>
      </c>
      <c r="E103" s="403">
        <v>60</v>
      </c>
      <c r="F103" s="404">
        <v>15</v>
      </c>
      <c r="G103" s="400">
        <v>15</v>
      </c>
      <c r="H103" s="419">
        <v>11.544</v>
      </c>
      <c r="I103" s="401">
        <v>8.4610000000000003</v>
      </c>
      <c r="J103" s="401">
        <v>6.2304000000000004</v>
      </c>
      <c r="K103" s="401">
        <v>0</v>
      </c>
      <c r="L103" s="401">
        <v>1.38</v>
      </c>
      <c r="M103" s="401">
        <v>0</v>
      </c>
      <c r="N103" s="401">
        <v>0</v>
      </c>
      <c r="O103" s="401">
        <v>0.77200000000000002</v>
      </c>
      <c r="P103" s="401">
        <v>103.84</v>
      </c>
      <c r="Q103" s="401">
        <v>9.5186399999999995</v>
      </c>
      <c r="R103" s="385" t="s">
        <v>167</v>
      </c>
      <c r="S103" s="439" t="s">
        <v>175</v>
      </c>
      <c r="T103" s="389"/>
      <c r="U103" s="521">
        <v>29</v>
      </c>
      <c r="V103" s="402">
        <f t="shared" si="40"/>
        <v>192.4</v>
      </c>
      <c r="W103" s="402">
        <f t="shared" si="41"/>
        <v>0.76960000000000006</v>
      </c>
      <c r="X103" s="403"/>
      <c r="Y103" s="404"/>
      <c r="Z103" s="400"/>
      <c r="AA103" s="419"/>
      <c r="AB103" s="401"/>
      <c r="AC103" s="401"/>
      <c r="AD103" s="401"/>
      <c r="AE103" s="401"/>
      <c r="AF103" s="401"/>
      <c r="AG103" s="401"/>
      <c r="AH103" s="401"/>
      <c r="AI103" s="401"/>
      <c r="AJ103" s="401"/>
      <c r="AK103" s="385"/>
      <c r="AL103" s="439"/>
      <c r="AM103" s="389"/>
      <c r="AN103" s="521"/>
      <c r="AO103" s="402" t="e">
        <f t="shared" si="42"/>
        <v>#DIV/0!</v>
      </c>
      <c r="AP103" s="402" t="e">
        <f t="shared" si="43"/>
        <v>#DIV/0!</v>
      </c>
      <c r="AQ103" s="595"/>
      <c r="AR103" s="587"/>
      <c r="AS103" s="400"/>
      <c r="AT103" s="419"/>
      <c r="AU103" s="401"/>
      <c r="AV103" s="401"/>
      <c r="AW103" s="401"/>
      <c r="AX103" s="401"/>
      <c r="AY103" s="401"/>
      <c r="AZ103" s="401"/>
      <c r="BA103" s="401"/>
      <c r="BB103" s="401"/>
      <c r="BC103" s="401"/>
      <c r="BD103" s="385"/>
      <c r="BE103" s="439"/>
      <c r="BF103" s="389"/>
      <c r="BG103" s="521"/>
      <c r="BH103" s="402" t="e">
        <f t="shared" si="44"/>
        <v>#DIV/0!</v>
      </c>
      <c r="BI103" s="402" t="e">
        <f t="shared" si="45"/>
        <v>#DIV/0!</v>
      </c>
    </row>
    <row r="104" spans="1:61" s="359" customFormat="1" ht="19.2" x14ac:dyDescent="0.3">
      <c r="A104" s="360" t="s">
        <v>185</v>
      </c>
      <c r="B104" s="513" t="s">
        <v>277</v>
      </c>
      <c r="C104" s="434" t="s">
        <v>278</v>
      </c>
      <c r="D104" s="361">
        <v>0.4</v>
      </c>
      <c r="E104" s="403">
        <v>220</v>
      </c>
      <c r="F104" s="404">
        <v>15</v>
      </c>
      <c r="G104" s="400">
        <v>15</v>
      </c>
      <c r="H104" s="419">
        <v>267.10718000000003</v>
      </c>
      <c r="I104" s="401">
        <v>195.27784</v>
      </c>
      <c r="J104" s="401">
        <v>22.844799999999999</v>
      </c>
      <c r="K104" s="401">
        <f>49.00955+36.01644+58.81146</f>
        <v>143.83744999999999</v>
      </c>
      <c r="L104" s="401">
        <v>33.490229999999997</v>
      </c>
      <c r="M104" s="401">
        <v>0</v>
      </c>
      <c r="N104" s="401">
        <v>0</v>
      </c>
      <c r="O104" s="401">
        <v>16.945530000000002</v>
      </c>
      <c r="P104" s="401">
        <v>103.84</v>
      </c>
      <c r="Q104" s="401">
        <v>9.8019099999999995</v>
      </c>
      <c r="R104" s="385" t="s">
        <v>167</v>
      </c>
      <c r="S104" s="439" t="s">
        <v>175</v>
      </c>
      <c r="T104" s="389"/>
      <c r="U104" s="521">
        <v>58</v>
      </c>
      <c r="V104" s="402">
        <f t="shared" si="40"/>
        <v>1214.1235454545456</v>
      </c>
      <c r="W104" s="402">
        <f t="shared" si="41"/>
        <v>17.807145333333334</v>
      </c>
      <c r="X104" s="403"/>
      <c r="Y104" s="404"/>
      <c r="Z104" s="400"/>
      <c r="AA104" s="419"/>
      <c r="AB104" s="401"/>
      <c r="AC104" s="401"/>
      <c r="AD104" s="401"/>
      <c r="AE104" s="401"/>
      <c r="AF104" s="401"/>
      <c r="AG104" s="401"/>
      <c r="AH104" s="401"/>
      <c r="AI104" s="401"/>
      <c r="AJ104" s="401"/>
      <c r="AK104" s="385"/>
      <c r="AL104" s="439"/>
      <c r="AM104" s="389"/>
      <c r="AN104" s="521"/>
      <c r="AO104" s="402" t="e">
        <f t="shared" si="42"/>
        <v>#DIV/0!</v>
      </c>
      <c r="AP104" s="402" t="e">
        <f t="shared" si="43"/>
        <v>#DIV/0!</v>
      </c>
      <c r="AQ104" s="595"/>
      <c r="AR104" s="587"/>
      <c r="AS104" s="400"/>
      <c r="AT104" s="419"/>
      <c r="AU104" s="401"/>
      <c r="AV104" s="401"/>
      <c r="AW104" s="401"/>
      <c r="AX104" s="401"/>
      <c r="AY104" s="401"/>
      <c r="AZ104" s="401"/>
      <c r="BA104" s="401"/>
      <c r="BB104" s="401"/>
      <c r="BC104" s="401"/>
      <c r="BD104" s="385"/>
      <c r="BE104" s="439"/>
      <c r="BF104" s="389"/>
      <c r="BG104" s="521"/>
      <c r="BH104" s="402" t="e">
        <f t="shared" si="44"/>
        <v>#DIV/0!</v>
      </c>
      <c r="BI104" s="402" t="e">
        <f t="shared" si="45"/>
        <v>#DIV/0!</v>
      </c>
    </row>
    <row r="105" spans="1:61" s="359" customFormat="1" ht="19.2" x14ac:dyDescent="0.3">
      <c r="A105" s="360" t="s">
        <v>187</v>
      </c>
      <c r="B105" s="513" t="s">
        <v>392</v>
      </c>
      <c r="C105" s="434" t="s">
        <v>291</v>
      </c>
      <c r="D105" s="361">
        <v>0.4</v>
      </c>
      <c r="E105" s="403">
        <v>27</v>
      </c>
      <c r="F105" s="404">
        <v>15</v>
      </c>
      <c r="G105" s="400">
        <v>15</v>
      </c>
      <c r="H105" s="419">
        <v>5.4359999999999999</v>
      </c>
      <c r="I105" s="401">
        <v>3.8959999999999999</v>
      </c>
      <c r="J105" s="401">
        <v>2.8036799999999999</v>
      </c>
      <c r="K105" s="401">
        <v>0</v>
      </c>
      <c r="L105" s="401">
        <v>0.69099999999999995</v>
      </c>
      <c r="M105" s="401">
        <v>0</v>
      </c>
      <c r="N105" s="401">
        <v>0</v>
      </c>
      <c r="O105" s="401">
        <v>0.39300000000000002</v>
      </c>
      <c r="P105" s="401">
        <v>103.84</v>
      </c>
      <c r="Q105" s="401">
        <v>8.9735800000000001</v>
      </c>
      <c r="R105" s="385" t="s">
        <v>167</v>
      </c>
      <c r="S105" s="439" t="s">
        <v>175</v>
      </c>
      <c r="T105" s="389"/>
      <c r="U105" s="521">
        <v>91</v>
      </c>
      <c r="V105" s="402">
        <f t="shared" si="40"/>
        <v>201.33333333333334</v>
      </c>
      <c r="W105" s="402">
        <f t="shared" si="41"/>
        <v>0.3624</v>
      </c>
      <c r="X105" s="403"/>
      <c r="Y105" s="404"/>
      <c r="Z105" s="400"/>
      <c r="AA105" s="419"/>
      <c r="AB105" s="401"/>
      <c r="AC105" s="401"/>
      <c r="AD105" s="401"/>
      <c r="AE105" s="401"/>
      <c r="AF105" s="401"/>
      <c r="AG105" s="401"/>
      <c r="AH105" s="401"/>
      <c r="AI105" s="401"/>
      <c r="AJ105" s="401"/>
      <c r="AK105" s="385"/>
      <c r="AL105" s="439"/>
      <c r="AM105" s="389"/>
      <c r="AN105" s="521"/>
      <c r="AO105" s="402" t="e">
        <f t="shared" si="42"/>
        <v>#DIV/0!</v>
      </c>
      <c r="AP105" s="402" t="e">
        <f t="shared" si="43"/>
        <v>#DIV/0!</v>
      </c>
      <c r="AQ105" s="595"/>
      <c r="AR105" s="587"/>
      <c r="AS105" s="400"/>
      <c r="AT105" s="419"/>
      <c r="AU105" s="401"/>
      <c r="AV105" s="401"/>
      <c r="AW105" s="401"/>
      <c r="AX105" s="401"/>
      <c r="AY105" s="401"/>
      <c r="AZ105" s="401"/>
      <c r="BA105" s="401"/>
      <c r="BB105" s="401"/>
      <c r="BC105" s="401"/>
      <c r="BD105" s="385"/>
      <c r="BE105" s="439"/>
      <c r="BF105" s="389"/>
      <c r="BG105" s="521"/>
      <c r="BH105" s="402" t="e">
        <f t="shared" si="44"/>
        <v>#DIV/0!</v>
      </c>
      <c r="BI105" s="402" t="e">
        <f t="shared" si="45"/>
        <v>#DIV/0!</v>
      </c>
    </row>
    <row r="106" spans="1:61" s="359" customFormat="1" ht="19.2" x14ac:dyDescent="0.3">
      <c r="A106" s="360" t="s">
        <v>190</v>
      </c>
      <c r="B106" s="513" t="s">
        <v>296</v>
      </c>
      <c r="C106" s="434" t="s">
        <v>297</v>
      </c>
      <c r="D106" s="361">
        <v>0.4</v>
      </c>
      <c r="E106" s="403">
        <v>170</v>
      </c>
      <c r="F106" s="404">
        <v>50</v>
      </c>
      <c r="G106" s="400">
        <v>50</v>
      </c>
      <c r="H106" s="419">
        <v>186.93021999999999</v>
      </c>
      <c r="I106" s="401">
        <v>122.21810000000001</v>
      </c>
      <c r="J106" s="401">
        <v>17.652799999999999</v>
      </c>
      <c r="K106" s="401">
        <f>44.8679+17.94716+26.92074</f>
        <v>89.735799999999998</v>
      </c>
      <c r="L106" s="401">
        <v>30.211400000000001</v>
      </c>
      <c r="M106" s="401">
        <v>0</v>
      </c>
      <c r="N106" s="401">
        <v>0</v>
      </c>
      <c r="O106" s="401">
        <v>15.29058</v>
      </c>
      <c r="P106" s="401">
        <v>103.84</v>
      </c>
      <c r="Q106" s="401">
        <v>8.9735800000000001</v>
      </c>
      <c r="R106" s="385" t="s">
        <v>167</v>
      </c>
      <c r="S106" s="439" t="s">
        <v>175</v>
      </c>
      <c r="T106" s="389"/>
      <c r="U106" s="521">
        <v>108</v>
      </c>
      <c r="V106" s="402">
        <f t="shared" si="40"/>
        <v>1099.5895294117645</v>
      </c>
      <c r="W106" s="402">
        <f t="shared" si="41"/>
        <v>3.7386043999999998</v>
      </c>
      <c r="X106" s="403"/>
      <c r="Y106" s="404"/>
      <c r="Z106" s="400"/>
      <c r="AA106" s="419"/>
      <c r="AB106" s="401"/>
      <c r="AC106" s="401"/>
      <c r="AD106" s="401"/>
      <c r="AE106" s="401"/>
      <c r="AF106" s="401"/>
      <c r="AG106" s="401"/>
      <c r="AH106" s="401"/>
      <c r="AI106" s="401"/>
      <c r="AJ106" s="401"/>
      <c r="AK106" s="385"/>
      <c r="AL106" s="439"/>
      <c r="AM106" s="389"/>
      <c r="AN106" s="521"/>
      <c r="AO106" s="402" t="e">
        <f t="shared" si="42"/>
        <v>#DIV/0!</v>
      </c>
      <c r="AP106" s="402" t="e">
        <f t="shared" si="43"/>
        <v>#DIV/0!</v>
      </c>
      <c r="AQ106" s="595"/>
      <c r="AR106" s="587"/>
      <c r="AS106" s="400"/>
      <c r="AT106" s="419"/>
      <c r="AU106" s="401"/>
      <c r="AV106" s="401"/>
      <c r="AW106" s="401"/>
      <c r="AX106" s="401"/>
      <c r="AY106" s="401"/>
      <c r="AZ106" s="401"/>
      <c r="BA106" s="401"/>
      <c r="BB106" s="401"/>
      <c r="BC106" s="401"/>
      <c r="BD106" s="385"/>
      <c r="BE106" s="439"/>
      <c r="BF106" s="389"/>
      <c r="BG106" s="521"/>
      <c r="BH106" s="402" t="e">
        <f t="shared" si="44"/>
        <v>#DIV/0!</v>
      </c>
      <c r="BI106" s="402" t="e">
        <f t="shared" si="45"/>
        <v>#DIV/0!</v>
      </c>
    </row>
    <row r="107" spans="1:61" s="359" customFormat="1" ht="19.2" x14ac:dyDescent="0.3">
      <c r="A107" s="360" t="s">
        <v>598</v>
      </c>
      <c r="B107" s="513" t="s">
        <v>304</v>
      </c>
      <c r="C107" s="434" t="s">
        <v>305</v>
      </c>
      <c r="D107" s="361">
        <v>0.4</v>
      </c>
      <c r="E107" s="403">
        <v>100</v>
      </c>
      <c r="F107" s="404">
        <v>15</v>
      </c>
      <c r="G107" s="400">
        <v>15</v>
      </c>
      <c r="H107" s="419">
        <v>79.631370000000004</v>
      </c>
      <c r="I107" s="401">
        <v>52.362360000000002</v>
      </c>
      <c r="J107" s="401">
        <v>10.384</v>
      </c>
      <c r="K107" s="401">
        <v>35.89432</v>
      </c>
      <c r="L107" s="401">
        <v>12.443569999999999</v>
      </c>
      <c r="M107" s="401">
        <v>0</v>
      </c>
      <c r="N107" s="401">
        <v>0</v>
      </c>
      <c r="O107" s="401">
        <v>6.5694499999999998</v>
      </c>
      <c r="P107" s="401">
        <v>103.84</v>
      </c>
      <c r="Q107" s="401">
        <v>8.9735800000000001</v>
      </c>
      <c r="R107" s="385" t="s">
        <v>167</v>
      </c>
      <c r="S107" s="439" t="s">
        <v>175</v>
      </c>
      <c r="T107" s="389"/>
      <c r="U107" s="521">
        <v>129</v>
      </c>
      <c r="V107" s="402">
        <f t="shared" si="40"/>
        <v>796.31370000000004</v>
      </c>
      <c r="W107" s="402">
        <f t="shared" si="41"/>
        <v>5.3087580000000001</v>
      </c>
      <c r="X107" s="403"/>
      <c r="Y107" s="404"/>
      <c r="Z107" s="400"/>
      <c r="AA107" s="419"/>
      <c r="AB107" s="401"/>
      <c r="AC107" s="401"/>
      <c r="AD107" s="401"/>
      <c r="AE107" s="401"/>
      <c r="AF107" s="401"/>
      <c r="AG107" s="401"/>
      <c r="AH107" s="401"/>
      <c r="AI107" s="401"/>
      <c r="AJ107" s="401"/>
      <c r="AK107" s="385"/>
      <c r="AL107" s="439"/>
      <c r="AM107" s="389"/>
      <c r="AN107" s="521"/>
      <c r="AO107" s="402" t="e">
        <f t="shared" si="42"/>
        <v>#DIV/0!</v>
      </c>
      <c r="AP107" s="402" t="e">
        <f t="shared" si="43"/>
        <v>#DIV/0!</v>
      </c>
      <c r="AQ107" s="595"/>
      <c r="AR107" s="587"/>
      <c r="AS107" s="400"/>
      <c r="AT107" s="419"/>
      <c r="AU107" s="401"/>
      <c r="AV107" s="401"/>
      <c r="AW107" s="401"/>
      <c r="AX107" s="401"/>
      <c r="AY107" s="401"/>
      <c r="AZ107" s="401"/>
      <c r="BA107" s="401"/>
      <c r="BB107" s="401"/>
      <c r="BC107" s="401"/>
      <c r="BD107" s="385"/>
      <c r="BE107" s="439"/>
      <c r="BF107" s="389"/>
      <c r="BG107" s="521"/>
      <c r="BH107" s="402" t="e">
        <f t="shared" si="44"/>
        <v>#DIV/0!</v>
      </c>
      <c r="BI107" s="402" t="e">
        <f t="shared" si="45"/>
        <v>#DIV/0!</v>
      </c>
    </row>
    <row r="108" spans="1:61" s="359" customFormat="1" ht="19.2" x14ac:dyDescent="0.3">
      <c r="A108" s="360" t="s">
        <v>599</v>
      </c>
      <c r="B108" s="513" t="s">
        <v>313</v>
      </c>
      <c r="C108" s="434" t="s">
        <v>314</v>
      </c>
      <c r="D108" s="361">
        <v>0.4</v>
      </c>
      <c r="E108" s="403">
        <v>30</v>
      </c>
      <c r="F108" s="404">
        <v>15</v>
      </c>
      <c r="G108" s="400">
        <v>15</v>
      </c>
      <c r="H108" s="419">
        <v>18.522300000000001</v>
      </c>
      <c r="I108" s="401">
        <v>13.32241</v>
      </c>
      <c r="J108" s="401">
        <v>3.1152000000000002</v>
      </c>
      <c r="K108" s="401">
        <v>9.3332800000000002</v>
      </c>
      <c r="L108" s="401">
        <v>2.5128900000000001</v>
      </c>
      <c r="M108" s="401">
        <v>0</v>
      </c>
      <c r="N108" s="401">
        <v>0</v>
      </c>
      <c r="O108" s="401">
        <v>1.1747099999999999</v>
      </c>
      <c r="P108" s="401">
        <v>103.84</v>
      </c>
      <c r="Q108" s="401">
        <v>9.3332800000000002</v>
      </c>
      <c r="R108" s="385" t="s">
        <v>167</v>
      </c>
      <c r="S108" s="439" t="s">
        <v>175</v>
      </c>
      <c r="T108" s="389"/>
      <c r="U108" s="521">
        <v>152</v>
      </c>
      <c r="V108" s="402">
        <f t="shared" si="40"/>
        <v>617.41</v>
      </c>
      <c r="W108" s="402">
        <f t="shared" si="41"/>
        <v>1.23482</v>
      </c>
      <c r="X108" s="403"/>
      <c r="Y108" s="404"/>
      <c r="Z108" s="400"/>
      <c r="AA108" s="419"/>
      <c r="AB108" s="401"/>
      <c r="AC108" s="401"/>
      <c r="AD108" s="401"/>
      <c r="AE108" s="401"/>
      <c r="AF108" s="401"/>
      <c r="AG108" s="401"/>
      <c r="AH108" s="401"/>
      <c r="AI108" s="401"/>
      <c r="AJ108" s="401"/>
      <c r="AK108" s="385"/>
      <c r="AL108" s="439"/>
      <c r="AM108" s="389"/>
      <c r="AN108" s="521"/>
      <c r="AO108" s="402" t="e">
        <f t="shared" si="42"/>
        <v>#DIV/0!</v>
      </c>
      <c r="AP108" s="402" t="e">
        <f t="shared" si="43"/>
        <v>#DIV/0!</v>
      </c>
      <c r="AQ108" s="595"/>
      <c r="AR108" s="587"/>
      <c r="AS108" s="400"/>
      <c r="AT108" s="419"/>
      <c r="AU108" s="401"/>
      <c r="AV108" s="401"/>
      <c r="AW108" s="401"/>
      <c r="AX108" s="401"/>
      <c r="AY108" s="401"/>
      <c r="AZ108" s="401"/>
      <c r="BA108" s="401"/>
      <c r="BB108" s="401"/>
      <c r="BC108" s="401"/>
      <c r="BD108" s="385"/>
      <c r="BE108" s="439"/>
      <c r="BF108" s="389"/>
      <c r="BG108" s="521"/>
      <c r="BH108" s="402" t="e">
        <f t="shared" si="44"/>
        <v>#DIV/0!</v>
      </c>
      <c r="BI108" s="402" t="e">
        <f t="shared" si="45"/>
        <v>#DIV/0!</v>
      </c>
    </row>
    <row r="109" spans="1:61" s="359" customFormat="1" ht="19.2" x14ac:dyDescent="0.3">
      <c r="A109" s="360" t="s">
        <v>600</v>
      </c>
      <c r="B109" s="513" t="s">
        <v>315</v>
      </c>
      <c r="C109" s="434" t="s">
        <v>316</v>
      </c>
      <c r="D109" s="361">
        <v>0.4</v>
      </c>
      <c r="E109" s="403">
        <v>25</v>
      </c>
      <c r="F109" s="404">
        <v>15</v>
      </c>
      <c r="G109" s="400">
        <v>15</v>
      </c>
      <c r="H109" s="419">
        <v>4.6260000000000003</v>
      </c>
      <c r="I109" s="401">
        <v>3.3929999999999998</v>
      </c>
      <c r="J109" s="401">
        <v>2.5960000000000001</v>
      </c>
      <c r="K109" s="401">
        <v>0.79700000000000004</v>
      </c>
      <c r="L109" s="401">
        <v>0.57499999999999996</v>
      </c>
      <c r="M109" s="401">
        <v>0</v>
      </c>
      <c r="N109" s="401">
        <v>0</v>
      </c>
      <c r="O109" s="401">
        <v>0.30399999999999999</v>
      </c>
      <c r="P109" s="401">
        <v>103.84</v>
      </c>
      <c r="Q109" s="401">
        <v>9.3332899999999999</v>
      </c>
      <c r="R109" s="385" t="s">
        <v>167</v>
      </c>
      <c r="S109" s="439" t="s">
        <v>175</v>
      </c>
      <c r="T109" s="389"/>
      <c r="U109" s="521">
        <v>157</v>
      </c>
      <c r="V109" s="402">
        <f t="shared" si="40"/>
        <v>185.04000000000002</v>
      </c>
      <c r="W109" s="402">
        <f t="shared" si="41"/>
        <v>0.30840000000000001</v>
      </c>
      <c r="X109" s="403"/>
      <c r="Y109" s="404"/>
      <c r="Z109" s="400"/>
      <c r="AA109" s="419"/>
      <c r="AB109" s="401"/>
      <c r="AC109" s="401"/>
      <c r="AD109" s="401"/>
      <c r="AE109" s="401"/>
      <c r="AF109" s="401"/>
      <c r="AG109" s="401"/>
      <c r="AH109" s="401"/>
      <c r="AI109" s="401"/>
      <c r="AJ109" s="401"/>
      <c r="AK109" s="385"/>
      <c r="AL109" s="439"/>
      <c r="AM109" s="389"/>
      <c r="AN109" s="521"/>
      <c r="AO109" s="402" t="e">
        <f t="shared" si="42"/>
        <v>#DIV/0!</v>
      </c>
      <c r="AP109" s="402" t="e">
        <f t="shared" si="43"/>
        <v>#DIV/0!</v>
      </c>
      <c r="AQ109" s="595"/>
      <c r="AR109" s="587"/>
      <c r="AS109" s="400"/>
      <c r="AT109" s="419"/>
      <c r="AU109" s="401"/>
      <c r="AV109" s="401"/>
      <c r="AW109" s="401"/>
      <c r="AX109" s="401"/>
      <c r="AY109" s="401"/>
      <c r="AZ109" s="401"/>
      <c r="BA109" s="401"/>
      <c r="BB109" s="401"/>
      <c r="BC109" s="401"/>
      <c r="BD109" s="385"/>
      <c r="BE109" s="439"/>
      <c r="BF109" s="389"/>
      <c r="BG109" s="521"/>
      <c r="BH109" s="402" t="e">
        <f t="shared" si="44"/>
        <v>#DIV/0!</v>
      </c>
      <c r="BI109" s="402" t="e">
        <f t="shared" si="45"/>
        <v>#DIV/0!</v>
      </c>
    </row>
    <row r="110" spans="1:61" s="359" customFormat="1" ht="19.2" x14ac:dyDescent="0.3">
      <c r="A110" s="360" t="s">
        <v>601</v>
      </c>
      <c r="B110" s="513" t="s">
        <v>319</v>
      </c>
      <c r="C110" s="434" t="s">
        <v>320</v>
      </c>
      <c r="D110" s="361">
        <v>0.4</v>
      </c>
      <c r="E110" s="403">
        <v>48</v>
      </c>
      <c r="F110" s="404">
        <v>15</v>
      </c>
      <c r="G110" s="400">
        <v>15</v>
      </c>
      <c r="H110" s="419">
        <v>39.770809999999997</v>
      </c>
      <c r="I110" s="401">
        <v>29.962890000000002</v>
      </c>
      <c r="J110" s="401">
        <v>4.9843200000000003</v>
      </c>
      <c r="K110" s="401">
        <v>19.037299999999998</v>
      </c>
      <c r="L110" s="401">
        <v>4.7497199999999999</v>
      </c>
      <c r="M110" s="401">
        <v>0</v>
      </c>
      <c r="N110" s="401">
        <v>0</v>
      </c>
      <c r="O110" s="401">
        <v>2.26349</v>
      </c>
      <c r="P110" s="401">
        <v>103.84</v>
      </c>
      <c r="Q110" s="401">
        <v>9.5186499999999992</v>
      </c>
      <c r="R110" s="385" t="s">
        <v>167</v>
      </c>
      <c r="S110" s="439" t="s">
        <v>175</v>
      </c>
      <c r="T110" s="389"/>
      <c r="U110" s="521">
        <v>164</v>
      </c>
      <c r="V110" s="402">
        <f t="shared" si="40"/>
        <v>828.55854166666666</v>
      </c>
      <c r="W110" s="402">
        <f t="shared" si="41"/>
        <v>2.6513873333333331</v>
      </c>
      <c r="X110" s="403"/>
      <c r="Y110" s="404"/>
      <c r="Z110" s="400"/>
      <c r="AA110" s="419"/>
      <c r="AB110" s="401"/>
      <c r="AC110" s="401"/>
      <c r="AD110" s="401"/>
      <c r="AE110" s="401"/>
      <c r="AF110" s="401"/>
      <c r="AG110" s="401"/>
      <c r="AH110" s="401"/>
      <c r="AI110" s="401"/>
      <c r="AJ110" s="401"/>
      <c r="AK110" s="385"/>
      <c r="AL110" s="439"/>
      <c r="AM110" s="389"/>
      <c r="AN110" s="521"/>
      <c r="AO110" s="402" t="e">
        <f t="shared" si="42"/>
        <v>#DIV/0!</v>
      </c>
      <c r="AP110" s="402" t="e">
        <f t="shared" si="43"/>
        <v>#DIV/0!</v>
      </c>
      <c r="AQ110" s="595"/>
      <c r="AR110" s="587"/>
      <c r="AS110" s="400"/>
      <c r="AT110" s="419"/>
      <c r="AU110" s="401"/>
      <c r="AV110" s="401"/>
      <c r="AW110" s="401"/>
      <c r="AX110" s="401"/>
      <c r="AY110" s="401"/>
      <c r="AZ110" s="401"/>
      <c r="BA110" s="401"/>
      <c r="BB110" s="401"/>
      <c r="BC110" s="401"/>
      <c r="BD110" s="385"/>
      <c r="BE110" s="439"/>
      <c r="BF110" s="389"/>
      <c r="BG110" s="521"/>
      <c r="BH110" s="402" t="e">
        <f t="shared" si="44"/>
        <v>#DIV/0!</v>
      </c>
      <c r="BI110" s="402" t="e">
        <f t="shared" si="45"/>
        <v>#DIV/0!</v>
      </c>
    </row>
    <row r="111" spans="1:61" s="359" customFormat="1" ht="19.2" x14ac:dyDescent="0.3">
      <c r="A111" s="360" t="s">
        <v>602</v>
      </c>
      <c r="B111" s="513" t="s">
        <v>321</v>
      </c>
      <c r="C111" s="434" t="s">
        <v>322</v>
      </c>
      <c r="D111" s="361">
        <v>0.4</v>
      </c>
      <c r="E111" s="403">
        <v>100</v>
      </c>
      <c r="F111" s="404">
        <v>15</v>
      </c>
      <c r="G111" s="400">
        <v>15</v>
      </c>
      <c r="H111" s="419">
        <v>17.47</v>
      </c>
      <c r="I111" s="401">
        <v>12.538</v>
      </c>
      <c r="J111" s="401">
        <v>10.384</v>
      </c>
      <c r="K111" s="401">
        <v>2.1539999999999999</v>
      </c>
      <c r="L111" s="401">
        <v>2.2999999999999998</v>
      </c>
      <c r="M111" s="401">
        <v>0</v>
      </c>
      <c r="N111" s="401">
        <v>0</v>
      </c>
      <c r="O111" s="401">
        <v>1.216</v>
      </c>
      <c r="P111" s="401">
        <v>103.84</v>
      </c>
      <c r="Q111" s="401">
        <v>9.5186399999999995</v>
      </c>
      <c r="R111" s="385" t="s">
        <v>167</v>
      </c>
      <c r="S111" s="439" t="s">
        <v>175</v>
      </c>
      <c r="T111" s="389"/>
      <c r="U111" s="521">
        <v>169</v>
      </c>
      <c r="V111" s="402">
        <f t="shared" si="40"/>
        <v>174.7</v>
      </c>
      <c r="W111" s="402">
        <f t="shared" si="41"/>
        <v>1.1646666666666665</v>
      </c>
      <c r="X111" s="403"/>
      <c r="Y111" s="404"/>
      <c r="Z111" s="400"/>
      <c r="AA111" s="419"/>
      <c r="AB111" s="401"/>
      <c r="AC111" s="401"/>
      <c r="AD111" s="401"/>
      <c r="AE111" s="401"/>
      <c r="AF111" s="401"/>
      <c r="AG111" s="401"/>
      <c r="AH111" s="401"/>
      <c r="AI111" s="401"/>
      <c r="AJ111" s="401"/>
      <c r="AK111" s="385"/>
      <c r="AL111" s="439"/>
      <c r="AM111" s="389"/>
      <c r="AN111" s="521"/>
      <c r="AO111" s="402" t="e">
        <f t="shared" si="42"/>
        <v>#DIV/0!</v>
      </c>
      <c r="AP111" s="402" t="e">
        <f t="shared" si="43"/>
        <v>#DIV/0!</v>
      </c>
      <c r="AQ111" s="595"/>
      <c r="AR111" s="587"/>
      <c r="AS111" s="400"/>
      <c r="AT111" s="419"/>
      <c r="AU111" s="401"/>
      <c r="AV111" s="401"/>
      <c r="AW111" s="401"/>
      <c r="AX111" s="401"/>
      <c r="AY111" s="401"/>
      <c r="AZ111" s="401"/>
      <c r="BA111" s="401"/>
      <c r="BB111" s="401"/>
      <c r="BC111" s="401"/>
      <c r="BD111" s="385"/>
      <c r="BE111" s="439"/>
      <c r="BF111" s="389"/>
      <c r="BG111" s="521"/>
      <c r="BH111" s="402" t="e">
        <f t="shared" si="44"/>
        <v>#DIV/0!</v>
      </c>
      <c r="BI111" s="402" t="e">
        <f t="shared" si="45"/>
        <v>#DIV/0!</v>
      </c>
    </row>
    <row r="112" spans="1:61" s="359" customFormat="1" ht="19.2" x14ac:dyDescent="0.3">
      <c r="A112" s="360" t="s">
        <v>603</v>
      </c>
      <c r="B112" s="513" t="s">
        <v>346</v>
      </c>
      <c r="C112" s="434" t="s">
        <v>347</v>
      </c>
      <c r="D112" s="361">
        <v>0.4</v>
      </c>
      <c r="E112" s="403">
        <v>210</v>
      </c>
      <c r="F112" s="404">
        <v>15</v>
      </c>
      <c r="G112" s="400">
        <v>15</v>
      </c>
      <c r="H112" s="419">
        <v>59.543190000000003</v>
      </c>
      <c r="I112" s="401">
        <v>44.553139999999999</v>
      </c>
      <c r="J112" s="401">
        <v>21.8064</v>
      </c>
      <c r="K112" s="401">
        <v>8.9534699999999994</v>
      </c>
      <c r="L112" s="401">
        <v>6.8174900000000003</v>
      </c>
      <c r="M112" s="401">
        <v>0</v>
      </c>
      <c r="N112" s="401">
        <v>0</v>
      </c>
      <c r="O112" s="401">
        <v>3.7276500000000001</v>
      </c>
      <c r="P112" s="401">
        <v>103.84</v>
      </c>
      <c r="Q112" s="401">
        <v>8.9534699999999994</v>
      </c>
      <c r="R112" s="385" t="s">
        <v>167</v>
      </c>
      <c r="S112" s="439" t="s">
        <v>175</v>
      </c>
      <c r="T112" s="389"/>
      <c r="U112" s="521">
        <v>219</v>
      </c>
      <c r="V112" s="402">
        <f t="shared" si="40"/>
        <v>283.53899999999999</v>
      </c>
      <c r="W112" s="402">
        <f t="shared" si="41"/>
        <v>3.9695460000000002</v>
      </c>
      <c r="X112" s="403"/>
      <c r="Y112" s="404"/>
      <c r="Z112" s="400"/>
      <c r="AA112" s="419"/>
      <c r="AB112" s="401"/>
      <c r="AC112" s="401"/>
      <c r="AD112" s="401"/>
      <c r="AE112" s="401"/>
      <c r="AF112" s="401"/>
      <c r="AG112" s="401"/>
      <c r="AH112" s="401"/>
      <c r="AI112" s="401"/>
      <c r="AJ112" s="401"/>
      <c r="AK112" s="385"/>
      <c r="AL112" s="439"/>
      <c r="AM112" s="389"/>
      <c r="AN112" s="521"/>
      <c r="AO112" s="402" t="e">
        <f t="shared" si="42"/>
        <v>#DIV/0!</v>
      </c>
      <c r="AP112" s="402" t="e">
        <f t="shared" si="43"/>
        <v>#DIV/0!</v>
      </c>
      <c r="AQ112" s="595"/>
      <c r="AR112" s="587"/>
      <c r="AS112" s="400"/>
      <c r="AT112" s="419"/>
      <c r="AU112" s="401"/>
      <c r="AV112" s="401"/>
      <c r="AW112" s="401"/>
      <c r="AX112" s="401"/>
      <c r="AY112" s="401"/>
      <c r="AZ112" s="401"/>
      <c r="BA112" s="401"/>
      <c r="BB112" s="401"/>
      <c r="BC112" s="401"/>
      <c r="BD112" s="385"/>
      <c r="BE112" s="439"/>
      <c r="BF112" s="389"/>
      <c r="BG112" s="521"/>
      <c r="BH112" s="402" t="e">
        <f t="shared" si="44"/>
        <v>#DIV/0!</v>
      </c>
      <c r="BI112" s="402" t="e">
        <f t="shared" si="45"/>
        <v>#DIV/0!</v>
      </c>
    </row>
    <row r="113" spans="1:61" s="359" customFormat="1" ht="19.2" x14ac:dyDescent="0.3">
      <c r="A113" s="360" t="s">
        <v>604</v>
      </c>
      <c r="B113" s="513" t="s">
        <v>350</v>
      </c>
      <c r="C113" s="434" t="s">
        <v>351</v>
      </c>
      <c r="D113" s="361">
        <v>0.4</v>
      </c>
      <c r="E113" s="403">
        <v>233</v>
      </c>
      <c r="F113" s="404">
        <v>15</v>
      </c>
      <c r="G113" s="400">
        <v>15</v>
      </c>
      <c r="H113" s="419">
        <v>138.12551999999999</v>
      </c>
      <c r="I113" s="401">
        <v>97.453059999999994</v>
      </c>
      <c r="J113" s="401">
        <v>24.19472</v>
      </c>
      <c r="K113" s="401">
        <f>26.9988+35.9984</f>
        <v>62.997199999999992</v>
      </c>
      <c r="L113" s="401">
        <v>18.957740000000001</v>
      </c>
      <c r="M113" s="401">
        <v>0</v>
      </c>
      <c r="N113" s="401">
        <v>0</v>
      </c>
      <c r="O113" s="401">
        <v>9.6859699999999993</v>
      </c>
      <c r="P113" s="401">
        <v>103.84</v>
      </c>
      <c r="Q113" s="401">
        <v>8.9995999999999992</v>
      </c>
      <c r="R113" s="385" t="s">
        <v>167</v>
      </c>
      <c r="S113" s="439" t="s">
        <v>175</v>
      </c>
      <c r="T113" s="389"/>
      <c r="U113" s="521">
        <v>227</v>
      </c>
      <c r="V113" s="402">
        <f t="shared" si="40"/>
        <v>592.8133905579399</v>
      </c>
      <c r="W113" s="402">
        <f t="shared" si="41"/>
        <v>9.2083680000000001</v>
      </c>
      <c r="X113" s="403"/>
      <c r="Y113" s="404"/>
      <c r="Z113" s="400"/>
      <c r="AA113" s="419"/>
      <c r="AB113" s="401"/>
      <c r="AC113" s="401"/>
      <c r="AD113" s="401"/>
      <c r="AE113" s="401"/>
      <c r="AF113" s="401"/>
      <c r="AG113" s="401"/>
      <c r="AH113" s="401"/>
      <c r="AI113" s="401"/>
      <c r="AJ113" s="401"/>
      <c r="AK113" s="385"/>
      <c r="AL113" s="439"/>
      <c r="AM113" s="389"/>
      <c r="AN113" s="521"/>
      <c r="AO113" s="402" t="e">
        <f t="shared" si="42"/>
        <v>#DIV/0!</v>
      </c>
      <c r="AP113" s="402" t="e">
        <f t="shared" si="43"/>
        <v>#DIV/0!</v>
      </c>
      <c r="AQ113" s="595"/>
      <c r="AR113" s="587"/>
      <c r="AS113" s="400"/>
      <c r="AT113" s="419"/>
      <c r="AU113" s="401"/>
      <c r="AV113" s="401"/>
      <c r="AW113" s="401"/>
      <c r="AX113" s="401"/>
      <c r="AY113" s="401"/>
      <c r="AZ113" s="401"/>
      <c r="BA113" s="401"/>
      <c r="BB113" s="401"/>
      <c r="BC113" s="401"/>
      <c r="BD113" s="385"/>
      <c r="BE113" s="439"/>
      <c r="BF113" s="389"/>
      <c r="BG113" s="521"/>
      <c r="BH113" s="402" t="e">
        <f t="shared" si="44"/>
        <v>#DIV/0!</v>
      </c>
      <c r="BI113" s="402" t="e">
        <f t="shared" si="45"/>
        <v>#DIV/0!</v>
      </c>
    </row>
    <row r="114" spans="1:61" s="359" customFormat="1" ht="19.2" x14ac:dyDescent="0.3">
      <c r="A114" s="360" t="s">
        <v>605</v>
      </c>
      <c r="B114" s="513" t="s">
        <v>371</v>
      </c>
      <c r="C114" s="434" t="s">
        <v>372</v>
      </c>
      <c r="D114" s="361">
        <v>0.4</v>
      </c>
      <c r="E114" s="403">
        <v>140</v>
      </c>
      <c r="F114" s="404">
        <v>15</v>
      </c>
      <c r="G114" s="400">
        <v>15</v>
      </c>
      <c r="H114" s="419">
        <v>94.510930000000002</v>
      </c>
      <c r="I114" s="401">
        <v>64.223029999999994</v>
      </c>
      <c r="J114" s="401">
        <v>14.537599999999999</v>
      </c>
      <c r="K114" s="401">
        <f>8.97358+35.89432</f>
        <v>44.867899999999999</v>
      </c>
      <c r="L114" s="401">
        <v>14.14836</v>
      </c>
      <c r="M114" s="401">
        <v>0</v>
      </c>
      <c r="N114" s="401">
        <v>0</v>
      </c>
      <c r="O114" s="401">
        <v>7.1942899999999996</v>
      </c>
      <c r="P114" s="401">
        <v>103.84</v>
      </c>
      <c r="Q114" s="401">
        <v>8.9735800000000001</v>
      </c>
      <c r="R114" s="385" t="s">
        <v>167</v>
      </c>
      <c r="S114" s="439" t="s">
        <v>175</v>
      </c>
      <c r="T114" s="389"/>
      <c r="U114" s="521">
        <v>281</v>
      </c>
      <c r="V114" s="402">
        <f t="shared" si="40"/>
        <v>675.07807142857143</v>
      </c>
      <c r="W114" s="402">
        <f t="shared" si="41"/>
        <v>6.3007286666666671</v>
      </c>
      <c r="X114" s="403"/>
      <c r="Y114" s="404"/>
      <c r="Z114" s="400"/>
      <c r="AA114" s="419"/>
      <c r="AB114" s="401"/>
      <c r="AC114" s="401"/>
      <c r="AD114" s="401"/>
      <c r="AE114" s="401"/>
      <c r="AF114" s="401"/>
      <c r="AG114" s="401"/>
      <c r="AH114" s="401"/>
      <c r="AI114" s="401"/>
      <c r="AJ114" s="401"/>
      <c r="AK114" s="385"/>
      <c r="AL114" s="439"/>
      <c r="AM114" s="389"/>
      <c r="AN114" s="521"/>
      <c r="AO114" s="402" t="e">
        <f t="shared" si="42"/>
        <v>#DIV/0!</v>
      </c>
      <c r="AP114" s="402" t="e">
        <f t="shared" si="43"/>
        <v>#DIV/0!</v>
      </c>
      <c r="AQ114" s="595"/>
      <c r="AR114" s="587"/>
      <c r="AS114" s="400"/>
      <c r="AT114" s="419"/>
      <c r="AU114" s="401"/>
      <c r="AV114" s="401"/>
      <c r="AW114" s="401"/>
      <c r="AX114" s="401"/>
      <c r="AY114" s="401"/>
      <c r="AZ114" s="401"/>
      <c r="BA114" s="401"/>
      <c r="BB114" s="401"/>
      <c r="BC114" s="401"/>
      <c r="BD114" s="385"/>
      <c r="BE114" s="439"/>
      <c r="BF114" s="389"/>
      <c r="BG114" s="521"/>
      <c r="BH114" s="402" t="e">
        <f t="shared" si="44"/>
        <v>#DIV/0!</v>
      </c>
      <c r="BI114" s="402" t="e">
        <f t="shared" si="45"/>
        <v>#DIV/0!</v>
      </c>
    </row>
    <row r="115" spans="1:61" s="359" customFormat="1" ht="19.2" x14ac:dyDescent="0.3">
      <c r="A115" s="360" t="s">
        <v>606</v>
      </c>
      <c r="B115" s="513" t="s">
        <v>376</v>
      </c>
      <c r="C115" s="434" t="s">
        <v>375</v>
      </c>
      <c r="D115" s="361">
        <v>0.4</v>
      </c>
      <c r="E115" s="403">
        <v>36</v>
      </c>
      <c r="F115" s="404">
        <v>15</v>
      </c>
      <c r="G115" s="400">
        <v>15</v>
      </c>
      <c r="H115" s="419">
        <v>22.14434</v>
      </c>
      <c r="I115" s="401">
        <v>15.83583</v>
      </c>
      <c r="J115" s="401">
        <v>3.7382399999999998</v>
      </c>
      <c r="K115" s="401">
        <v>8.9735899999999997</v>
      </c>
      <c r="L115" s="401">
        <v>2.87385</v>
      </c>
      <c r="M115" s="401">
        <v>0</v>
      </c>
      <c r="N115" s="401">
        <v>0</v>
      </c>
      <c r="O115" s="401">
        <v>1.52885</v>
      </c>
      <c r="P115" s="401">
        <v>103.84</v>
      </c>
      <c r="Q115" s="401">
        <v>8.9735899999999997</v>
      </c>
      <c r="R115" s="385" t="s">
        <v>167</v>
      </c>
      <c r="S115" s="439" t="s">
        <v>175</v>
      </c>
      <c r="T115" s="389"/>
      <c r="U115" s="521">
        <v>289</v>
      </c>
      <c r="V115" s="402">
        <f t="shared" si="40"/>
        <v>615.1205555555556</v>
      </c>
      <c r="W115" s="402">
        <f t="shared" si="41"/>
        <v>1.4762893333333333</v>
      </c>
      <c r="X115" s="403"/>
      <c r="Y115" s="404"/>
      <c r="Z115" s="400"/>
      <c r="AA115" s="419"/>
      <c r="AB115" s="401"/>
      <c r="AC115" s="401"/>
      <c r="AD115" s="401"/>
      <c r="AE115" s="401"/>
      <c r="AF115" s="401"/>
      <c r="AG115" s="401"/>
      <c r="AH115" s="401"/>
      <c r="AI115" s="401"/>
      <c r="AJ115" s="401"/>
      <c r="AK115" s="385"/>
      <c r="AL115" s="439"/>
      <c r="AM115" s="389"/>
      <c r="AN115" s="521"/>
      <c r="AO115" s="402" t="e">
        <f t="shared" si="42"/>
        <v>#DIV/0!</v>
      </c>
      <c r="AP115" s="402" t="e">
        <f t="shared" si="43"/>
        <v>#DIV/0!</v>
      </c>
      <c r="AQ115" s="595"/>
      <c r="AR115" s="587"/>
      <c r="AS115" s="400"/>
      <c r="AT115" s="419"/>
      <c r="AU115" s="401"/>
      <c r="AV115" s="401"/>
      <c r="AW115" s="401"/>
      <c r="AX115" s="401"/>
      <c r="AY115" s="401"/>
      <c r="AZ115" s="401"/>
      <c r="BA115" s="401"/>
      <c r="BB115" s="401"/>
      <c r="BC115" s="401"/>
      <c r="BD115" s="385"/>
      <c r="BE115" s="439"/>
      <c r="BF115" s="389"/>
      <c r="BG115" s="521"/>
      <c r="BH115" s="402" t="e">
        <f t="shared" si="44"/>
        <v>#DIV/0!</v>
      </c>
      <c r="BI115" s="402" t="e">
        <f t="shared" si="45"/>
        <v>#DIV/0!</v>
      </c>
    </row>
    <row r="116" spans="1:61" s="359" customFormat="1" ht="19.2" x14ac:dyDescent="0.3">
      <c r="A116" s="360" t="s">
        <v>179</v>
      </c>
      <c r="B116" s="543" t="s">
        <v>525</v>
      </c>
      <c r="C116" s="434" t="s">
        <v>406</v>
      </c>
      <c r="D116" s="361">
        <v>0.4</v>
      </c>
      <c r="E116" s="403"/>
      <c r="F116" s="404"/>
      <c r="G116" s="400"/>
      <c r="H116" s="401"/>
      <c r="I116" s="401"/>
      <c r="J116" s="401"/>
      <c r="K116" s="401"/>
      <c r="L116" s="401"/>
      <c r="M116" s="401"/>
      <c r="N116" s="401"/>
      <c r="O116" s="401"/>
      <c r="P116" s="401"/>
      <c r="Q116" s="401"/>
      <c r="R116" s="389"/>
      <c r="S116" s="389"/>
      <c r="T116" s="389"/>
      <c r="U116" s="521"/>
      <c r="V116" s="402" t="e">
        <f t="shared" si="40"/>
        <v>#DIV/0!</v>
      </c>
      <c r="W116" s="402" t="e">
        <f t="shared" si="41"/>
        <v>#DIV/0!</v>
      </c>
      <c r="X116" s="403">
        <v>100</v>
      </c>
      <c r="Y116" s="404">
        <v>15</v>
      </c>
      <c r="Z116" s="400">
        <v>15</v>
      </c>
      <c r="AA116" s="545">
        <v>41.8947</v>
      </c>
      <c r="AB116" s="401">
        <v>27.028189999999999</v>
      </c>
      <c r="AC116" s="401">
        <v>10.384</v>
      </c>
      <c r="AD116" s="401">
        <v>14.59502</v>
      </c>
      <c r="AE116" s="401">
        <v>6.4933699999999996</v>
      </c>
      <c r="AF116" s="401">
        <v>0</v>
      </c>
      <c r="AG116" s="401">
        <v>0</v>
      </c>
      <c r="AH116" s="401">
        <v>4.0885499999999997</v>
      </c>
      <c r="AI116" s="401">
        <v>103.84</v>
      </c>
      <c r="AJ116" s="401">
        <v>7.2975099999999999</v>
      </c>
      <c r="AK116" s="385" t="s">
        <v>167</v>
      </c>
      <c r="AL116" s="439" t="s">
        <v>175</v>
      </c>
      <c r="AM116" s="389"/>
      <c r="AN116" s="521">
        <v>13</v>
      </c>
      <c r="AO116" s="402">
        <f t="shared" si="42"/>
        <v>418.947</v>
      </c>
      <c r="AP116" s="402">
        <f t="shared" si="43"/>
        <v>2.79298</v>
      </c>
      <c r="AQ116" s="595"/>
      <c r="AR116" s="587"/>
      <c r="AS116" s="400"/>
      <c r="AT116" s="545"/>
      <c r="AU116" s="401"/>
      <c r="AV116" s="401"/>
      <c r="AW116" s="401"/>
      <c r="AX116" s="401"/>
      <c r="AY116" s="401"/>
      <c r="AZ116" s="401"/>
      <c r="BA116" s="401"/>
      <c r="BB116" s="401"/>
      <c r="BC116" s="401"/>
      <c r="BD116" s="385"/>
      <c r="BE116" s="439"/>
      <c r="BF116" s="389"/>
      <c r="BG116" s="521"/>
      <c r="BH116" s="402" t="e">
        <f t="shared" si="44"/>
        <v>#DIV/0!</v>
      </c>
      <c r="BI116" s="402" t="e">
        <f t="shared" si="45"/>
        <v>#DIV/0!</v>
      </c>
    </row>
    <row r="117" spans="1:61" s="359" customFormat="1" ht="19.2" x14ac:dyDescent="0.3">
      <c r="A117" s="360" t="s">
        <v>183</v>
      </c>
      <c r="B117" s="543" t="s">
        <v>526</v>
      </c>
      <c r="C117" s="434" t="s">
        <v>410</v>
      </c>
      <c r="D117" s="361">
        <v>0.4</v>
      </c>
      <c r="E117" s="403"/>
      <c r="F117" s="404"/>
      <c r="G117" s="400"/>
      <c r="H117" s="401"/>
      <c r="I117" s="401"/>
      <c r="J117" s="401"/>
      <c r="K117" s="401"/>
      <c r="L117" s="401"/>
      <c r="M117" s="401"/>
      <c r="N117" s="401"/>
      <c r="O117" s="401"/>
      <c r="P117" s="401"/>
      <c r="Q117" s="401"/>
      <c r="R117" s="389"/>
      <c r="S117" s="389"/>
      <c r="T117" s="389"/>
      <c r="U117" s="521"/>
      <c r="V117" s="402" t="e">
        <f t="shared" si="40"/>
        <v>#DIV/0!</v>
      </c>
      <c r="W117" s="402" t="e">
        <f t="shared" si="41"/>
        <v>#DIV/0!</v>
      </c>
      <c r="X117" s="403">
        <v>37</v>
      </c>
      <c r="Y117" s="404">
        <v>15</v>
      </c>
      <c r="Z117" s="400">
        <v>15</v>
      </c>
      <c r="AA117" s="545">
        <v>21.72823</v>
      </c>
      <c r="AB117" s="401">
        <v>15.07085</v>
      </c>
      <c r="AC117" s="401">
        <v>3.8420800000000002</v>
      </c>
      <c r="AD117" s="401">
        <v>9.4401399999999995</v>
      </c>
      <c r="AE117" s="401">
        <v>2.9137900000000001</v>
      </c>
      <c r="AF117" s="401">
        <v>0</v>
      </c>
      <c r="AG117" s="401">
        <v>0</v>
      </c>
      <c r="AH117" s="401">
        <v>1.8208899999999999</v>
      </c>
      <c r="AI117" s="401">
        <v>103.84</v>
      </c>
      <c r="AJ117" s="401">
        <v>9.4401399999999995</v>
      </c>
      <c r="AK117" s="385" t="s">
        <v>167</v>
      </c>
      <c r="AL117" s="439" t="s">
        <v>175</v>
      </c>
      <c r="AM117" s="389"/>
      <c r="AN117" s="521">
        <v>23</v>
      </c>
      <c r="AO117" s="402">
        <f t="shared" si="42"/>
        <v>587.24945945945944</v>
      </c>
      <c r="AP117" s="402">
        <f t="shared" si="43"/>
        <v>1.4485486666666667</v>
      </c>
      <c r="AQ117" s="595"/>
      <c r="AR117" s="587"/>
      <c r="AS117" s="400"/>
      <c r="AT117" s="545"/>
      <c r="AU117" s="401"/>
      <c r="AV117" s="401"/>
      <c r="AW117" s="401"/>
      <c r="AX117" s="401"/>
      <c r="AY117" s="401"/>
      <c r="AZ117" s="401"/>
      <c r="BA117" s="401"/>
      <c r="BB117" s="401"/>
      <c r="BC117" s="401"/>
      <c r="BD117" s="385"/>
      <c r="BE117" s="439"/>
      <c r="BF117" s="389"/>
      <c r="BG117" s="521"/>
      <c r="BH117" s="402" t="e">
        <f t="shared" si="44"/>
        <v>#DIV/0!</v>
      </c>
      <c r="BI117" s="402" t="e">
        <f t="shared" si="45"/>
        <v>#DIV/0!</v>
      </c>
    </row>
    <row r="118" spans="1:61" s="359" customFormat="1" ht="19.2" x14ac:dyDescent="0.3">
      <c r="A118" s="360" t="s">
        <v>185</v>
      </c>
      <c r="B118" s="543" t="s">
        <v>527</v>
      </c>
      <c r="C118" s="434" t="s">
        <v>416</v>
      </c>
      <c r="D118" s="361">
        <v>0.4</v>
      </c>
      <c r="E118" s="403"/>
      <c r="F118" s="404"/>
      <c r="G118" s="400"/>
      <c r="H118" s="401"/>
      <c r="I118" s="401"/>
      <c r="J118" s="401"/>
      <c r="K118" s="401"/>
      <c r="L118" s="401"/>
      <c r="M118" s="401"/>
      <c r="N118" s="401"/>
      <c r="O118" s="401"/>
      <c r="P118" s="401"/>
      <c r="Q118" s="401"/>
      <c r="R118" s="389"/>
      <c r="S118" s="389"/>
      <c r="T118" s="389"/>
      <c r="U118" s="521"/>
      <c r="V118" s="402" t="e">
        <f t="shared" si="40"/>
        <v>#DIV/0!</v>
      </c>
      <c r="W118" s="402" t="e">
        <f t="shared" si="41"/>
        <v>#DIV/0!</v>
      </c>
      <c r="X118" s="403">
        <v>320</v>
      </c>
      <c r="Y118" s="404">
        <v>15</v>
      </c>
      <c r="Z118" s="400">
        <v>15</v>
      </c>
      <c r="AA118" s="545">
        <v>167.41318999999999</v>
      </c>
      <c r="AB118" s="401">
        <v>115.26024</v>
      </c>
      <c r="AC118" s="401">
        <v>33.2288</v>
      </c>
      <c r="AD118" s="401">
        <v>69.203190000000006</v>
      </c>
      <c r="AE118" s="401">
        <v>23.869219999999999</v>
      </c>
      <c r="AF118" s="401">
        <v>0</v>
      </c>
      <c r="AG118" s="401">
        <v>0</v>
      </c>
      <c r="AH118" s="401">
        <v>13.794409999999999</v>
      </c>
      <c r="AI118" s="401">
        <v>103.84</v>
      </c>
      <c r="AJ118" s="401">
        <v>9.8861699999999999</v>
      </c>
      <c r="AK118" s="385" t="s">
        <v>167</v>
      </c>
      <c r="AL118" s="439" t="s">
        <v>175</v>
      </c>
      <c r="AM118" s="389"/>
      <c r="AN118" s="521">
        <v>79</v>
      </c>
      <c r="AO118" s="402">
        <f t="shared" si="42"/>
        <v>523.16621874999987</v>
      </c>
      <c r="AP118" s="402">
        <f t="shared" si="43"/>
        <v>11.160879333333332</v>
      </c>
      <c r="AQ118" s="595"/>
      <c r="AR118" s="587"/>
      <c r="AS118" s="400"/>
      <c r="AT118" s="545"/>
      <c r="AU118" s="401"/>
      <c r="AV118" s="401"/>
      <c r="AW118" s="401"/>
      <c r="AX118" s="401"/>
      <c r="AY118" s="401"/>
      <c r="AZ118" s="401"/>
      <c r="BA118" s="401"/>
      <c r="BB118" s="401"/>
      <c r="BC118" s="401"/>
      <c r="BD118" s="385"/>
      <c r="BE118" s="439"/>
      <c r="BF118" s="389"/>
      <c r="BG118" s="521"/>
      <c r="BH118" s="402" t="e">
        <f t="shared" si="44"/>
        <v>#DIV/0!</v>
      </c>
      <c r="BI118" s="402" t="e">
        <f t="shared" si="45"/>
        <v>#DIV/0!</v>
      </c>
    </row>
    <row r="119" spans="1:61" s="359" customFormat="1" ht="19.2" x14ac:dyDescent="0.3">
      <c r="A119" s="360" t="s">
        <v>187</v>
      </c>
      <c r="B119" s="543" t="s">
        <v>528</v>
      </c>
      <c r="C119" s="434" t="s">
        <v>419</v>
      </c>
      <c r="D119" s="361">
        <v>0.4</v>
      </c>
      <c r="E119" s="403"/>
      <c r="F119" s="404"/>
      <c r="G119" s="400"/>
      <c r="H119" s="401"/>
      <c r="I119" s="401"/>
      <c r="J119" s="401"/>
      <c r="K119" s="401"/>
      <c r="L119" s="401"/>
      <c r="M119" s="401"/>
      <c r="N119" s="401"/>
      <c r="O119" s="401"/>
      <c r="P119" s="401"/>
      <c r="Q119" s="401"/>
      <c r="R119" s="389"/>
      <c r="S119" s="389"/>
      <c r="T119" s="389"/>
      <c r="U119" s="521"/>
      <c r="V119" s="402" t="e">
        <f t="shared" si="40"/>
        <v>#DIV/0!</v>
      </c>
      <c r="W119" s="402" t="e">
        <f t="shared" si="41"/>
        <v>#DIV/0!</v>
      </c>
      <c r="X119" s="403">
        <v>380</v>
      </c>
      <c r="Y119" s="404">
        <v>15</v>
      </c>
      <c r="Z119" s="400">
        <v>15</v>
      </c>
      <c r="AA119" s="545">
        <v>274.46343999999999</v>
      </c>
      <c r="AB119" s="401">
        <v>185.16748000000001</v>
      </c>
      <c r="AC119" s="401">
        <v>39.459200000000003</v>
      </c>
      <c r="AD119" s="401">
        <f>59.04306+9.9343+39.36204</f>
        <v>108.33940000000001</v>
      </c>
      <c r="AE119" s="401">
        <v>41.309179999999998</v>
      </c>
      <c r="AF119" s="401">
        <v>0</v>
      </c>
      <c r="AG119" s="401">
        <v>0</v>
      </c>
      <c r="AH119" s="401">
        <v>23.29203</v>
      </c>
      <c r="AI119" s="401">
        <v>103.84</v>
      </c>
      <c r="AJ119" s="401">
        <v>9.8405100000000001</v>
      </c>
      <c r="AK119" s="385" t="s">
        <v>167</v>
      </c>
      <c r="AL119" s="439" t="s">
        <v>175</v>
      </c>
      <c r="AM119" s="389"/>
      <c r="AN119" s="521">
        <v>102</v>
      </c>
      <c r="AO119" s="402">
        <f t="shared" si="42"/>
        <v>722.27221052631569</v>
      </c>
      <c r="AP119" s="402">
        <f t="shared" si="43"/>
        <v>18.297562666666668</v>
      </c>
      <c r="AQ119" s="595"/>
      <c r="AR119" s="587"/>
      <c r="AS119" s="400"/>
      <c r="AT119" s="545"/>
      <c r="AU119" s="401"/>
      <c r="AV119" s="401"/>
      <c r="AW119" s="401"/>
      <c r="AX119" s="401"/>
      <c r="AY119" s="401"/>
      <c r="AZ119" s="401"/>
      <c r="BA119" s="401"/>
      <c r="BB119" s="401"/>
      <c r="BC119" s="401"/>
      <c r="BD119" s="385"/>
      <c r="BE119" s="439"/>
      <c r="BF119" s="389"/>
      <c r="BG119" s="521"/>
      <c r="BH119" s="402" t="e">
        <f t="shared" si="44"/>
        <v>#DIV/0!</v>
      </c>
      <c r="BI119" s="402" t="e">
        <f t="shared" si="45"/>
        <v>#DIV/0!</v>
      </c>
    </row>
    <row r="120" spans="1:61" s="359" customFormat="1" ht="19.2" x14ac:dyDescent="0.3">
      <c r="A120" s="360" t="s">
        <v>190</v>
      </c>
      <c r="B120" s="543" t="s">
        <v>529</v>
      </c>
      <c r="C120" s="434" t="s">
        <v>421</v>
      </c>
      <c r="D120" s="361">
        <v>0.4</v>
      </c>
      <c r="E120" s="403"/>
      <c r="F120" s="404"/>
      <c r="G120" s="400"/>
      <c r="H120" s="401"/>
      <c r="I120" s="401"/>
      <c r="J120" s="401"/>
      <c r="K120" s="401"/>
      <c r="L120" s="401"/>
      <c r="M120" s="401"/>
      <c r="N120" s="401"/>
      <c r="O120" s="401"/>
      <c r="P120" s="401"/>
      <c r="Q120" s="401"/>
      <c r="R120" s="389"/>
      <c r="S120" s="389"/>
      <c r="T120" s="389"/>
      <c r="U120" s="521"/>
      <c r="V120" s="402" t="e">
        <f t="shared" si="40"/>
        <v>#DIV/0!</v>
      </c>
      <c r="W120" s="402" t="e">
        <f t="shared" si="41"/>
        <v>#DIV/0!</v>
      </c>
      <c r="X120" s="403">
        <v>67</v>
      </c>
      <c r="Y120" s="404">
        <v>15</v>
      </c>
      <c r="Z120" s="400">
        <v>15</v>
      </c>
      <c r="AA120" s="545">
        <v>43.550040000000003</v>
      </c>
      <c r="AB120" s="401">
        <v>30.15204</v>
      </c>
      <c r="AC120" s="401">
        <v>6.9572799999999999</v>
      </c>
      <c r="AD120" s="401">
        <v>19.86862</v>
      </c>
      <c r="AE120" s="401">
        <v>6.1268000000000002</v>
      </c>
      <c r="AF120" s="401">
        <v>0</v>
      </c>
      <c r="AG120" s="401">
        <v>0</v>
      </c>
      <c r="AH120" s="401">
        <v>3.5329299999999999</v>
      </c>
      <c r="AI120" s="401">
        <v>103.84</v>
      </c>
      <c r="AJ120" s="401">
        <v>9.93431</v>
      </c>
      <c r="AK120" s="385" t="s">
        <v>167</v>
      </c>
      <c r="AL120" s="439" t="s">
        <v>175</v>
      </c>
      <c r="AM120" s="389"/>
      <c r="AN120" s="521">
        <v>111</v>
      </c>
      <c r="AO120" s="402">
        <f t="shared" si="42"/>
        <v>650.00059701492546</v>
      </c>
      <c r="AP120" s="402">
        <f t="shared" si="43"/>
        <v>2.9033360000000004</v>
      </c>
      <c r="AQ120" s="595"/>
      <c r="AR120" s="587"/>
      <c r="AS120" s="400"/>
      <c r="AT120" s="545"/>
      <c r="AU120" s="401"/>
      <c r="AV120" s="401"/>
      <c r="AW120" s="401"/>
      <c r="AX120" s="401"/>
      <c r="AY120" s="401"/>
      <c r="AZ120" s="401"/>
      <c r="BA120" s="401"/>
      <c r="BB120" s="401"/>
      <c r="BC120" s="401"/>
      <c r="BD120" s="385"/>
      <c r="BE120" s="439"/>
      <c r="BF120" s="389"/>
      <c r="BG120" s="521"/>
      <c r="BH120" s="402" t="e">
        <f t="shared" si="44"/>
        <v>#DIV/0!</v>
      </c>
      <c r="BI120" s="402" t="e">
        <f t="shared" si="45"/>
        <v>#DIV/0!</v>
      </c>
    </row>
    <row r="121" spans="1:61" s="359" customFormat="1" ht="19.2" x14ac:dyDescent="0.3">
      <c r="A121" s="360" t="s">
        <v>598</v>
      </c>
      <c r="B121" s="543" t="s">
        <v>530</v>
      </c>
      <c r="C121" s="434" t="s">
        <v>422</v>
      </c>
      <c r="D121" s="361">
        <v>0.4</v>
      </c>
      <c r="E121" s="403"/>
      <c r="F121" s="404"/>
      <c r="G121" s="400"/>
      <c r="H121" s="401"/>
      <c r="I121" s="401"/>
      <c r="J121" s="401"/>
      <c r="K121" s="401"/>
      <c r="L121" s="401"/>
      <c r="M121" s="401"/>
      <c r="N121" s="401"/>
      <c r="O121" s="401"/>
      <c r="P121" s="401"/>
      <c r="Q121" s="401"/>
      <c r="R121" s="389"/>
      <c r="S121" s="389"/>
      <c r="T121" s="389"/>
      <c r="U121" s="521"/>
      <c r="V121" s="402" t="e">
        <f t="shared" si="40"/>
        <v>#DIV/0!</v>
      </c>
      <c r="W121" s="402" t="e">
        <f t="shared" si="41"/>
        <v>#DIV/0!</v>
      </c>
      <c r="X121" s="403">
        <v>185</v>
      </c>
      <c r="Y121" s="404">
        <v>15</v>
      </c>
      <c r="Z121" s="400">
        <v>15</v>
      </c>
      <c r="AA121" s="545">
        <v>188.69578999999999</v>
      </c>
      <c r="AB121" s="401">
        <v>129.14466999999999</v>
      </c>
      <c r="AC121" s="401">
        <v>19.2104</v>
      </c>
      <c r="AD121" s="401">
        <f>29.8029+39.7372+29.8029</f>
        <v>99.342999999999989</v>
      </c>
      <c r="AE121" s="401">
        <v>27.874469999999999</v>
      </c>
      <c r="AF121" s="401">
        <v>0</v>
      </c>
      <c r="AG121" s="401">
        <v>0</v>
      </c>
      <c r="AH121" s="401">
        <v>15.368880000000001</v>
      </c>
      <c r="AI121" s="401">
        <v>103.84</v>
      </c>
      <c r="AJ121" s="401">
        <v>9.9343000000000004</v>
      </c>
      <c r="AK121" s="385" t="s">
        <v>167</v>
      </c>
      <c r="AL121" s="439" t="s">
        <v>175</v>
      </c>
      <c r="AM121" s="389"/>
      <c r="AN121" s="521">
        <v>116</v>
      </c>
      <c r="AO121" s="402">
        <f t="shared" si="42"/>
        <v>1019.9772432432433</v>
      </c>
      <c r="AP121" s="402">
        <f t="shared" si="43"/>
        <v>12.579719333333333</v>
      </c>
      <c r="AQ121" s="595"/>
      <c r="AR121" s="587"/>
      <c r="AS121" s="400"/>
      <c r="AT121" s="545"/>
      <c r="AU121" s="401"/>
      <c r="AV121" s="401"/>
      <c r="AW121" s="401"/>
      <c r="AX121" s="401"/>
      <c r="AY121" s="401"/>
      <c r="AZ121" s="401"/>
      <c r="BA121" s="401"/>
      <c r="BB121" s="401"/>
      <c r="BC121" s="401"/>
      <c r="BD121" s="385"/>
      <c r="BE121" s="439"/>
      <c r="BF121" s="389"/>
      <c r="BG121" s="521"/>
      <c r="BH121" s="402" t="e">
        <f t="shared" si="44"/>
        <v>#DIV/0!</v>
      </c>
      <c r="BI121" s="402" t="e">
        <f t="shared" si="45"/>
        <v>#DIV/0!</v>
      </c>
    </row>
    <row r="122" spans="1:61" s="359" customFormat="1" ht="19.2" x14ac:dyDescent="0.3">
      <c r="A122" s="360" t="s">
        <v>599</v>
      </c>
      <c r="B122" s="543" t="s">
        <v>499</v>
      </c>
      <c r="C122" s="434" t="s">
        <v>427</v>
      </c>
      <c r="D122" s="361">
        <v>0.4</v>
      </c>
      <c r="E122" s="403"/>
      <c r="F122" s="404"/>
      <c r="G122" s="400"/>
      <c r="H122" s="401"/>
      <c r="I122" s="401"/>
      <c r="J122" s="401"/>
      <c r="K122" s="401"/>
      <c r="L122" s="401"/>
      <c r="M122" s="401"/>
      <c r="N122" s="401"/>
      <c r="O122" s="401"/>
      <c r="P122" s="401"/>
      <c r="Q122" s="401"/>
      <c r="R122" s="389"/>
      <c r="S122" s="389"/>
      <c r="T122" s="389"/>
      <c r="U122" s="521"/>
      <c r="V122" s="402" t="e">
        <f t="shared" si="40"/>
        <v>#DIV/0!</v>
      </c>
      <c r="W122" s="402" t="e">
        <f t="shared" si="41"/>
        <v>#DIV/0!</v>
      </c>
      <c r="X122" s="403">
        <v>80</v>
      </c>
      <c r="Y122" s="404">
        <v>15</v>
      </c>
      <c r="Z122" s="400">
        <v>15</v>
      </c>
      <c r="AA122" s="545">
        <v>40.926229999999997</v>
      </c>
      <c r="AB122" s="401">
        <v>26.228349999999999</v>
      </c>
      <c r="AC122" s="401">
        <v>8.3071999999999999</v>
      </c>
      <c r="AD122" s="401">
        <v>14.532220000000001</v>
      </c>
      <c r="AE122" s="401">
        <v>6.8820600000000001</v>
      </c>
      <c r="AF122" s="401">
        <v>0</v>
      </c>
      <c r="AG122" s="401">
        <v>0</v>
      </c>
      <c r="AH122" s="401">
        <v>3.8231199999999999</v>
      </c>
      <c r="AI122" s="401">
        <v>103.84</v>
      </c>
      <c r="AJ122" s="401">
        <v>7.2661100000000003</v>
      </c>
      <c r="AK122" s="385" t="s">
        <v>167</v>
      </c>
      <c r="AL122" s="439" t="s">
        <v>175</v>
      </c>
      <c r="AM122" s="389"/>
      <c r="AN122" s="521">
        <v>134</v>
      </c>
      <c r="AO122" s="402">
        <f t="shared" si="42"/>
        <v>511.57787499999995</v>
      </c>
      <c r="AP122" s="402">
        <f t="shared" si="43"/>
        <v>2.728415333333333</v>
      </c>
      <c r="AQ122" s="595"/>
      <c r="AR122" s="587"/>
      <c r="AS122" s="400"/>
      <c r="AT122" s="545"/>
      <c r="AU122" s="401"/>
      <c r="AV122" s="401"/>
      <c r="AW122" s="401"/>
      <c r="AX122" s="401"/>
      <c r="AY122" s="401"/>
      <c r="AZ122" s="401"/>
      <c r="BA122" s="401"/>
      <c r="BB122" s="401"/>
      <c r="BC122" s="401"/>
      <c r="BD122" s="385"/>
      <c r="BE122" s="439"/>
      <c r="BF122" s="389"/>
      <c r="BG122" s="521"/>
      <c r="BH122" s="402" t="e">
        <f t="shared" si="44"/>
        <v>#DIV/0!</v>
      </c>
      <c r="BI122" s="402" t="e">
        <f t="shared" si="45"/>
        <v>#DIV/0!</v>
      </c>
    </row>
    <row r="123" spans="1:61" s="359" customFormat="1" ht="19.2" x14ac:dyDescent="0.3">
      <c r="A123" s="360" t="s">
        <v>600</v>
      </c>
      <c r="B123" s="543" t="s">
        <v>532</v>
      </c>
      <c r="C123" s="434" t="s">
        <v>440</v>
      </c>
      <c r="D123" s="361">
        <v>0.4</v>
      </c>
      <c r="E123" s="403"/>
      <c r="F123" s="404"/>
      <c r="G123" s="400"/>
      <c r="H123" s="401"/>
      <c r="I123" s="401"/>
      <c r="J123" s="401"/>
      <c r="K123" s="401"/>
      <c r="L123" s="401"/>
      <c r="M123" s="401"/>
      <c r="N123" s="401"/>
      <c r="O123" s="401"/>
      <c r="P123" s="401"/>
      <c r="Q123" s="401"/>
      <c r="R123" s="389"/>
      <c r="S123" s="389"/>
      <c r="T123" s="389"/>
      <c r="U123" s="521"/>
      <c r="V123" s="402" t="e">
        <f t="shared" si="40"/>
        <v>#DIV/0!</v>
      </c>
      <c r="W123" s="402" t="e">
        <f t="shared" si="41"/>
        <v>#DIV/0!</v>
      </c>
      <c r="X123" s="403">
        <v>420</v>
      </c>
      <c r="Y123" s="404">
        <v>15</v>
      </c>
      <c r="Z123" s="400">
        <v>15</v>
      </c>
      <c r="AA123" s="545">
        <v>229.03822</v>
      </c>
      <c r="AB123" s="401">
        <v>157.80936</v>
      </c>
      <c r="AC123" s="401">
        <v>43.6128</v>
      </c>
      <c r="AD123" s="401">
        <f>39.99416+59.99124</f>
        <v>99.985399999999998</v>
      </c>
      <c r="AE123" s="401">
        <v>31.539529999999999</v>
      </c>
      <c r="AF123" s="401">
        <v>0</v>
      </c>
      <c r="AG123" s="401">
        <v>0</v>
      </c>
      <c r="AH123" s="401">
        <v>19.38927</v>
      </c>
      <c r="AI123" s="401">
        <v>103.84</v>
      </c>
      <c r="AJ123" s="401">
        <v>9.9985400000000002</v>
      </c>
      <c r="AK123" s="385" t="s">
        <v>167</v>
      </c>
      <c r="AL123" s="439" t="s">
        <v>175</v>
      </c>
      <c r="AM123" s="389"/>
      <c r="AN123" s="521">
        <v>200</v>
      </c>
      <c r="AO123" s="402">
        <f t="shared" si="42"/>
        <v>545.32909523809531</v>
      </c>
      <c r="AP123" s="402">
        <f t="shared" si="43"/>
        <v>15.269214666666667</v>
      </c>
      <c r="AQ123" s="595"/>
      <c r="AR123" s="587"/>
      <c r="AS123" s="400"/>
      <c r="AT123" s="545"/>
      <c r="AU123" s="401"/>
      <c r="AV123" s="401"/>
      <c r="AW123" s="401"/>
      <c r="AX123" s="401"/>
      <c r="AY123" s="401"/>
      <c r="AZ123" s="401"/>
      <c r="BA123" s="401"/>
      <c r="BB123" s="401"/>
      <c r="BC123" s="401"/>
      <c r="BD123" s="385"/>
      <c r="BE123" s="439"/>
      <c r="BF123" s="389"/>
      <c r="BG123" s="521"/>
      <c r="BH123" s="402" t="e">
        <f t="shared" si="44"/>
        <v>#DIV/0!</v>
      </c>
      <c r="BI123" s="402" t="e">
        <f t="shared" si="45"/>
        <v>#DIV/0!</v>
      </c>
    </row>
    <row r="124" spans="1:61" s="359" customFormat="1" ht="19.2" x14ac:dyDescent="0.3">
      <c r="A124" s="360" t="s">
        <v>601</v>
      </c>
      <c r="B124" s="543" t="s">
        <v>533</v>
      </c>
      <c r="C124" s="434" t="s">
        <v>485</v>
      </c>
      <c r="D124" s="361">
        <v>0.4</v>
      </c>
      <c r="E124" s="403"/>
      <c r="F124" s="404"/>
      <c r="G124" s="400"/>
      <c r="H124" s="401"/>
      <c r="I124" s="401"/>
      <c r="J124" s="401"/>
      <c r="K124" s="401"/>
      <c r="L124" s="401"/>
      <c r="M124" s="401"/>
      <c r="N124" s="401"/>
      <c r="O124" s="401"/>
      <c r="P124" s="401"/>
      <c r="Q124" s="401"/>
      <c r="R124" s="389"/>
      <c r="S124" s="389"/>
      <c r="T124" s="389"/>
      <c r="U124" s="521"/>
      <c r="V124" s="402" t="e">
        <f t="shared" si="40"/>
        <v>#DIV/0!</v>
      </c>
      <c r="W124" s="402" t="e">
        <f t="shared" si="41"/>
        <v>#DIV/0!</v>
      </c>
      <c r="X124" s="403">
        <v>100</v>
      </c>
      <c r="Y124" s="404">
        <v>15</v>
      </c>
      <c r="Z124" s="400">
        <v>15</v>
      </c>
      <c r="AA124" s="545">
        <v>80.992369999999994</v>
      </c>
      <c r="AB124" s="401">
        <v>56.56653</v>
      </c>
      <c r="AC124" s="401">
        <v>10.733000000000001</v>
      </c>
      <c r="AD124" s="401">
        <v>40</v>
      </c>
      <c r="AE124" s="401">
        <v>10.45327</v>
      </c>
      <c r="AF124" s="401">
        <v>0</v>
      </c>
      <c r="AG124" s="401">
        <v>0</v>
      </c>
      <c r="AH124" s="401">
        <v>6.7656499999999999</v>
      </c>
      <c r="AI124" s="401">
        <v>107.33</v>
      </c>
      <c r="AJ124" s="401">
        <v>10</v>
      </c>
      <c r="AK124" s="385" t="s">
        <v>167</v>
      </c>
      <c r="AL124" s="439" t="s">
        <v>175</v>
      </c>
      <c r="AM124" s="389"/>
      <c r="AN124" s="521">
        <v>457</v>
      </c>
      <c r="AO124" s="402">
        <f t="shared" si="42"/>
        <v>809.92369999999994</v>
      </c>
      <c r="AP124" s="402">
        <f t="shared" si="43"/>
        <v>5.3994913333333328</v>
      </c>
      <c r="AQ124" s="595"/>
      <c r="AR124" s="587"/>
      <c r="AS124" s="400"/>
      <c r="AT124" s="545"/>
      <c r="AU124" s="401"/>
      <c r="AV124" s="401"/>
      <c r="AW124" s="401"/>
      <c r="AX124" s="401"/>
      <c r="AY124" s="401"/>
      <c r="AZ124" s="401"/>
      <c r="BA124" s="401"/>
      <c r="BB124" s="401"/>
      <c r="BC124" s="401"/>
      <c r="BD124" s="385"/>
      <c r="BE124" s="439"/>
      <c r="BF124" s="389"/>
      <c r="BG124" s="521"/>
      <c r="BH124" s="402" t="e">
        <f t="shared" si="44"/>
        <v>#DIV/0!</v>
      </c>
      <c r="BI124" s="402" t="e">
        <f t="shared" si="45"/>
        <v>#DIV/0!</v>
      </c>
    </row>
    <row r="125" spans="1:61" s="359" customFormat="1" ht="19.2" x14ac:dyDescent="0.3">
      <c r="A125" s="360" t="s">
        <v>602</v>
      </c>
      <c r="B125" s="543" t="s">
        <v>534</v>
      </c>
      <c r="C125" s="434" t="s">
        <v>491</v>
      </c>
      <c r="D125" s="361">
        <v>0.4</v>
      </c>
      <c r="E125" s="403"/>
      <c r="F125" s="404"/>
      <c r="G125" s="400"/>
      <c r="H125" s="401"/>
      <c r="I125" s="401"/>
      <c r="J125" s="401"/>
      <c r="K125" s="401"/>
      <c r="L125" s="401"/>
      <c r="M125" s="401"/>
      <c r="N125" s="401"/>
      <c r="O125" s="401"/>
      <c r="P125" s="401"/>
      <c r="Q125" s="401"/>
      <c r="R125" s="389"/>
      <c r="S125" s="389"/>
      <c r="T125" s="389"/>
      <c r="U125" s="521"/>
      <c r="V125" s="402" t="e">
        <f t="shared" si="40"/>
        <v>#DIV/0!</v>
      </c>
      <c r="W125" s="402" t="e">
        <f t="shared" si="41"/>
        <v>#DIV/0!</v>
      </c>
      <c r="X125" s="403">
        <v>310</v>
      </c>
      <c r="Y125" s="404">
        <v>15</v>
      </c>
      <c r="Z125" s="400">
        <v>15</v>
      </c>
      <c r="AA125" s="545">
        <v>219.25874999999999</v>
      </c>
      <c r="AB125" s="401">
        <v>153.34304</v>
      </c>
      <c r="AC125" s="401">
        <v>33.272300000000001</v>
      </c>
      <c r="AD125" s="401">
        <f>60+40</f>
        <v>100</v>
      </c>
      <c r="AE125" s="401">
        <v>28.558969999999999</v>
      </c>
      <c r="AF125" s="401">
        <v>0</v>
      </c>
      <c r="AG125" s="401">
        <v>0</v>
      </c>
      <c r="AH125" s="401">
        <v>18.16995</v>
      </c>
      <c r="AI125" s="401">
        <v>107.33</v>
      </c>
      <c r="AJ125" s="401">
        <v>10</v>
      </c>
      <c r="AK125" s="385" t="s">
        <v>167</v>
      </c>
      <c r="AL125" s="439" t="s">
        <v>175</v>
      </c>
      <c r="AM125" s="389"/>
      <c r="AN125" s="521">
        <v>492</v>
      </c>
      <c r="AO125" s="402">
        <f t="shared" si="42"/>
        <v>707.28629032258061</v>
      </c>
      <c r="AP125" s="402">
        <f t="shared" si="43"/>
        <v>14.61725</v>
      </c>
      <c r="AQ125" s="595"/>
      <c r="AR125" s="587"/>
      <c r="AS125" s="400"/>
      <c r="AT125" s="545"/>
      <c r="AU125" s="401"/>
      <c r="AV125" s="401"/>
      <c r="AW125" s="401"/>
      <c r="AX125" s="401"/>
      <c r="AY125" s="401"/>
      <c r="AZ125" s="401"/>
      <c r="BA125" s="401"/>
      <c r="BB125" s="401"/>
      <c r="BC125" s="401"/>
      <c r="BD125" s="385"/>
      <c r="BE125" s="439"/>
      <c r="BF125" s="389"/>
      <c r="BG125" s="521"/>
      <c r="BH125" s="402" t="e">
        <f t="shared" si="44"/>
        <v>#DIV/0!</v>
      </c>
      <c r="BI125" s="402" t="e">
        <f t="shared" si="45"/>
        <v>#DIV/0!</v>
      </c>
    </row>
    <row r="126" spans="1:61" s="359" customFormat="1" ht="19.2" x14ac:dyDescent="0.3">
      <c r="A126" s="360" t="s">
        <v>603</v>
      </c>
      <c r="B126" s="543" t="s">
        <v>585</v>
      </c>
      <c r="C126" s="434" t="s">
        <v>584</v>
      </c>
      <c r="D126" s="361">
        <v>0.4</v>
      </c>
      <c r="E126" s="403"/>
      <c r="F126" s="404"/>
      <c r="G126" s="400"/>
      <c r="H126" s="401"/>
      <c r="I126" s="401"/>
      <c r="J126" s="401"/>
      <c r="K126" s="401"/>
      <c r="L126" s="401"/>
      <c r="M126" s="401"/>
      <c r="N126" s="401"/>
      <c r="O126" s="401"/>
      <c r="P126" s="401"/>
      <c r="Q126" s="401"/>
      <c r="R126" s="389"/>
      <c r="S126" s="389"/>
      <c r="T126" s="389"/>
      <c r="U126" s="521"/>
      <c r="V126" s="402" t="e">
        <f t="shared" si="40"/>
        <v>#DIV/0!</v>
      </c>
      <c r="W126" s="402" t="e">
        <f t="shared" si="41"/>
        <v>#DIV/0!</v>
      </c>
      <c r="X126" s="403">
        <v>120</v>
      </c>
      <c r="Y126" s="404">
        <v>20</v>
      </c>
      <c r="Z126" s="400">
        <v>20</v>
      </c>
      <c r="AA126" s="545">
        <v>36.212569999999999</v>
      </c>
      <c r="AB126" s="401">
        <v>24.45412</v>
      </c>
      <c r="AC126" s="401">
        <v>12.460800000000001</v>
      </c>
      <c r="AD126" s="401">
        <v>9.9985400000000002</v>
      </c>
      <c r="AE126" s="401">
        <v>5.1571199999999999</v>
      </c>
      <c r="AF126" s="401">
        <v>0</v>
      </c>
      <c r="AG126" s="401">
        <v>0</v>
      </c>
      <c r="AH126" s="401">
        <v>3.2616900000000002</v>
      </c>
      <c r="AI126" s="401">
        <v>103.84</v>
      </c>
      <c r="AJ126" s="401">
        <v>9.9985400000000002</v>
      </c>
      <c r="AK126" s="385" t="s">
        <v>167</v>
      </c>
      <c r="AL126" s="439" t="s">
        <v>175</v>
      </c>
      <c r="AM126" s="389"/>
      <c r="AN126" s="521">
        <v>153</v>
      </c>
      <c r="AO126" s="402">
        <f t="shared" si="42"/>
        <v>301.77141666666665</v>
      </c>
      <c r="AP126" s="402">
        <f t="shared" si="43"/>
        <v>1.8106285</v>
      </c>
      <c r="AQ126" s="595"/>
      <c r="AR126" s="587"/>
      <c r="AS126" s="400"/>
      <c r="AT126" s="545"/>
      <c r="AU126" s="401"/>
      <c r="AV126" s="401"/>
      <c r="AW126" s="401"/>
      <c r="AX126" s="401"/>
      <c r="AY126" s="401"/>
      <c r="AZ126" s="401"/>
      <c r="BA126" s="401"/>
      <c r="BB126" s="401"/>
      <c r="BC126" s="401"/>
      <c r="BD126" s="385"/>
      <c r="BE126" s="439"/>
      <c r="BF126" s="389"/>
      <c r="BG126" s="521"/>
      <c r="BH126" s="402" t="e">
        <f t="shared" si="44"/>
        <v>#DIV/0!</v>
      </c>
      <c r="BI126" s="402" t="e">
        <f t="shared" si="45"/>
        <v>#DIV/0!</v>
      </c>
    </row>
    <row r="127" spans="1:61" s="359" customFormat="1" ht="19.2" x14ac:dyDescent="0.3">
      <c r="A127" s="360" t="s">
        <v>179</v>
      </c>
      <c r="B127" s="579" t="s">
        <v>737</v>
      </c>
      <c r="C127" s="434" t="s">
        <v>609</v>
      </c>
      <c r="D127" s="361">
        <v>0.4</v>
      </c>
      <c r="E127" s="403"/>
      <c r="F127" s="404"/>
      <c r="G127" s="400"/>
      <c r="H127" s="401"/>
      <c r="I127" s="401"/>
      <c r="J127" s="401"/>
      <c r="K127" s="401"/>
      <c r="L127" s="401"/>
      <c r="M127" s="401"/>
      <c r="N127" s="401"/>
      <c r="O127" s="401"/>
      <c r="P127" s="401"/>
      <c r="Q127" s="401"/>
      <c r="R127" s="389"/>
      <c r="S127" s="389"/>
      <c r="T127" s="389"/>
      <c r="U127" s="521"/>
      <c r="V127" s="402"/>
      <c r="W127" s="402"/>
      <c r="X127" s="403"/>
      <c r="Y127" s="404"/>
      <c r="Z127" s="400"/>
      <c r="AA127" s="401"/>
      <c r="AB127" s="401"/>
      <c r="AC127" s="401"/>
      <c r="AD127" s="401"/>
      <c r="AE127" s="401"/>
      <c r="AF127" s="401"/>
      <c r="AG127" s="401"/>
      <c r="AH127" s="401"/>
      <c r="AI127" s="401"/>
      <c r="AJ127" s="401"/>
      <c r="AK127" s="385"/>
      <c r="AL127" s="439"/>
      <c r="AM127" s="389"/>
      <c r="AN127" s="521"/>
      <c r="AO127" s="402"/>
      <c r="AP127" s="402"/>
      <c r="AQ127" s="595">
        <v>135</v>
      </c>
      <c r="AR127" s="587">
        <v>15</v>
      </c>
      <c r="AS127" s="400">
        <v>15</v>
      </c>
      <c r="AT127" s="578">
        <v>83.808580000000006</v>
      </c>
      <c r="AU127" s="401">
        <v>59.19679</v>
      </c>
      <c r="AV127" s="401">
        <v>14.489549999999999</v>
      </c>
      <c r="AW127" s="401">
        <f>20+20</f>
        <v>40</v>
      </c>
      <c r="AX127" s="401">
        <v>11.20542</v>
      </c>
      <c r="AY127" s="401">
        <v>0</v>
      </c>
      <c r="AZ127" s="401">
        <v>0</v>
      </c>
      <c r="BA127" s="401">
        <v>6.60466</v>
      </c>
      <c r="BB127" s="401">
        <v>107.33</v>
      </c>
      <c r="BC127" s="401">
        <v>10</v>
      </c>
      <c r="BD127" s="385" t="s">
        <v>167</v>
      </c>
      <c r="BE127" s="439" t="s">
        <v>175</v>
      </c>
      <c r="BF127" s="389"/>
      <c r="BG127" s="521">
        <v>105</v>
      </c>
      <c r="BH127" s="402">
        <f t="shared" si="44"/>
        <v>620.80429629629634</v>
      </c>
      <c r="BI127" s="402">
        <f t="shared" si="45"/>
        <v>5.5872386666666669</v>
      </c>
    </row>
    <row r="128" spans="1:61" s="359" customFormat="1" ht="19.2" x14ac:dyDescent="0.3">
      <c r="A128" s="360" t="s">
        <v>183</v>
      </c>
      <c r="B128" s="579" t="s">
        <v>738</v>
      </c>
      <c r="C128" s="434" t="s">
        <v>610</v>
      </c>
      <c r="D128" s="361">
        <v>0.4</v>
      </c>
      <c r="E128" s="403"/>
      <c r="F128" s="404"/>
      <c r="G128" s="400"/>
      <c r="H128" s="401"/>
      <c r="I128" s="401"/>
      <c r="J128" s="401"/>
      <c r="K128" s="401"/>
      <c r="L128" s="401"/>
      <c r="M128" s="401"/>
      <c r="N128" s="401"/>
      <c r="O128" s="401"/>
      <c r="P128" s="401"/>
      <c r="Q128" s="401"/>
      <c r="R128" s="389"/>
      <c r="S128" s="389"/>
      <c r="T128" s="389"/>
      <c r="U128" s="521"/>
      <c r="V128" s="402"/>
      <c r="W128" s="402"/>
      <c r="X128" s="403"/>
      <c r="Y128" s="404"/>
      <c r="Z128" s="400"/>
      <c r="AA128" s="401"/>
      <c r="AB128" s="401"/>
      <c r="AC128" s="401"/>
      <c r="AD128" s="401"/>
      <c r="AE128" s="401"/>
      <c r="AF128" s="401"/>
      <c r="AG128" s="401"/>
      <c r="AH128" s="401"/>
      <c r="AI128" s="401"/>
      <c r="AJ128" s="401"/>
      <c r="AK128" s="385"/>
      <c r="AL128" s="439"/>
      <c r="AM128" s="389"/>
      <c r="AN128" s="521"/>
      <c r="AO128" s="402"/>
      <c r="AP128" s="402"/>
      <c r="AQ128" s="595">
        <v>128</v>
      </c>
      <c r="AR128" s="587">
        <v>15</v>
      </c>
      <c r="AS128" s="400">
        <v>15</v>
      </c>
      <c r="AT128" s="578">
        <v>111.91621000000001</v>
      </c>
      <c r="AU128" s="401">
        <v>79.460719999999995</v>
      </c>
      <c r="AV128" s="401">
        <v>13.738239999999999</v>
      </c>
      <c r="AW128" s="401">
        <f>20+40</f>
        <v>60</v>
      </c>
      <c r="AX128" s="401">
        <v>15.03969</v>
      </c>
      <c r="AY128" s="401">
        <v>0</v>
      </c>
      <c r="AZ128" s="401">
        <v>0</v>
      </c>
      <c r="BA128" s="401">
        <v>8.5768199999999997</v>
      </c>
      <c r="BB128" s="401">
        <v>107.33</v>
      </c>
      <c r="BC128" s="401">
        <v>10</v>
      </c>
      <c r="BD128" s="385" t="s">
        <v>167</v>
      </c>
      <c r="BE128" s="439" t="s">
        <v>175</v>
      </c>
      <c r="BF128" s="389"/>
      <c r="BG128" s="521">
        <v>110</v>
      </c>
      <c r="BH128" s="402">
        <f t="shared" si="44"/>
        <v>874.34539062500005</v>
      </c>
      <c r="BI128" s="402">
        <f t="shared" si="45"/>
        <v>7.4610806666666667</v>
      </c>
    </row>
    <row r="129" spans="1:61" s="359" customFormat="1" ht="19.2" x14ac:dyDescent="0.3">
      <c r="A129" s="360" t="s">
        <v>185</v>
      </c>
      <c r="B129" s="579" t="s">
        <v>739</v>
      </c>
      <c r="C129" s="434" t="s">
        <v>617</v>
      </c>
      <c r="D129" s="361">
        <v>0.4</v>
      </c>
      <c r="E129" s="403"/>
      <c r="F129" s="404"/>
      <c r="G129" s="400"/>
      <c r="H129" s="401"/>
      <c r="I129" s="401"/>
      <c r="J129" s="401"/>
      <c r="K129" s="401"/>
      <c r="L129" s="401"/>
      <c r="M129" s="401"/>
      <c r="N129" s="401"/>
      <c r="O129" s="401"/>
      <c r="P129" s="401"/>
      <c r="Q129" s="401"/>
      <c r="R129" s="389"/>
      <c r="S129" s="389"/>
      <c r="T129" s="389"/>
      <c r="U129" s="521"/>
      <c r="V129" s="402"/>
      <c r="W129" s="402"/>
      <c r="X129" s="403"/>
      <c r="Y129" s="404"/>
      <c r="Z129" s="400"/>
      <c r="AA129" s="401"/>
      <c r="AB129" s="401"/>
      <c r="AC129" s="401"/>
      <c r="AD129" s="401"/>
      <c r="AE129" s="401"/>
      <c r="AF129" s="401"/>
      <c r="AG129" s="401"/>
      <c r="AH129" s="401"/>
      <c r="AI129" s="401"/>
      <c r="AJ129" s="401"/>
      <c r="AK129" s="385"/>
      <c r="AL129" s="439"/>
      <c r="AM129" s="389"/>
      <c r="AN129" s="521"/>
      <c r="AO129" s="402"/>
      <c r="AP129" s="402"/>
      <c r="AQ129" s="595">
        <v>105</v>
      </c>
      <c r="AR129" s="587">
        <v>10</v>
      </c>
      <c r="AS129" s="400">
        <v>10</v>
      </c>
      <c r="AT129" s="578">
        <v>52.945990000000002</v>
      </c>
      <c r="AU129" s="401">
        <v>37.378779999999999</v>
      </c>
      <c r="AV129" s="401">
        <v>11.26965</v>
      </c>
      <c r="AW129" s="401">
        <v>19.856719999999999</v>
      </c>
      <c r="AX129" s="401">
        <v>6.9796699999999996</v>
      </c>
      <c r="AY129" s="401">
        <v>0</v>
      </c>
      <c r="AZ129" s="401">
        <v>0</v>
      </c>
      <c r="BA129" s="401">
        <v>4.2511700000000001</v>
      </c>
      <c r="BB129" s="401">
        <v>107.22</v>
      </c>
      <c r="BC129" s="401">
        <v>9.9283599999999996</v>
      </c>
      <c r="BD129" s="385" t="s">
        <v>167</v>
      </c>
      <c r="BE129" s="439" t="s">
        <v>175</v>
      </c>
      <c r="BF129" s="389"/>
      <c r="BG129" s="521">
        <v>117</v>
      </c>
      <c r="BH129" s="402">
        <f t="shared" ref="BH129:BH160" si="49">AT129/AQ129*1000</f>
        <v>504.24752380952384</v>
      </c>
      <c r="BI129" s="402">
        <f t="shared" ref="BI129:BI160" si="50">AT129/AR129</f>
        <v>5.2945989999999998</v>
      </c>
    </row>
    <row r="130" spans="1:61" s="359" customFormat="1" ht="19.2" x14ac:dyDescent="0.3">
      <c r="A130" s="360" t="s">
        <v>187</v>
      </c>
      <c r="B130" s="579" t="s">
        <v>740</v>
      </c>
      <c r="C130" s="434" t="s">
        <v>620</v>
      </c>
      <c r="D130" s="361">
        <v>0.4</v>
      </c>
      <c r="E130" s="403"/>
      <c r="F130" s="404"/>
      <c r="G130" s="400"/>
      <c r="H130" s="401"/>
      <c r="I130" s="401"/>
      <c r="J130" s="401"/>
      <c r="K130" s="401"/>
      <c r="L130" s="401"/>
      <c r="M130" s="401"/>
      <c r="N130" s="401"/>
      <c r="O130" s="401"/>
      <c r="P130" s="401"/>
      <c r="Q130" s="401"/>
      <c r="R130" s="389"/>
      <c r="S130" s="389"/>
      <c r="T130" s="389"/>
      <c r="U130" s="521"/>
      <c r="V130" s="402"/>
      <c r="W130" s="402"/>
      <c r="X130" s="403"/>
      <c r="Y130" s="404"/>
      <c r="Z130" s="400"/>
      <c r="AA130" s="401"/>
      <c r="AB130" s="401"/>
      <c r="AC130" s="401"/>
      <c r="AD130" s="401"/>
      <c r="AE130" s="401"/>
      <c r="AF130" s="401"/>
      <c r="AG130" s="401"/>
      <c r="AH130" s="401"/>
      <c r="AI130" s="401"/>
      <c r="AJ130" s="401"/>
      <c r="AK130" s="385"/>
      <c r="AL130" s="439"/>
      <c r="AM130" s="389"/>
      <c r="AN130" s="521"/>
      <c r="AO130" s="402"/>
      <c r="AP130" s="402"/>
      <c r="AQ130" s="595">
        <v>30</v>
      </c>
      <c r="AR130" s="587">
        <v>15</v>
      </c>
      <c r="AS130" s="400">
        <v>15</v>
      </c>
      <c r="AT130" s="578">
        <v>20.051649999999999</v>
      </c>
      <c r="AU130" s="401">
        <v>14.177149999999999</v>
      </c>
      <c r="AV130" s="401">
        <v>3.2199</v>
      </c>
      <c r="AW130" s="401">
        <v>9.9937699999999996</v>
      </c>
      <c r="AX130" s="401">
        <v>2.6271100000000001</v>
      </c>
      <c r="AY130" s="401">
        <v>0</v>
      </c>
      <c r="AZ130" s="401">
        <v>0</v>
      </c>
      <c r="BA130" s="401">
        <v>1.5906400000000001</v>
      </c>
      <c r="BB130" s="401">
        <v>107.33</v>
      </c>
      <c r="BC130" s="401">
        <v>9.9937699999999996</v>
      </c>
      <c r="BD130" s="385" t="s">
        <v>167</v>
      </c>
      <c r="BE130" s="439" t="s">
        <v>175</v>
      </c>
      <c r="BF130" s="389"/>
      <c r="BG130" s="521">
        <v>121</v>
      </c>
      <c r="BH130" s="402">
        <f t="shared" si="49"/>
        <v>668.38833333333321</v>
      </c>
      <c r="BI130" s="402">
        <f t="shared" si="50"/>
        <v>1.3367766666666665</v>
      </c>
    </row>
    <row r="131" spans="1:61" s="359" customFormat="1" ht="19.2" x14ac:dyDescent="0.3">
      <c r="A131" s="360" t="s">
        <v>190</v>
      </c>
      <c r="B131" s="579" t="s">
        <v>741</v>
      </c>
      <c r="C131" s="434" t="s">
        <v>621</v>
      </c>
      <c r="D131" s="361">
        <v>0.4</v>
      </c>
      <c r="E131" s="403"/>
      <c r="F131" s="404"/>
      <c r="G131" s="400"/>
      <c r="H131" s="401"/>
      <c r="I131" s="401"/>
      <c r="J131" s="401"/>
      <c r="K131" s="401"/>
      <c r="L131" s="401"/>
      <c r="M131" s="401"/>
      <c r="N131" s="401"/>
      <c r="O131" s="401"/>
      <c r="P131" s="401"/>
      <c r="Q131" s="401"/>
      <c r="R131" s="389"/>
      <c r="S131" s="389"/>
      <c r="T131" s="389"/>
      <c r="U131" s="521"/>
      <c r="V131" s="402"/>
      <c r="W131" s="402"/>
      <c r="X131" s="403"/>
      <c r="Y131" s="404"/>
      <c r="Z131" s="400"/>
      <c r="AA131" s="401"/>
      <c r="AB131" s="401"/>
      <c r="AC131" s="401"/>
      <c r="AD131" s="401"/>
      <c r="AE131" s="401"/>
      <c r="AF131" s="401"/>
      <c r="AG131" s="401"/>
      <c r="AH131" s="401"/>
      <c r="AI131" s="401"/>
      <c r="AJ131" s="401"/>
      <c r="AK131" s="385"/>
      <c r="AL131" s="439"/>
      <c r="AM131" s="389"/>
      <c r="AN131" s="521"/>
      <c r="AO131" s="402"/>
      <c r="AP131" s="402"/>
      <c r="AQ131" s="595">
        <v>40</v>
      </c>
      <c r="AR131" s="587">
        <v>15</v>
      </c>
      <c r="AS131" s="400">
        <v>15</v>
      </c>
      <c r="AT131" s="578">
        <v>36.583570000000002</v>
      </c>
      <c r="AU131" s="401">
        <v>25.86307</v>
      </c>
      <c r="AV131" s="401">
        <v>4.2931999999999997</v>
      </c>
      <c r="AW131" s="401">
        <v>19.987539999999999</v>
      </c>
      <c r="AX131" s="401">
        <v>5.0476299999999998</v>
      </c>
      <c r="AY131" s="401">
        <v>0</v>
      </c>
      <c r="AZ131" s="401">
        <v>0</v>
      </c>
      <c r="BA131" s="401">
        <v>2.80396</v>
      </c>
      <c r="BB131" s="401">
        <v>107.33</v>
      </c>
      <c r="BC131" s="401">
        <v>9.9937699999999996</v>
      </c>
      <c r="BD131" s="385" t="s">
        <v>167</v>
      </c>
      <c r="BE131" s="439" t="s">
        <v>175</v>
      </c>
      <c r="BF131" s="389"/>
      <c r="BG131" s="521">
        <v>125</v>
      </c>
      <c r="BH131" s="402">
        <f t="shared" si="49"/>
        <v>914.58924999999999</v>
      </c>
      <c r="BI131" s="402">
        <f t="shared" si="50"/>
        <v>2.4389046666666667</v>
      </c>
    </row>
    <row r="132" spans="1:61" s="359" customFormat="1" ht="19.2" x14ac:dyDescent="0.3">
      <c r="A132" s="360" t="s">
        <v>598</v>
      </c>
      <c r="B132" s="579" t="s">
        <v>742</v>
      </c>
      <c r="C132" s="434" t="s">
        <v>622</v>
      </c>
      <c r="D132" s="361">
        <v>0.4</v>
      </c>
      <c r="E132" s="403"/>
      <c r="F132" s="404"/>
      <c r="G132" s="400"/>
      <c r="H132" s="401"/>
      <c r="I132" s="401"/>
      <c r="J132" s="401"/>
      <c r="K132" s="401"/>
      <c r="L132" s="401"/>
      <c r="M132" s="401"/>
      <c r="N132" s="401"/>
      <c r="O132" s="401"/>
      <c r="P132" s="401"/>
      <c r="Q132" s="401"/>
      <c r="R132" s="389"/>
      <c r="S132" s="389"/>
      <c r="T132" s="389"/>
      <c r="U132" s="521"/>
      <c r="V132" s="402"/>
      <c r="W132" s="402"/>
      <c r="X132" s="403"/>
      <c r="Y132" s="404"/>
      <c r="Z132" s="400"/>
      <c r="AA132" s="401"/>
      <c r="AB132" s="401"/>
      <c r="AC132" s="401"/>
      <c r="AD132" s="401"/>
      <c r="AE132" s="401"/>
      <c r="AF132" s="401"/>
      <c r="AG132" s="401"/>
      <c r="AH132" s="401"/>
      <c r="AI132" s="401"/>
      <c r="AJ132" s="401"/>
      <c r="AK132" s="385"/>
      <c r="AL132" s="439"/>
      <c r="AM132" s="389"/>
      <c r="AN132" s="521"/>
      <c r="AO132" s="402"/>
      <c r="AP132" s="402"/>
      <c r="AQ132" s="595">
        <v>50</v>
      </c>
      <c r="AR132" s="587">
        <v>15</v>
      </c>
      <c r="AS132" s="400">
        <v>15</v>
      </c>
      <c r="AT132" s="578">
        <v>52.615229999999997</v>
      </c>
      <c r="AU132" s="401">
        <v>37.440069999999999</v>
      </c>
      <c r="AV132" s="401">
        <v>5.3665000000000003</v>
      </c>
      <c r="AW132" s="401">
        <v>29.981310000000001</v>
      </c>
      <c r="AX132" s="401">
        <v>6.8486799999999999</v>
      </c>
      <c r="AY132" s="401">
        <v>0</v>
      </c>
      <c r="AZ132" s="401">
        <v>0</v>
      </c>
      <c r="BA132" s="401">
        <v>4.0640000000000001</v>
      </c>
      <c r="BB132" s="401">
        <v>107.33</v>
      </c>
      <c r="BC132" s="401">
        <v>9.9937699999999996</v>
      </c>
      <c r="BD132" s="385" t="s">
        <v>167</v>
      </c>
      <c r="BE132" s="439" t="s">
        <v>175</v>
      </c>
      <c r="BF132" s="389"/>
      <c r="BG132" s="521">
        <v>129</v>
      </c>
      <c r="BH132" s="402">
        <f t="shared" si="49"/>
        <v>1052.3045999999999</v>
      </c>
      <c r="BI132" s="402">
        <f t="shared" si="50"/>
        <v>3.507682</v>
      </c>
    </row>
    <row r="133" spans="1:61" s="359" customFormat="1" ht="19.2" x14ac:dyDescent="0.3">
      <c r="A133" s="360" t="s">
        <v>599</v>
      </c>
      <c r="B133" s="579" t="s">
        <v>743</v>
      </c>
      <c r="C133" s="434" t="s">
        <v>624</v>
      </c>
      <c r="D133" s="361">
        <v>0.4</v>
      </c>
      <c r="E133" s="403"/>
      <c r="F133" s="404"/>
      <c r="G133" s="400"/>
      <c r="H133" s="401"/>
      <c r="I133" s="401"/>
      <c r="J133" s="401"/>
      <c r="K133" s="401"/>
      <c r="L133" s="401"/>
      <c r="M133" s="401"/>
      <c r="N133" s="401"/>
      <c r="O133" s="401"/>
      <c r="P133" s="401"/>
      <c r="Q133" s="401"/>
      <c r="R133" s="389"/>
      <c r="S133" s="389"/>
      <c r="T133" s="389"/>
      <c r="U133" s="521"/>
      <c r="V133" s="402"/>
      <c r="W133" s="402"/>
      <c r="X133" s="403"/>
      <c r="Y133" s="404"/>
      <c r="Z133" s="400"/>
      <c r="AA133" s="401"/>
      <c r="AB133" s="401"/>
      <c r="AC133" s="401"/>
      <c r="AD133" s="401"/>
      <c r="AE133" s="401"/>
      <c r="AF133" s="401"/>
      <c r="AG133" s="401"/>
      <c r="AH133" s="401"/>
      <c r="AI133" s="401"/>
      <c r="AJ133" s="401"/>
      <c r="AK133" s="385"/>
      <c r="AL133" s="439"/>
      <c r="AM133" s="389"/>
      <c r="AN133" s="521"/>
      <c r="AO133" s="402"/>
      <c r="AP133" s="402"/>
      <c r="AQ133" s="595">
        <v>30</v>
      </c>
      <c r="AR133" s="587">
        <v>35</v>
      </c>
      <c r="AS133" s="400">
        <v>35</v>
      </c>
      <c r="AT133" s="578">
        <v>22.647870000000001</v>
      </c>
      <c r="AU133" s="401">
        <v>16.77337</v>
      </c>
      <c r="AV133" s="401">
        <v>3.2199</v>
      </c>
      <c r="AW133" s="401">
        <v>9.9937699999999996</v>
      </c>
      <c r="AX133" s="401">
        <v>2.6271100000000001</v>
      </c>
      <c r="AY133" s="401">
        <v>0</v>
      </c>
      <c r="AZ133" s="401">
        <v>0</v>
      </c>
      <c r="BA133" s="401">
        <v>1.5906400000000001</v>
      </c>
      <c r="BB133" s="401">
        <v>107.33</v>
      </c>
      <c r="BC133" s="401">
        <v>9.9937699999999996</v>
      </c>
      <c r="BD133" s="385" t="s">
        <v>167</v>
      </c>
      <c r="BE133" s="439" t="s">
        <v>175</v>
      </c>
      <c r="BF133" s="389"/>
      <c r="BG133" s="521">
        <v>133</v>
      </c>
      <c r="BH133" s="402">
        <f t="shared" si="49"/>
        <v>754.92900000000009</v>
      </c>
      <c r="BI133" s="402">
        <f t="shared" si="50"/>
        <v>0.64708200000000005</v>
      </c>
    </row>
    <row r="134" spans="1:61" s="359" customFormat="1" ht="19.2" x14ac:dyDescent="0.3">
      <c r="A134" s="360" t="s">
        <v>600</v>
      </c>
      <c r="B134" s="579" t="s">
        <v>744</v>
      </c>
      <c r="C134" s="434" t="s">
        <v>629</v>
      </c>
      <c r="D134" s="361">
        <v>0.4</v>
      </c>
      <c r="E134" s="403"/>
      <c r="F134" s="404"/>
      <c r="G134" s="400"/>
      <c r="H134" s="401"/>
      <c r="I134" s="401"/>
      <c r="J134" s="401"/>
      <c r="K134" s="401"/>
      <c r="L134" s="401"/>
      <c r="M134" s="401"/>
      <c r="N134" s="401"/>
      <c r="O134" s="401"/>
      <c r="P134" s="401"/>
      <c r="Q134" s="401"/>
      <c r="R134" s="389"/>
      <c r="S134" s="389"/>
      <c r="T134" s="389"/>
      <c r="U134" s="521"/>
      <c r="V134" s="402"/>
      <c r="W134" s="402"/>
      <c r="X134" s="403"/>
      <c r="Y134" s="404"/>
      <c r="Z134" s="400"/>
      <c r="AA134" s="401"/>
      <c r="AB134" s="401"/>
      <c r="AC134" s="401"/>
      <c r="AD134" s="401"/>
      <c r="AE134" s="401"/>
      <c r="AF134" s="401"/>
      <c r="AG134" s="401"/>
      <c r="AH134" s="401"/>
      <c r="AI134" s="401"/>
      <c r="AJ134" s="401"/>
      <c r="AK134" s="385"/>
      <c r="AL134" s="439"/>
      <c r="AM134" s="389"/>
      <c r="AN134" s="521"/>
      <c r="AO134" s="402"/>
      <c r="AP134" s="402"/>
      <c r="AQ134" s="595">
        <v>85</v>
      </c>
      <c r="AR134" s="587">
        <v>15</v>
      </c>
      <c r="AS134" s="400">
        <v>15</v>
      </c>
      <c r="AT134" s="578">
        <v>45.938200000000002</v>
      </c>
      <c r="AU134" s="401">
        <v>31.697559999999999</v>
      </c>
      <c r="AV134" s="401">
        <v>9.1230499999999992</v>
      </c>
      <c r="AW134" s="401">
        <v>19.856719999999999</v>
      </c>
      <c r="AX134" s="401">
        <v>6.4063600000000003</v>
      </c>
      <c r="AY134" s="401">
        <v>0</v>
      </c>
      <c r="AZ134" s="401">
        <v>0</v>
      </c>
      <c r="BA134" s="401">
        <v>3.8713199999999999</v>
      </c>
      <c r="BB134" s="401">
        <v>107.33</v>
      </c>
      <c r="BC134" s="401">
        <v>9.9283599999999996</v>
      </c>
      <c r="BD134" s="385" t="s">
        <v>167</v>
      </c>
      <c r="BE134" s="439" t="s">
        <v>175</v>
      </c>
      <c r="BF134" s="389"/>
      <c r="BG134" s="521">
        <v>137</v>
      </c>
      <c r="BH134" s="402">
        <f t="shared" si="49"/>
        <v>540.44941176470593</v>
      </c>
      <c r="BI134" s="402">
        <f t="shared" si="50"/>
        <v>3.062546666666667</v>
      </c>
    </row>
    <row r="135" spans="1:61" s="359" customFormat="1" ht="19.2" x14ac:dyDescent="0.3">
      <c r="A135" s="360" t="s">
        <v>601</v>
      </c>
      <c r="B135" s="579" t="s">
        <v>745</v>
      </c>
      <c r="C135" s="434" t="s">
        <v>648</v>
      </c>
      <c r="D135" s="361">
        <v>0.4</v>
      </c>
      <c r="E135" s="403"/>
      <c r="F135" s="404"/>
      <c r="G135" s="400"/>
      <c r="H135" s="401"/>
      <c r="I135" s="401"/>
      <c r="J135" s="401"/>
      <c r="K135" s="401"/>
      <c r="L135" s="401"/>
      <c r="M135" s="401"/>
      <c r="N135" s="401"/>
      <c r="O135" s="401"/>
      <c r="P135" s="401"/>
      <c r="Q135" s="401"/>
      <c r="R135" s="389"/>
      <c r="S135" s="389"/>
      <c r="T135" s="389"/>
      <c r="U135" s="521"/>
      <c r="V135" s="402"/>
      <c r="W135" s="402"/>
      <c r="X135" s="403"/>
      <c r="Y135" s="404"/>
      <c r="Z135" s="400"/>
      <c r="AA135" s="401"/>
      <c r="AB135" s="401"/>
      <c r="AC135" s="401"/>
      <c r="AD135" s="401"/>
      <c r="AE135" s="401"/>
      <c r="AF135" s="401"/>
      <c r="AG135" s="401"/>
      <c r="AH135" s="401"/>
      <c r="AI135" s="401"/>
      <c r="AJ135" s="401"/>
      <c r="AK135" s="385"/>
      <c r="AL135" s="439"/>
      <c r="AM135" s="389"/>
      <c r="AN135" s="521"/>
      <c r="AO135" s="402"/>
      <c r="AP135" s="402"/>
      <c r="AQ135" s="595">
        <v>94</v>
      </c>
      <c r="AR135" s="587">
        <v>15</v>
      </c>
      <c r="AS135" s="400">
        <v>15</v>
      </c>
      <c r="AT135" s="578">
        <v>84.033209999999997</v>
      </c>
      <c r="AU135" s="401">
        <v>61.439459999999997</v>
      </c>
      <c r="AV135" s="401">
        <v>10.772399999999999</v>
      </c>
      <c r="AW135" s="401">
        <f>19.7581+19.7581</f>
        <v>39.516199999999998</v>
      </c>
      <c r="AX135" s="401">
        <v>10.054550000000001</v>
      </c>
      <c r="AY135" s="401">
        <v>0</v>
      </c>
      <c r="AZ135" s="401">
        <v>0</v>
      </c>
      <c r="BA135" s="401">
        <v>6.1279500000000002</v>
      </c>
      <c r="BB135" s="401">
        <v>114.6</v>
      </c>
      <c r="BC135" s="401">
        <v>9.8790499999999994</v>
      </c>
      <c r="BD135" s="385" t="s">
        <v>167</v>
      </c>
      <c r="BE135" s="439" t="s">
        <v>175</v>
      </c>
      <c r="BF135" s="389"/>
      <c r="BG135" s="521">
        <v>142</v>
      </c>
      <c r="BH135" s="402">
        <f t="shared" si="49"/>
        <v>893.97031914893614</v>
      </c>
      <c r="BI135" s="402">
        <f t="shared" si="50"/>
        <v>5.602214</v>
      </c>
    </row>
    <row r="136" spans="1:61" s="359" customFormat="1" ht="19.2" x14ac:dyDescent="0.3">
      <c r="A136" s="360" t="s">
        <v>602</v>
      </c>
      <c r="B136" s="579" t="s">
        <v>746</v>
      </c>
      <c r="C136" s="434" t="s">
        <v>650</v>
      </c>
      <c r="D136" s="361">
        <v>0.4</v>
      </c>
      <c r="E136" s="403"/>
      <c r="F136" s="404"/>
      <c r="G136" s="400"/>
      <c r="H136" s="401"/>
      <c r="I136" s="401"/>
      <c r="J136" s="401"/>
      <c r="K136" s="401"/>
      <c r="L136" s="401"/>
      <c r="M136" s="401"/>
      <c r="N136" s="401"/>
      <c r="O136" s="401"/>
      <c r="P136" s="401"/>
      <c r="Q136" s="401"/>
      <c r="R136" s="389"/>
      <c r="S136" s="389"/>
      <c r="T136" s="389"/>
      <c r="U136" s="521"/>
      <c r="V136" s="402"/>
      <c r="W136" s="402"/>
      <c r="X136" s="403"/>
      <c r="Y136" s="404"/>
      <c r="Z136" s="400"/>
      <c r="AA136" s="401"/>
      <c r="AB136" s="401"/>
      <c r="AC136" s="401"/>
      <c r="AD136" s="401"/>
      <c r="AE136" s="401"/>
      <c r="AF136" s="401"/>
      <c r="AG136" s="401"/>
      <c r="AH136" s="401"/>
      <c r="AI136" s="401"/>
      <c r="AJ136" s="401"/>
      <c r="AK136" s="385"/>
      <c r="AL136" s="439"/>
      <c r="AM136" s="389"/>
      <c r="AN136" s="521"/>
      <c r="AO136" s="402"/>
      <c r="AP136" s="402"/>
      <c r="AQ136" s="595">
        <v>220</v>
      </c>
      <c r="AR136" s="587">
        <v>85</v>
      </c>
      <c r="AS136" s="400">
        <v>85</v>
      </c>
      <c r="AT136" s="578">
        <v>59.19849</v>
      </c>
      <c r="AU136" s="401">
        <v>40.304819999999999</v>
      </c>
      <c r="AV136" s="401">
        <v>25.212</v>
      </c>
      <c r="AW136" s="401">
        <v>9.8790499999999994</v>
      </c>
      <c r="AX136" s="401">
        <v>8.2913300000000003</v>
      </c>
      <c r="AY136" s="401">
        <v>0</v>
      </c>
      <c r="AZ136" s="401">
        <v>0</v>
      </c>
      <c r="BA136" s="401">
        <v>5.30687</v>
      </c>
      <c r="BB136" s="401">
        <v>114.6</v>
      </c>
      <c r="BC136" s="401">
        <v>9.8790499999999994</v>
      </c>
      <c r="BD136" s="385" t="s">
        <v>167</v>
      </c>
      <c r="BE136" s="439" t="s">
        <v>175</v>
      </c>
      <c r="BF136" s="389"/>
      <c r="BG136" s="521">
        <v>145</v>
      </c>
      <c r="BH136" s="402">
        <f t="shared" si="49"/>
        <v>269.08404545454545</v>
      </c>
      <c r="BI136" s="402">
        <f t="shared" si="50"/>
        <v>0.69645282352941174</v>
      </c>
    </row>
    <row r="137" spans="1:61" s="359" customFormat="1" ht="19.2" x14ac:dyDescent="0.3">
      <c r="A137" s="360" t="s">
        <v>603</v>
      </c>
      <c r="B137" s="579" t="s">
        <v>747</v>
      </c>
      <c r="C137" s="434" t="s">
        <v>660</v>
      </c>
      <c r="D137" s="361">
        <v>0.4</v>
      </c>
      <c r="E137" s="403"/>
      <c r="F137" s="404"/>
      <c r="G137" s="400"/>
      <c r="H137" s="401"/>
      <c r="I137" s="401"/>
      <c r="J137" s="401"/>
      <c r="K137" s="401"/>
      <c r="L137" s="401"/>
      <c r="M137" s="401"/>
      <c r="N137" s="401"/>
      <c r="O137" s="401"/>
      <c r="P137" s="401"/>
      <c r="Q137" s="401"/>
      <c r="R137" s="389"/>
      <c r="S137" s="389"/>
      <c r="T137" s="389"/>
      <c r="U137" s="521"/>
      <c r="V137" s="402"/>
      <c r="W137" s="402"/>
      <c r="X137" s="403"/>
      <c r="Y137" s="404"/>
      <c r="Z137" s="400"/>
      <c r="AA137" s="401"/>
      <c r="AB137" s="401"/>
      <c r="AC137" s="401"/>
      <c r="AD137" s="401"/>
      <c r="AE137" s="401"/>
      <c r="AF137" s="401"/>
      <c r="AG137" s="401"/>
      <c r="AH137" s="401"/>
      <c r="AI137" s="401"/>
      <c r="AJ137" s="401"/>
      <c r="AK137" s="385"/>
      <c r="AL137" s="439"/>
      <c r="AM137" s="389"/>
      <c r="AN137" s="521"/>
      <c r="AO137" s="402"/>
      <c r="AP137" s="402"/>
      <c r="AQ137" s="595">
        <v>140</v>
      </c>
      <c r="AR137" s="587">
        <v>10</v>
      </c>
      <c r="AS137" s="400">
        <v>10</v>
      </c>
      <c r="AT137" s="578">
        <v>88.071950000000001</v>
      </c>
      <c r="AU137" s="401">
        <v>62.280070000000002</v>
      </c>
      <c r="AV137" s="401">
        <v>16.044</v>
      </c>
      <c r="AW137" s="401">
        <v>39.47392</v>
      </c>
      <c r="AX137" s="401">
        <v>11.4071</v>
      </c>
      <c r="AY137" s="401">
        <v>0</v>
      </c>
      <c r="AZ137" s="401">
        <v>0</v>
      </c>
      <c r="BA137" s="401">
        <v>7.0189700000000004</v>
      </c>
      <c r="BB137" s="401">
        <v>114.6</v>
      </c>
      <c r="BC137" s="401">
        <v>9.8684799999999999</v>
      </c>
      <c r="BD137" s="385" t="s">
        <v>167</v>
      </c>
      <c r="BE137" s="439" t="s">
        <v>175</v>
      </c>
      <c r="BF137" s="389"/>
      <c r="BG137" s="521">
        <v>149</v>
      </c>
      <c r="BH137" s="402">
        <f t="shared" si="49"/>
        <v>629.08535714285722</v>
      </c>
      <c r="BI137" s="402">
        <f t="shared" si="50"/>
        <v>8.8071950000000001</v>
      </c>
    </row>
    <row r="138" spans="1:61" s="359" customFormat="1" ht="19.2" x14ac:dyDescent="0.3">
      <c r="A138" s="360" t="s">
        <v>604</v>
      </c>
      <c r="B138" s="579" t="s">
        <v>748</v>
      </c>
      <c r="C138" s="434" t="s">
        <v>661</v>
      </c>
      <c r="D138" s="361">
        <v>0.4</v>
      </c>
      <c r="E138" s="403"/>
      <c r="F138" s="404"/>
      <c r="G138" s="400"/>
      <c r="H138" s="401"/>
      <c r="I138" s="401"/>
      <c r="J138" s="401"/>
      <c r="K138" s="401"/>
      <c r="L138" s="401"/>
      <c r="M138" s="401"/>
      <c r="N138" s="401"/>
      <c r="O138" s="401"/>
      <c r="P138" s="401"/>
      <c r="Q138" s="401"/>
      <c r="R138" s="389"/>
      <c r="S138" s="389"/>
      <c r="T138" s="389"/>
      <c r="U138" s="521"/>
      <c r="V138" s="402"/>
      <c r="W138" s="402"/>
      <c r="X138" s="403"/>
      <c r="Y138" s="404"/>
      <c r="Z138" s="400"/>
      <c r="AA138" s="401"/>
      <c r="AB138" s="401"/>
      <c r="AC138" s="401"/>
      <c r="AD138" s="401"/>
      <c r="AE138" s="401"/>
      <c r="AF138" s="401"/>
      <c r="AG138" s="401"/>
      <c r="AH138" s="401"/>
      <c r="AI138" s="401"/>
      <c r="AJ138" s="401"/>
      <c r="AK138" s="385"/>
      <c r="AL138" s="439"/>
      <c r="AM138" s="389"/>
      <c r="AN138" s="521"/>
      <c r="AO138" s="402"/>
      <c r="AP138" s="402"/>
      <c r="AQ138" s="595">
        <v>130</v>
      </c>
      <c r="AR138" s="587">
        <v>15</v>
      </c>
      <c r="AS138" s="400">
        <v>15</v>
      </c>
      <c r="AT138" s="578">
        <v>89.254519999999999</v>
      </c>
      <c r="AU138" s="401">
        <v>63.939300000000003</v>
      </c>
      <c r="AV138" s="401">
        <v>14.898</v>
      </c>
      <c r="AW138" s="401">
        <f>19.73696+19.73696</f>
        <v>39.47392</v>
      </c>
      <c r="AX138" s="401">
        <v>11.42376</v>
      </c>
      <c r="AY138" s="401">
        <v>0</v>
      </c>
      <c r="AZ138" s="401">
        <v>0</v>
      </c>
      <c r="BA138" s="401">
        <v>6.8080800000000004</v>
      </c>
      <c r="BB138" s="401">
        <v>114.6</v>
      </c>
      <c r="BC138" s="401">
        <v>9.8684799999999999</v>
      </c>
      <c r="BD138" s="385" t="s">
        <v>167</v>
      </c>
      <c r="BE138" s="439" t="s">
        <v>175</v>
      </c>
      <c r="BF138" s="389"/>
      <c r="BG138" s="521">
        <v>154</v>
      </c>
      <c r="BH138" s="402">
        <f t="shared" si="49"/>
        <v>686.57323076923069</v>
      </c>
      <c r="BI138" s="402">
        <f t="shared" si="50"/>
        <v>5.950301333333333</v>
      </c>
    </row>
    <row r="139" spans="1:61" s="359" customFormat="1" ht="19.2" x14ac:dyDescent="0.3">
      <c r="A139" s="360" t="s">
        <v>605</v>
      </c>
      <c r="B139" s="579" t="s">
        <v>749</v>
      </c>
      <c r="C139" s="434" t="s">
        <v>678</v>
      </c>
      <c r="D139" s="361">
        <v>0.4</v>
      </c>
      <c r="E139" s="403"/>
      <c r="F139" s="404"/>
      <c r="G139" s="400"/>
      <c r="H139" s="401"/>
      <c r="I139" s="401"/>
      <c r="J139" s="401"/>
      <c r="K139" s="401"/>
      <c r="L139" s="401"/>
      <c r="M139" s="401"/>
      <c r="N139" s="401"/>
      <c r="O139" s="401"/>
      <c r="P139" s="401"/>
      <c r="Q139" s="401"/>
      <c r="R139" s="389"/>
      <c r="S139" s="389"/>
      <c r="T139" s="389"/>
      <c r="U139" s="521"/>
      <c r="V139" s="402"/>
      <c r="W139" s="402"/>
      <c r="X139" s="403"/>
      <c r="Y139" s="404"/>
      <c r="Z139" s="400"/>
      <c r="AA139" s="401"/>
      <c r="AB139" s="401"/>
      <c r="AC139" s="401"/>
      <c r="AD139" s="401"/>
      <c r="AE139" s="401"/>
      <c r="AF139" s="401"/>
      <c r="AG139" s="401"/>
      <c r="AH139" s="401"/>
      <c r="AI139" s="401"/>
      <c r="AJ139" s="401"/>
      <c r="AK139" s="385"/>
      <c r="AL139" s="439"/>
      <c r="AM139" s="389"/>
      <c r="AN139" s="521"/>
      <c r="AO139" s="402"/>
      <c r="AP139" s="402"/>
      <c r="AQ139" s="595">
        <v>70</v>
      </c>
      <c r="AR139" s="587">
        <v>15</v>
      </c>
      <c r="AS139" s="400">
        <v>15</v>
      </c>
      <c r="AT139" s="578">
        <v>14.321</v>
      </c>
      <c r="AU139" s="401">
        <v>9.8104099999999992</v>
      </c>
      <c r="AV139" s="401">
        <v>8.0220000000000002</v>
      </c>
      <c r="AW139" s="401">
        <v>9.8644400000000001</v>
      </c>
      <c r="AX139" s="401">
        <v>1.9192899999999999</v>
      </c>
      <c r="AY139" s="401">
        <v>0</v>
      </c>
      <c r="AZ139" s="401">
        <v>0</v>
      </c>
      <c r="BA139" s="401">
        <v>1.2850600000000001</v>
      </c>
      <c r="BB139" s="401">
        <v>114.6</v>
      </c>
      <c r="BC139" s="401">
        <v>9.8644400000000001</v>
      </c>
      <c r="BD139" s="385" t="s">
        <v>167</v>
      </c>
      <c r="BE139" s="439" t="s">
        <v>175</v>
      </c>
      <c r="BF139" s="389"/>
      <c r="BG139" s="521">
        <v>159</v>
      </c>
      <c r="BH139" s="402">
        <f t="shared" si="49"/>
        <v>204.58571428571429</v>
      </c>
      <c r="BI139" s="402">
        <f t="shared" si="50"/>
        <v>0.95473333333333332</v>
      </c>
    </row>
    <row r="140" spans="1:61" s="359" customFormat="1" ht="19.2" x14ac:dyDescent="0.3">
      <c r="A140" s="360" t="s">
        <v>606</v>
      </c>
      <c r="B140" s="579" t="s">
        <v>750</v>
      </c>
      <c r="C140" s="434" t="s">
        <v>702</v>
      </c>
      <c r="D140" s="361">
        <v>0.4</v>
      </c>
      <c r="E140" s="403"/>
      <c r="F140" s="404"/>
      <c r="G140" s="400"/>
      <c r="H140" s="401"/>
      <c r="I140" s="401"/>
      <c r="J140" s="401"/>
      <c r="K140" s="401"/>
      <c r="L140" s="401"/>
      <c r="M140" s="401"/>
      <c r="N140" s="401"/>
      <c r="O140" s="401"/>
      <c r="P140" s="401"/>
      <c r="Q140" s="401"/>
      <c r="R140" s="389"/>
      <c r="S140" s="389"/>
      <c r="T140" s="389"/>
      <c r="U140" s="521"/>
      <c r="V140" s="402"/>
      <c r="W140" s="402"/>
      <c r="X140" s="403"/>
      <c r="Y140" s="404"/>
      <c r="Z140" s="400"/>
      <c r="AA140" s="401"/>
      <c r="AB140" s="401"/>
      <c r="AC140" s="401"/>
      <c r="AD140" s="401"/>
      <c r="AE140" s="401"/>
      <c r="AF140" s="401"/>
      <c r="AG140" s="401"/>
      <c r="AH140" s="401"/>
      <c r="AI140" s="401"/>
      <c r="AJ140" s="401"/>
      <c r="AK140" s="385"/>
      <c r="AL140" s="439"/>
      <c r="AM140" s="389"/>
      <c r="AN140" s="521"/>
      <c r="AO140" s="402"/>
      <c r="AP140" s="402"/>
      <c r="AQ140" s="595">
        <v>45</v>
      </c>
      <c r="AR140" s="587">
        <v>15</v>
      </c>
      <c r="AS140" s="400">
        <v>15</v>
      </c>
      <c r="AT140" s="578">
        <v>26.17868</v>
      </c>
      <c r="AU140" s="401">
        <v>19.055499999999999</v>
      </c>
      <c r="AV140" s="401">
        <v>5.157</v>
      </c>
      <c r="AW140" s="401">
        <v>9.86219</v>
      </c>
      <c r="AX140" s="401">
        <v>3.1566900000000002</v>
      </c>
      <c r="AY140" s="401">
        <v>0</v>
      </c>
      <c r="AZ140" s="401">
        <v>0</v>
      </c>
      <c r="BA140" s="401">
        <v>1.9383300000000001</v>
      </c>
      <c r="BB140" s="401">
        <v>114.6</v>
      </c>
      <c r="BC140" s="401">
        <v>9.86219</v>
      </c>
      <c r="BD140" s="385" t="s">
        <v>167</v>
      </c>
      <c r="BE140" s="439" t="s">
        <v>175</v>
      </c>
      <c r="BF140" s="389"/>
      <c r="BG140" s="521">
        <v>163</v>
      </c>
      <c r="BH140" s="402">
        <f t="shared" si="49"/>
        <v>581.74844444444443</v>
      </c>
      <c r="BI140" s="402">
        <f t="shared" si="50"/>
        <v>1.7452453333333333</v>
      </c>
    </row>
    <row r="141" spans="1:61" s="359" customFormat="1" ht="19.2" x14ac:dyDescent="0.3">
      <c r="A141" s="360" t="s">
        <v>607</v>
      </c>
      <c r="B141" s="579" t="s">
        <v>751</v>
      </c>
      <c r="C141" s="434" t="s">
        <v>703</v>
      </c>
      <c r="D141" s="361">
        <v>0.4</v>
      </c>
      <c r="E141" s="403"/>
      <c r="F141" s="404"/>
      <c r="G141" s="400"/>
      <c r="H141" s="401"/>
      <c r="I141" s="401"/>
      <c r="J141" s="401"/>
      <c r="K141" s="401"/>
      <c r="L141" s="401"/>
      <c r="M141" s="401"/>
      <c r="N141" s="401"/>
      <c r="O141" s="401"/>
      <c r="P141" s="401"/>
      <c r="Q141" s="401"/>
      <c r="R141" s="389"/>
      <c r="S141" s="389"/>
      <c r="T141" s="389"/>
      <c r="U141" s="521"/>
      <c r="V141" s="402"/>
      <c r="W141" s="402"/>
      <c r="X141" s="403"/>
      <c r="Y141" s="404"/>
      <c r="Z141" s="400"/>
      <c r="AA141" s="401"/>
      <c r="AB141" s="401"/>
      <c r="AC141" s="401"/>
      <c r="AD141" s="401"/>
      <c r="AE141" s="401"/>
      <c r="AF141" s="401"/>
      <c r="AG141" s="401"/>
      <c r="AH141" s="401"/>
      <c r="AI141" s="401"/>
      <c r="AJ141" s="401"/>
      <c r="AK141" s="385"/>
      <c r="AL141" s="439"/>
      <c r="AM141" s="389"/>
      <c r="AN141" s="521"/>
      <c r="AO141" s="402"/>
      <c r="AP141" s="402"/>
      <c r="AQ141" s="595">
        <v>90</v>
      </c>
      <c r="AR141" s="587">
        <v>15</v>
      </c>
      <c r="AS141" s="400">
        <v>15</v>
      </c>
      <c r="AT141" s="578">
        <v>36.103810000000003</v>
      </c>
      <c r="AU141" s="401">
        <v>26.080549999999999</v>
      </c>
      <c r="AV141" s="401">
        <v>10.314</v>
      </c>
      <c r="AW141" s="401">
        <v>9.86219</v>
      </c>
      <c r="AX141" s="401">
        <v>4.3905099999999999</v>
      </c>
      <c r="AY141" s="401">
        <v>0</v>
      </c>
      <c r="AZ141" s="401">
        <v>0</v>
      </c>
      <c r="BA141" s="401">
        <v>2.7644299999999999</v>
      </c>
      <c r="BB141" s="401">
        <v>114.6</v>
      </c>
      <c r="BC141" s="401">
        <v>9.86219</v>
      </c>
      <c r="BD141" s="385" t="s">
        <v>167</v>
      </c>
      <c r="BE141" s="439" t="s">
        <v>175</v>
      </c>
      <c r="BF141" s="389"/>
      <c r="BG141" s="521">
        <v>167</v>
      </c>
      <c r="BH141" s="402">
        <f t="shared" si="49"/>
        <v>401.15344444444446</v>
      </c>
      <c r="BI141" s="402">
        <f t="shared" si="50"/>
        <v>2.4069206666666667</v>
      </c>
    </row>
    <row r="142" spans="1:61" s="359" customFormat="1" ht="19.2" x14ac:dyDescent="0.3">
      <c r="A142" s="360" t="s">
        <v>608</v>
      </c>
      <c r="B142" s="579" t="s">
        <v>752</v>
      </c>
      <c r="C142" s="434" t="s">
        <v>706</v>
      </c>
      <c r="D142" s="361">
        <v>0.4</v>
      </c>
      <c r="E142" s="403"/>
      <c r="F142" s="404"/>
      <c r="G142" s="400"/>
      <c r="H142" s="401"/>
      <c r="I142" s="401"/>
      <c r="J142" s="401"/>
      <c r="K142" s="401"/>
      <c r="L142" s="401"/>
      <c r="M142" s="401"/>
      <c r="N142" s="401"/>
      <c r="O142" s="401"/>
      <c r="P142" s="401"/>
      <c r="Q142" s="401"/>
      <c r="R142" s="389"/>
      <c r="S142" s="389"/>
      <c r="T142" s="389"/>
      <c r="U142" s="521"/>
      <c r="V142" s="402"/>
      <c r="W142" s="402"/>
      <c r="X142" s="403"/>
      <c r="Y142" s="404"/>
      <c r="Z142" s="400"/>
      <c r="AA142" s="401"/>
      <c r="AB142" s="401"/>
      <c r="AC142" s="401"/>
      <c r="AD142" s="401"/>
      <c r="AE142" s="401"/>
      <c r="AF142" s="401"/>
      <c r="AG142" s="401"/>
      <c r="AH142" s="401"/>
      <c r="AI142" s="401"/>
      <c r="AJ142" s="401"/>
      <c r="AK142" s="385"/>
      <c r="AL142" s="439"/>
      <c r="AM142" s="389"/>
      <c r="AN142" s="521"/>
      <c r="AO142" s="402"/>
      <c r="AP142" s="402"/>
      <c r="AQ142" s="595">
        <v>90</v>
      </c>
      <c r="AR142" s="587">
        <v>15</v>
      </c>
      <c r="AS142" s="400">
        <v>15</v>
      </c>
      <c r="AT142" s="578">
        <v>64.573880000000003</v>
      </c>
      <c r="AU142" s="401">
        <v>45.39396</v>
      </c>
      <c r="AV142" s="401">
        <v>10.314</v>
      </c>
      <c r="AW142" s="401">
        <f>9.86219+19.72438</f>
        <v>29.586570000000002</v>
      </c>
      <c r="AX142" s="401">
        <v>8.9581700000000009</v>
      </c>
      <c r="AY142" s="401">
        <v>0</v>
      </c>
      <c r="AZ142" s="401">
        <v>0</v>
      </c>
      <c r="BA142" s="401">
        <v>5.073118</v>
      </c>
      <c r="BB142" s="401">
        <v>114.6</v>
      </c>
      <c r="BC142" s="401">
        <v>9.86219</v>
      </c>
      <c r="BD142" s="385" t="s">
        <v>167</v>
      </c>
      <c r="BE142" s="439" t="s">
        <v>175</v>
      </c>
      <c r="BF142" s="389"/>
      <c r="BG142" s="521">
        <v>172</v>
      </c>
      <c r="BH142" s="402">
        <f t="shared" si="49"/>
        <v>717.48755555555556</v>
      </c>
      <c r="BI142" s="402">
        <f t="shared" si="50"/>
        <v>4.3049253333333333</v>
      </c>
    </row>
    <row r="143" spans="1:61" s="359" customFormat="1" ht="19.2" x14ac:dyDescent="0.3">
      <c r="A143" s="360" t="s">
        <v>1107</v>
      </c>
      <c r="B143" s="579" t="s">
        <v>753</v>
      </c>
      <c r="C143" s="434" t="s">
        <v>708</v>
      </c>
      <c r="D143" s="361">
        <v>0.4</v>
      </c>
      <c r="E143" s="403"/>
      <c r="F143" s="404"/>
      <c r="G143" s="400"/>
      <c r="H143" s="401"/>
      <c r="I143" s="401"/>
      <c r="J143" s="401"/>
      <c r="K143" s="401"/>
      <c r="L143" s="401"/>
      <c r="M143" s="401"/>
      <c r="N143" s="401"/>
      <c r="O143" s="401"/>
      <c r="P143" s="401"/>
      <c r="Q143" s="401"/>
      <c r="R143" s="389"/>
      <c r="S143" s="389"/>
      <c r="T143" s="389"/>
      <c r="U143" s="521"/>
      <c r="V143" s="402"/>
      <c r="W143" s="402"/>
      <c r="X143" s="403"/>
      <c r="Y143" s="404"/>
      <c r="Z143" s="400"/>
      <c r="AA143" s="401"/>
      <c r="AB143" s="401"/>
      <c r="AC143" s="401"/>
      <c r="AD143" s="401"/>
      <c r="AE143" s="401"/>
      <c r="AF143" s="401"/>
      <c r="AG143" s="401"/>
      <c r="AH143" s="401"/>
      <c r="AI143" s="401"/>
      <c r="AJ143" s="401"/>
      <c r="AK143" s="385"/>
      <c r="AL143" s="439"/>
      <c r="AM143" s="389"/>
      <c r="AN143" s="521"/>
      <c r="AO143" s="402"/>
      <c r="AP143" s="402"/>
      <c r="AQ143" s="595">
        <v>100</v>
      </c>
      <c r="AR143" s="587">
        <v>15</v>
      </c>
      <c r="AS143" s="400">
        <v>15</v>
      </c>
      <c r="AT143" s="578">
        <v>66.885319999999993</v>
      </c>
      <c r="AU143" s="401">
        <v>47.217109999999998</v>
      </c>
      <c r="AV143" s="401">
        <v>11.46</v>
      </c>
      <c r="AW143" s="401">
        <v>29.586569999999998</v>
      </c>
      <c r="AX143" s="401">
        <v>8.9525199999999998</v>
      </c>
      <c r="AY143" s="401">
        <v>0</v>
      </c>
      <c r="AZ143" s="401">
        <v>0</v>
      </c>
      <c r="BA143" s="401">
        <v>5.2846799999999998</v>
      </c>
      <c r="BB143" s="401">
        <v>114.6</v>
      </c>
      <c r="BC143" s="401">
        <v>9.86219</v>
      </c>
      <c r="BD143" s="385" t="s">
        <v>167</v>
      </c>
      <c r="BE143" s="439" t="s">
        <v>175</v>
      </c>
      <c r="BF143" s="389"/>
      <c r="BG143" s="521">
        <v>175</v>
      </c>
      <c r="BH143" s="402">
        <f t="shared" si="49"/>
        <v>668.8531999999999</v>
      </c>
      <c r="BI143" s="402">
        <f t="shared" si="50"/>
        <v>4.4590213333333333</v>
      </c>
    </row>
    <row r="144" spans="1:61" s="359" customFormat="1" x14ac:dyDescent="0.3">
      <c r="A144" s="360"/>
      <c r="B144" s="382"/>
      <c r="C144" s="434"/>
      <c r="D144" s="361"/>
      <c r="E144" s="403"/>
      <c r="F144" s="404"/>
      <c r="G144" s="400"/>
      <c r="H144" s="401"/>
      <c r="I144" s="401"/>
      <c r="J144" s="401"/>
      <c r="K144" s="401"/>
      <c r="L144" s="401"/>
      <c r="M144" s="401"/>
      <c r="N144" s="401"/>
      <c r="O144" s="401"/>
      <c r="P144" s="401"/>
      <c r="Q144" s="401"/>
      <c r="R144" s="389"/>
      <c r="S144" s="389"/>
      <c r="T144" s="389"/>
      <c r="U144" s="521"/>
      <c r="V144" s="402"/>
      <c r="W144" s="402"/>
      <c r="X144" s="403"/>
      <c r="Y144" s="404"/>
      <c r="Z144" s="400"/>
      <c r="AA144" s="401"/>
      <c r="AB144" s="401"/>
      <c r="AC144" s="401"/>
      <c r="AD144" s="401"/>
      <c r="AE144" s="401"/>
      <c r="AF144" s="401"/>
      <c r="AG144" s="401"/>
      <c r="AH144" s="401"/>
      <c r="AI144" s="401"/>
      <c r="AJ144" s="401"/>
      <c r="AK144" s="385"/>
      <c r="AL144" s="439"/>
      <c r="AM144" s="389"/>
      <c r="AN144" s="521"/>
      <c r="AO144" s="402"/>
      <c r="AP144" s="402"/>
      <c r="AQ144" s="595"/>
      <c r="AR144" s="587"/>
      <c r="AS144" s="400"/>
      <c r="AT144" s="401"/>
      <c r="AU144" s="401"/>
      <c r="AV144" s="401"/>
      <c r="AW144" s="401"/>
      <c r="AX144" s="401"/>
      <c r="AY144" s="401"/>
      <c r="AZ144" s="401"/>
      <c r="BA144" s="401"/>
      <c r="BB144" s="401"/>
      <c r="BC144" s="401"/>
      <c r="BD144" s="385"/>
      <c r="BE144" s="439"/>
      <c r="BF144" s="389"/>
      <c r="BG144" s="521"/>
      <c r="BH144" s="402" t="e">
        <f t="shared" si="49"/>
        <v>#DIV/0!</v>
      </c>
      <c r="BI144" s="402" t="e">
        <f t="shared" si="50"/>
        <v>#DIV/0!</v>
      </c>
    </row>
    <row r="145" spans="1:61" s="359" customFormat="1" x14ac:dyDescent="0.3">
      <c r="A145" s="360"/>
      <c r="B145" s="382"/>
      <c r="C145" s="434"/>
      <c r="D145" s="361"/>
      <c r="E145" s="403"/>
      <c r="F145" s="404"/>
      <c r="G145" s="400"/>
      <c r="H145" s="401"/>
      <c r="I145" s="401"/>
      <c r="J145" s="401"/>
      <c r="K145" s="401"/>
      <c r="L145" s="401"/>
      <c r="M145" s="401"/>
      <c r="N145" s="401"/>
      <c r="O145" s="401"/>
      <c r="P145" s="401"/>
      <c r="Q145" s="401"/>
      <c r="R145" s="389"/>
      <c r="S145" s="389"/>
      <c r="T145" s="389"/>
      <c r="U145" s="521"/>
      <c r="V145" s="402" t="e">
        <f t="shared" ref="V145:V158" si="51">H145/E145*1000</f>
        <v>#DIV/0!</v>
      </c>
      <c r="W145" s="402" t="e">
        <f t="shared" ref="W145:W158" si="52">H145/F145</f>
        <v>#DIV/0!</v>
      </c>
      <c r="X145" s="403"/>
      <c r="Y145" s="404"/>
      <c r="Z145" s="400"/>
      <c r="AA145" s="401"/>
      <c r="AB145" s="401"/>
      <c r="AC145" s="401"/>
      <c r="AD145" s="401"/>
      <c r="AE145" s="401"/>
      <c r="AF145" s="401"/>
      <c r="AG145" s="401"/>
      <c r="AH145" s="401"/>
      <c r="AI145" s="401"/>
      <c r="AJ145" s="401"/>
      <c r="AK145" s="389"/>
      <c r="AL145" s="389"/>
      <c r="AM145" s="389"/>
      <c r="AN145" s="521"/>
      <c r="AO145" s="402" t="e">
        <f t="shared" ref="AO145:AO170" si="53">AA145/X145*1000</f>
        <v>#DIV/0!</v>
      </c>
      <c r="AP145" s="402" t="e">
        <f t="shared" ref="AP145:AP170" si="54">AA145/Y145</f>
        <v>#DIV/0!</v>
      </c>
      <c r="AQ145" s="595"/>
      <c r="AR145" s="587"/>
      <c r="AS145" s="400"/>
      <c r="AT145" s="401"/>
      <c r="AU145" s="401"/>
      <c r="AV145" s="401"/>
      <c r="AW145" s="401"/>
      <c r="AX145" s="401"/>
      <c r="AY145" s="401"/>
      <c r="AZ145" s="401"/>
      <c r="BA145" s="401"/>
      <c r="BB145" s="401"/>
      <c r="BC145" s="401"/>
      <c r="BD145" s="389"/>
      <c r="BE145" s="389"/>
      <c r="BF145" s="389"/>
      <c r="BG145" s="521"/>
      <c r="BH145" s="402" t="e">
        <f t="shared" si="49"/>
        <v>#DIV/0!</v>
      </c>
      <c r="BI145" s="402" t="e">
        <f t="shared" si="50"/>
        <v>#DIV/0!</v>
      </c>
    </row>
    <row r="146" spans="1:61" s="359" customFormat="1" ht="24.75" customHeight="1" x14ac:dyDescent="0.3">
      <c r="A146" s="355" t="s">
        <v>190</v>
      </c>
      <c r="B146" s="356" t="s">
        <v>193</v>
      </c>
      <c r="C146" s="432"/>
      <c r="D146" s="357">
        <v>0.4</v>
      </c>
      <c r="E146" s="396">
        <f t="shared" ref="E146:Q146" si="55">SUM(E147:E181)</f>
        <v>2030</v>
      </c>
      <c r="F146" s="396">
        <f t="shared" si="55"/>
        <v>294</v>
      </c>
      <c r="G146" s="396">
        <f t="shared" si="55"/>
        <v>294</v>
      </c>
      <c r="H146" s="397">
        <f t="shared" si="55"/>
        <v>1580.6219600000002</v>
      </c>
      <c r="I146" s="397">
        <f t="shared" si="55"/>
        <v>1118.77214</v>
      </c>
      <c r="J146" s="397">
        <f t="shared" si="55"/>
        <v>267.71640000000002</v>
      </c>
      <c r="K146" s="397">
        <f t="shared" si="55"/>
        <v>681.05052000000012</v>
      </c>
      <c r="L146" s="397">
        <f t="shared" si="55"/>
        <v>214.53213</v>
      </c>
      <c r="M146" s="397">
        <f t="shared" si="55"/>
        <v>0</v>
      </c>
      <c r="N146" s="397">
        <f t="shared" si="55"/>
        <v>0</v>
      </c>
      <c r="O146" s="397">
        <f t="shared" si="55"/>
        <v>109.78728</v>
      </c>
      <c r="P146" s="397">
        <f t="shared" si="55"/>
        <v>1450.6800000000003</v>
      </c>
      <c r="Q146" s="397">
        <f t="shared" si="55"/>
        <v>101.68531000000002</v>
      </c>
      <c r="R146" s="398"/>
      <c r="S146" s="398"/>
      <c r="T146" s="398"/>
      <c r="U146" s="520"/>
      <c r="V146" s="399">
        <f t="shared" si="51"/>
        <v>778.63150738916261</v>
      </c>
      <c r="W146" s="399">
        <f t="shared" si="52"/>
        <v>5.3762651700680282</v>
      </c>
      <c r="X146" s="396">
        <f t="shared" ref="X146:AJ146" si="56">SUM(X147:X181)</f>
        <v>2640</v>
      </c>
      <c r="Y146" s="396">
        <f t="shared" si="56"/>
        <v>350</v>
      </c>
      <c r="Z146" s="396">
        <f t="shared" si="56"/>
        <v>350</v>
      </c>
      <c r="AA146" s="397">
        <f t="shared" si="56"/>
        <v>1875.5156700000002</v>
      </c>
      <c r="AB146" s="397">
        <f t="shared" si="56"/>
        <v>1337.4415000000001</v>
      </c>
      <c r="AC146" s="397">
        <f t="shared" si="56"/>
        <v>360.54920000000004</v>
      </c>
      <c r="AD146" s="397">
        <f t="shared" si="56"/>
        <v>778.63612999999998</v>
      </c>
      <c r="AE146" s="397">
        <f t="shared" si="56"/>
        <v>234.70391000000001</v>
      </c>
      <c r="AF146" s="397">
        <f t="shared" si="56"/>
        <v>0</v>
      </c>
      <c r="AG146" s="397">
        <f t="shared" si="56"/>
        <v>0</v>
      </c>
      <c r="AH146" s="397">
        <f t="shared" si="56"/>
        <v>147.02108999999999</v>
      </c>
      <c r="AI146" s="397">
        <f t="shared" si="56"/>
        <v>1775.1099999999997</v>
      </c>
      <c r="AJ146" s="397">
        <f t="shared" si="56"/>
        <v>126.54933</v>
      </c>
      <c r="AK146" s="398"/>
      <c r="AL146" s="398"/>
      <c r="AM146" s="398"/>
      <c r="AN146" s="520"/>
      <c r="AO146" s="399">
        <f t="shared" si="53"/>
        <v>710.42260227272732</v>
      </c>
      <c r="AP146" s="399">
        <f t="shared" si="54"/>
        <v>5.3586162000000011</v>
      </c>
      <c r="AQ146" s="396">
        <f t="shared" ref="AQ146:BC146" si="57">SUM(AQ147:AQ181)</f>
        <v>2108</v>
      </c>
      <c r="AR146" s="396">
        <f t="shared" si="57"/>
        <v>180</v>
      </c>
      <c r="AS146" s="396">
        <f t="shared" si="57"/>
        <v>180</v>
      </c>
      <c r="AT146" s="397">
        <f t="shared" si="57"/>
        <v>1628.8530000000001</v>
      </c>
      <c r="AU146" s="397">
        <f t="shared" si="57"/>
        <v>1172.8096399999999</v>
      </c>
      <c r="AV146" s="397">
        <f t="shared" si="57"/>
        <v>269.18322999999998</v>
      </c>
      <c r="AW146" s="397">
        <f t="shared" si="57"/>
        <v>779.94951000000003</v>
      </c>
      <c r="AX146" s="397">
        <f t="shared" si="57"/>
        <v>208.44898999999998</v>
      </c>
      <c r="AY146" s="397">
        <f t="shared" si="57"/>
        <v>0</v>
      </c>
      <c r="AZ146" s="397">
        <f t="shared" si="57"/>
        <v>0</v>
      </c>
      <c r="BA146" s="397">
        <f t="shared" si="57"/>
        <v>121.67834000000001</v>
      </c>
      <c r="BB146" s="397">
        <f t="shared" si="57"/>
        <v>1099.29</v>
      </c>
      <c r="BC146" s="397">
        <f t="shared" si="57"/>
        <v>89.475709999999992</v>
      </c>
      <c r="BD146" s="398"/>
      <c r="BE146" s="398"/>
      <c r="BF146" s="398"/>
      <c r="BG146" s="520"/>
      <c r="BH146" s="399">
        <f t="shared" si="49"/>
        <v>772.70066413662244</v>
      </c>
      <c r="BI146" s="399">
        <f t="shared" si="50"/>
        <v>9.0491833333333336</v>
      </c>
    </row>
    <row r="147" spans="1:61" s="359" customFormat="1" ht="19.2" x14ac:dyDescent="0.3">
      <c r="A147" s="360" t="s">
        <v>179</v>
      </c>
      <c r="B147" s="513" t="s">
        <v>265</v>
      </c>
      <c r="C147" s="433" t="s">
        <v>266</v>
      </c>
      <c r="D147" s="361">
        <v>0.4</v>
      </c>
      <c r="E147" s="403">
        <v>180</v>
      </c>
      <c r="F147" s="404">
        <v>15</v>
      </c>
      <c r="G147" s="400">
        <v>15</v>
      </c>
      <c r="H147" s="419">
        <v>43.509</v>
      </c>
      <c r="I147" s="401">
        <v>32.411000000000001</v>
      </c>
      <c r="J147" s="401">
        <v>23.738399999999999</v>
      </c>
      <c r="K147" s="401">
        <v>0</v>
      </c>
      <c r="L147" s="401">
        <v>4.9690000000000003</v>
      </c>
      <c r="M147" s="401">
        <v>0</v>
      </c>
      <c r="N147" s="401">
        <v>0</v>
      </c>
      <c r="O147" s="401">
        <v>2.782</v>
      </c>
      <c r="P147" s="401">
        <v>131.88</v>
      </c>
      <c r="Q147" s="401">
        <v>9.5186399999999995</v>
      </c>
      <c r="R147" s="385" t="s">
        <v>167</v>
      </c>
      <c r="S147" s="439" t="s">
        <v>175</v>
      </c>
      <c r="T147" s="389"/>
      <c r="U147" s="521">
        <v>25</v>
      </c>
      <c r="V147" s="402">
        <f t="shared" si="51"/>
        <v>241.71666666666667</v>
      </c>
      <c r="W147" s="402">
        <f t="shared" si="52"/>
        <v>2.9005999999999998</v>
      </c>
      <c r="X147" s="403"/>
      <c r="Y147" s="404"/>
      <c r="Z147" s="400"/>
      <c r="AA147" s="419"/>
      <c r="AB147" s="401"/>
      <c r="AC147" s="401"/>
      <c r="AD147" s="401"/>
      <c r="AE147" s="401"/>
      <c r="AF147" s="401"/>
      <c r="AG147" s="401"/>
      <c r="AH147" s="401"/>
      <c r="AI147" s="401"/>
      <c r="AJ147" s="401"/>
      <c r="AK147" s="385"/>
      <c r="AL147" s="439"/>
      <c r="AM147" s="389"/>
      <c r="AN147" s="521"/>
      <c r="AO147" s="402" t="e">
        <f t="shared" si="53"/>
        <v>#DIV/0!</v>
      </c>
      <c r="AP147" s="402" t="e">
        <f t="shared" si="54"/>
        <v>#DIV/0!</v>
      </c>
      <c r="AQ147" s="595"/>
      <c r="AR147" s="587"/>
      <c r="AS147" s="400"/>
      <c r="AT147" s="419"/>
      <c r="AU147" s="401"/>
      <c r="AV147" s="401"/>
      <c r="AW147" s="401"/>
      <c r="AX147" s="401"/>
      <c r="AY147" s="401"/>
      <c r="AZ147" s="401"/>
      <c r="BA147" s="401"/>
      <c r="BB147" s="401"/>
      <c r="BC147" s="401"/>
      <c r="BD147" s="385"/>
      <c r="BE147" s="439"/>
      <c r="BF147" s="389"/>
      <c r="BG147" s="521"/>
      <c r="BH147" s="402" t="e">
        <f t="shared" si="49"/>
        <v>#DIV/0!</v>
      </c>
      <c r="BI147" s="402" t="e">
        <f t="shared" si="50"/>
        <v>#DIV/0!</v>
      </c>
    </row>
    <row r="148" spans="1:61" s="359" customFormat="1" ht="19.2" x14ac:dyDescent="0.3">
      <c r="A148" s="360" t="s">
        <v>183</v>
      </c>
      <c r="B148" s="513" t="s">
        <v>275</v>
      </c>
      <c r="C148" s="433" t="s">
        <v>276</v>
      </c>
      <c r="D148" s="361">
        <v>0.4</v>
      </c>
      <c r="E148" s="403">
        <v>230</v>
      </c>
      <c r="F148" s="404">
        <v>15</v>
      </c>
      <c r="G148" s="400">
        <v>15</v>
      </c>
      <c r="H148" s="419">
        <v>221.82091</v>
      </c>
      <c r="I148" s="401">
        <v>153.81593000000001</v>
      </c>
      <c r="J148" s="401">
        <v>30.3324</v>
      </c>
      <c r="K148" s="401">
        <f>49.75735+53.72082</f>
        <v>103.47817000000001</v>
      </c>
      <c r="L148" s="401">
        <v>31.789680000000001</v>
      </c>
      <c r="M148" s="401">
        <v>0</v>
      </c>
      <c r="N148" s="401">
        <v>0</v>
      </c>
      <c r="O148" s="401">
        <v>16.07152</v>
      </c>
      <c r="P148" s="401">
        <v>131.88</v>
      </c>
      <c r="Q148" s="401">
        <v>9.9534699999999994</v>
      </c>
      <c r="R148" s="385" t="s">
        <v>167</v>
      </c>
      <c r="S148" s="439" t="s">
        <v>175</v>
      </c>
      <c r="T148" s="389"/>
      <c r="U148" s="521">
        <v>54</v>
      </c>
      <c r="V148" s="402">
        <f t="shared" si="51"/>
        <v>964.43873913043478</v>
      </c>
      <c r="W148" s="402">
        <f t="shared" si="52"/>
        <v>14.788060666666667</v>
      </c>
      <c r="X148" s="403"/>
      <c r="Y148" s="404"/>
      <c r="Z148" s="400"/>
      <c r="AA148" s="419"/>
      <c r="AB148" s="401"/>
      <c r="AC148" s="401"/>
      <c r="AD148" s="401"/>
      <c r="AE148" s="401"/>
      <c r="AF148" s="401"/>
      <c r="AG148" s="401"/>
      <c r="AH148" s="401"/>
      <c r="AI148" s="401"/>
      <c r="AJ148" s="401"/>
      <c r="AK148" s="385"/>
      <c r="AL148" s="439"/>
      <c r="AM148" s="389"/>
      <c r="AN148" s="521"/>
      <c r="AO148" s="402" t="e">
        <f t="shared" si="53"/>
        <v>#DIV/0!</v>
      </c>
      <c r="AP148" s="402" t="e">
        <f t="shared" si="54"/>
        <v>#DIV/0!</v>
      </c>
      <c r="AQ148" s="595"/>
      <c r="AR148" s="587"/>
      <c r="AS148" s="400"/>
      <c r="AT148" s="419"/>
      <c r="AU148" s="401"/>
      <c r="AV148" s="401"/>
      <c r="AW148" s="401"/>
      <c r="AX148" s="401"/>
      <c r="AY148" s="401"/>
      <c r="AZ148" s="401"/>
      <c r="BA148" s="401"/>
      <c r="BB148" s="401"/>
      <c r="BC148" s="401"/>
      <c r="BD148" s="385"/>
      <c r="BE148" s="439"/>
      <c r="BF148" s="389"/>
      <c r="BG148" s="521"/>
      <c r="BH148" s="402" t="e">
        <f t="shared" si="49"/>
        <v>#DIV/0!</v>
      </c>
      <c r="BI148" s="402" t="e">
        <f t="shared" si="50"/>
        <v>#DIV/0!</v>
      </c>
    </row>
    <row r="149" spans="1:61" s="359" customFormat="1" ht="19.2" x14ac:dyDescent="0.3">
      <c r="A149" s="360" t="s">
        <v>185</v>
      </c>
      <c r="B149" s="513" t="s">
        <v>284</v>
      </c>
      <c r="C149" s="433" t="s">
        <v>285</v>
      </c>
      <c r="D149" s="361">
        <v>0.4</v>
      </c>
      <c r="E149" s="403">
        <v>150</v>
      </c>
      <c r="F149" s="404">
        <v>9</v>
      </c>
      <c r="G149" s="400">
        <v>9</v>
      </c>
      <c r="H149" s="419">
        <v>185.68700000000001</v>
      </c>
      <c r="I149" s="401">
        <v>129.13499999999999</v>
      </c>
      <c r="J149" s="401">
        <v>19.782</v>
      </c>
      <c r="K149" s="401">
        <f>80.81487+17.95886</f>
        <v>98.77373</v>
      </c>
      <c r="L149" s="401">
        <v>26.158999999999999</v>
      </c>
      <c r="M149" s="401">
        <v>0</v>
      </c>
      <c r="N149" s="401">
        <v>0</v>
      </c>
      <c r="O149" s="401">
        <v>13.443</v>
      </c>
      <c r="P149" s="401">
        <v>131.88</v>
      </c>
      <c r="Q149" s="401">
        <v>8.9794300000000007</v>
      </c>
      <c r="R149" s="385" t="s">
        <v>167</v>
      </c>
      <c r="S149" s="439" t="s">
        <v>175</v>
      </c>
      <c r="T149" s="389"/>
      <c r="U149" s="521">
        <v>78</v>
      </c>
      <c r="V149" s="402">
        <f t="shared" si="51"/>
        <v>1237.9133333333334</v>
      </c>
      <c r="W149" s="402">
        <f t="shared" si="52"/>
        <v>20.631888888888891</v>
      </c>
      <c r="X149" s="403"/>
      <c r="Y149" s="404"/>
      <c r="Z149" s="400"/>
      <c r="AA149" s="419"/>
      <c r="AB149" s="401"/>
      <c r="AC149" s="401"/>
      <c r="AD149" s="401"/>
      <c r="AE149" s="401"/>
      <c r="AF149" s="401"/>
      <c r="AG149" s="401"/>
      <c r="AH149" s="401"/>
      <c r="AI149" s="401"/>
      <c r="AJ149" s="401"/>
      <c r="AK149" s="385"/>
      <c r="AL149" s="439"/>
      <c r="AM149" s="389"/>
      <c r="AN149" s="521"/>
      <c r="AO149" s="402" t="e">
        <f t="shared" si="53"/>
        <v>#DIV/0!</v>
      </c>
      <c r="AP149" s="402" t="e">
        <f t="shared" si="54"/>
        <v>#DIV/0!</v>
      </c>
      <c r="AQ149" s="595"/>
      <c r="AR149" s="587"/>
      <c r="AS149" s="400"/>
      <c r="AT149" s="419"/>
      <c r="AU149" s="401"/>
      <c r="AV149" s="401"/>
      <c r="AW149" s="401"/>
      <c r="AX149" s="401"/>
      <c r="AY149" s="401"/>
      <c r="AZ149" s="401"/>
      <c r="BA149" s="401"/>
      <c r="BB149" s="401"/>
      <c r="BC149" s="401"/>
      <c r="BD149" s="385"/>
      <c r="BE149" s="439"/>
      <c r="BF149" s="389"/>
      <c r="BG149" s="521"/>
      <c r="BH149" s="402" t="e">
        <f t="shared" si="49"/>
        <v>#DIV/0!</v>
      </c>
      <c r="BI149" s="402" t="e">
        <f t="shared" si="50"/>
        <v>#DIV/0!</v>
      </c>
    </row>
    <row r="150" spans="1:61" s="359" customFormat="1" ht="19.2" x14ac:dyDescent="0.3">
      <c r="A150" s="360" t="s">
        <v>187</v>
      </c>
      <c r="B150" s="513" t="s">
        <v>294</v>
      </c>
      <c r="C150" s="433" t="s">
        <v>295</v>
      </c>
      <c r="D150" s="361">
        <v>0.4</v>
      </c>
      <c r="E150" s="403">
        <v>210</v>
      </c>
      <c r="F150" s="404">
        <v>40</v>
      </c>
      <c r="G150" s="400">
        <v>40</v>
      </c>
      <c r="H150" s="419">
        <v>183.17455000000001</v>
      </c>
      <c r="I150" s="401">
        <v>127.61879</v>
      </c>
      <c r="J150" s="401">
        <v>27.694800000000001</v>
      </c>
      <c r="K150" s="401">
        <v>35.897280000000002</v>
      </c>
      <c r="L150" s="401">
        <v>25.70317</v>
      </c>
      <c r="M150" s="401">
        <v>0</v>
      </c>
      <c r="N150" s="401">
        <v>0</v>
      </c>
      <c r="O150" s="401">
        <v>13.2364</v>
      </c>
      <c r="P150" s="401">
        <v>131.88</v>
      </c>
      <c r="Q150" s="401">
        <v>8.9743200000000005</v>
      </c>
      <c r="R150" s="385" t="s">
        <v>167</v>
      </c>
      <c r="S150" s="439" t="s">
        <v>175</v>
      </c>
      <c r="T150" s="389"/>
      <c r="U150" s="521">
        <v>104</v>
      </c>
      <c r="V150" s="402">
        <f t="shared" si="51"/>
        <v>872.25976190476194</v>
      </c>
      <c r="W150" s="402">
        <f t="shared" si="52"/>
        <v>4.5793637500000006</v>
      </c>
      <c r="X150" s="403"/>
      <c r="Y150" s="404"/>
      <c r="Z150" s="400"/>
      <c r="AA150" s="419"/>
      <c r="AB150" s="401"/>
      <c r="AC150" s="401"/>
      <c r="AD150" s="401"/>
      <c r="AE150" s="401"/>
      <c r="AF150" s="401"/>
      <c r="AG150" s="401"/>
      <c r="AH150" s="401"/>
      <c r="AI150" s="401"/>
      <c r="AJ150" s="401"/>
      <c r="AK150" s="385"/>
      <c r="AL150" s="439"/>
      <c r="AM150" s="389"/>
      <c r="AN150" s="521"/>
      <c r="AO150" s="402" t="e">
        <f t="shared" si="53"/>
        <v>#DIV/0!</v>
      </c>
      <c r="AP150" s="402" t="e">
        <f t="shared" si="54"/>
        <v>#DIV/0!</v>
      </c>
      <c r="AQ150" s="595"/>
      <c r="AR150" s="587"/>
      <c r="AS150" s="400"/>
      <c r="AT150" s="419"/>
      <c r="AU150" s="401"/>
      <c r="AV150" s="401"/>
      <c r="AW150" s="401"/>
      <c r="AX150" s="401"/>
      <c r="AY150" s="401"/>
      <c r="AZ150" s="401"/>
      <c r="BA150" s="401"/>
      <c r="BB150" s="401"/>
      <c r="BC150" s="401"/>
      <c r="BD150" s="385"/>
      <c r="BE150" s="439"/>
      <c r="BF150" s="389"/>
      <c r="BG150" s="521"/>
      <c r="BH150" s="402" t="e">
        <f t="shared" si="49"/>
        <v>#DIV/0!</v>
      </c>
      <c r="BI150" s="402" t="e">
        <f t="shared" si="50"/>
        <v>#DIV/0!</v>
      </c>
    </row>
    <row r="151" spans="1:61" s="359" customFormat="1" ht="19.2" x14ac:dyDescent="0.3">
      <c r="A151" s="360" t="s">
        <v>190</v>
      </c>
      <c r="B151" s="513" t="s">
        <v>325</v>
      </c>
      <c r="C151" s="433" t="s">
        <v>326</v>
      </c>
      <c r="D151" s="361">
        <v>0.4</v>
      </c>
      <c r="E151" s="403">
        <v>210</v>
      </c>
      <c r="F151" s="404">
        <v>40</v>
      </c>
      <c r="G151" s="400">
        <v>40</v>
      </c>
      <c r="H151" s="419">
        <v>62.065840000000001</v>
      </c>
      <c r="I151" s="401">
        <v>47.987740000000002</v>
      </c>
      <c r="J151" s="401">
        <v>27.694800000000001</v>
      </c>
      <c r="K151" s="401">
        <v>9.5186399999999995</v>
      </c>
      <c r="L151" s="401">
        <v>6.6537699999999997</v>
      </c>
      <c r="M151" s="401">
        <v>0</v>
      </c>
      <c r="N151" s="401">
        <v>0</v>
      </c>
      <c r="O151" s="401">
        <v>3.36388</v>
      </c>
      <c r="P151" s="401">
        <v>131.88</v>
      </c>
      <c r="Q151" s="401">
        <v>9.5186399999999995</v>
      </c>
      <c r="R151" s="385" t="s">
        <v>167</v>
      </c>
      <c r="S151" s="439" t="s">
        <v>175</v>
      </c>
      <c r="T151" s="389"/>
      <c r="U151" s="521">
        <v>176</v>
      </c>
      <c r="V151" s="402">
        <f t="shared" si="51"/>
        <v>295.55161904761906</v>
      </c>
      <c r="W151" s="402">
        <f t="shared" si="52"/>
        <v>1.5516460000000001</v>
      </c>
      <c r="X151" s="403"/>
      <c r="Y151" s="404"/>
      <c r="Z151" s="400"/>
      <c r="AA151" s="419"/>
      <c r="AB151" s="401"/>
      <c r="AC151" s="401"/>
      <c r="AD151" s="401"/>
      <c r="AE151" s="401"/>
      <c r="AF151" s="401"/>
      <c r="AG151" s="401"/>
      <c r="AH151" s="401"/>
      <c r="AI151" s="401"/>
      <c r="AJ151" s="401"/>
      <c r="AK151" s="385"/>
      <c r="AL151" s="439"/>
      <c r="AM151" s="389"/>
      <c r="AN151" s="521"/>
      <c r="AO151" s="402" t="e">
        <f t="shared" si="53"/>
        <v>#DIV/0!</v>
      </c>
      <c r="AP151" s="402" t="e">
        <f t="shared" si="54"/>
        <v>#DIV/0!</v>
      </c>
      <c r="AQ151" s="595"/>
      <c r="AR151" s="587"/>
      <c r="AS151" s="400"/>
      <c r="AT151" s="419"/>
      <c r="AU151" s="401"/>
      <c r="AV151" s="401"/>
      <c r="AW151" s="401"/>
      <c r="AX151" s="401"/>
      <c r="AY151" s="401"/>
      <c r="AZ151" s="401"/>
      <c r="BA151" s="401"/>
      <c r="BB151" s="401"/>
      <c r="BC151" s="401"/>
      <c r="BD151" s="385"/>
      <c r="BE151" s="439"/>
      <c r="BF151" s="389"/>
      <c r="BG151" s="521"/>
      <c r="BH151" s="402" t="e">
        <f t="shared" si="49"/>
        <v>#DIV/0!</v>
      </c>
      <c r="BI151" s="402" t="e">
        <f t="shared" si="50"/>
        <v>#DIV/0!</v>
      </c>
    </row>
    <row r="152" spans="1:61" s="359" customFormat="1" ht="19.2" x14ac:dyDescent="0.3">
      <c r="A152" s="360" t="s">
        <v>598</v>
      </c>
      <c r="B152" s="513" t="s">
        <v>335</v>
      </c>
      <c r="C152" s="433" t="s">
        <v>336</v>
      </c>
      <c r="D152" s="361">
        <v>0.4</v>
      </c>
      <c r="E152" s="403">
        <v>115</v>
      </c>
      <c r="F152" s="404">
        <v>15</v>
      </c>
      <c r="G152" s="400">
        <v>15</v>
      </c>
      <c r="H152" s="419">
        <v>38.378340000000001</v>
      </c>
      <c r="I152" s="401">
        <v>28.985959999999999</v>
      </c>
      <c r="J152" s="401">
        <v>15.1662</v>
      </c>
      <c r="K152" s="401">
        <v>9.5023499999999999</v>
      </c>
      <c r="L152" s="401">
        <v>4.4683000000000002</v>
      </c>
      <c r="M152" s="401">
        <v>0</v>
      </c>
      <c r="N152" s="401">
        <v>0</v>
      </c>
      <c r="O152" s="401">
        <v>2.2084899999999998</v>
      </c>
      <c r="P152" s="401">
        <v>131.88</v>
      </c>
      <c r="Q152" s="401">
        <v>9.5023499999999999</v>
      </c>
      <c r="R152" s="385" t="s">
        <v>167</v>
      </c>
      <c r="S152" s="439" t="s">
        <v>175</v>
      </c>
      <c r="T152" s="389"/>
      <c r="U152" s="521">
        <v>196</v>
      </c>
      <c r="V152" s="402">
        <f t="shared" si="51"/>
        <v>333.72469565217392</v>
      </c>
      <c r="W152" s="402">
        <f t="shared" si="52"/>
        <v>2.5585560000000003</v>
      </c>
      <c r="X152" s="403"/>
      <c r="Y152" s="404"/>
      <c r="Z152" s="400"/>
      <c r="AA152" s="419"/>
      <c r="AB152" s="401"/>
      <c r="AC152" s="401"/>
      <c r="AD152" s="401"/>
      <c r="AE152" s="401"/>
      <c r="AF152" s="401"/>
      <c r="AG152" s="401"/>
      <c r="AH152" s="401"/>
      <c r="AI152" s="401"/>
      <c r="AJ152" s="401"/>
      <c r="AK152" s="385"/>
      <c r="AL152" s="439"/>
      <c r="AM152" s="389"/>
      <c r="AN152" s="521"/>
      <c r="AO152" s="402" t="e">
        <f t="shared" si="53"/>
        <v>#DIV/0!</v>
      </c>
      <c r="AP152" s="402" t="e">
        <f t="shared" si="54"/>
        <v>#DIV/0!</v>
      </c>
      <c r="AQ152" s="595"/>
      <c r="AR152" s="587"/>
      <c r="AS152" s="400"/>
      <c r="AT152" s="419"/>
      <c r="AU152" s="401"/>
      <c r="AV152" s="401"/>
      <c r="AW152" s="401"/>
      <c r="AX152" s="401"/>
      <c r="AY152" s="401"/>
      <c r="AZ152" s="401"/>
      <c r="BA152" s="401"/>
      <c r="BB152" s="401"/>
      <c r="BC152" s="401"/>
      <c r="BD152" s="385"/>
      <c r="BE152" s="439"/>
      <c r="BF152" s="389"/>
      <c r="BG152" s="521"/>
      <c r="BH152" s="402" t="e">
        <f t="shared" si="49"/>
        <v>#DIV/0!</v>
      </c>
      <c r="BI152" s="402" t="e">
        <f t="shared" si="50"/>
        <v>#DIV/0!</v>
      </c>
    </row>
    <row r="153" spans="1:61" s="359" customFormat="1" ht="19.2" x14ac:dyDescent="0.3">
      <c r="A153" s="360" t="s">
        <v>599</v>
      </c>
      <c r="B153" s="513" t="s">
        <v>342</v>
      </c>
      <c r="C153" s="433" t="s">
        <v>343</v>
      </c>
      <c r="D153" s="361">
        <v>0.4</v>
      </c>
      <c r="E153" s="403">
        <v>120</v>
      </c>
      <c r="F153" s="404">
        <v>15</v>
      </c>
      <c r="G153" s="400">
        <v>15</v>
      </c>
      <c r="H153" s="419">
        <v>79.26361</v>
      </c>
      <c r="I153" s="401">
        <v>57.253050000000002</v>
      </c>
      <c r="J153" s="401">
        <v>15.8256</v>
      </c>
      <c r="K153" s="401">
        <v>37.207639999999998</v>
      </c>
      <c r="L153" s="401">
        <v>10.099119999999999</v>
      </c>
      <c r="M153" s="401">
        <v>0</v>
      </c>
      <c r="N153" s="401">
        <v>0</v>
      </c>
      <c r="O153" s="401">
        <v>5.2897100000000004</v>
      </c>
      <c r="P153" s="401">
        <v>131.88</v>
      </c>
      <c r="Q153" s="401">
        <v>9.3019099999999995</v>
      </c>
      <c r="R153" s="385" t="s">
        <v>167</v>
      </c>
      <c r="S153" s="439" t="s">
        <v>175</v>
      </c>
      <c r="T153" s="389"/>
      <c r="U153" s="521">
        <v>210</v>
      </c>
      <c r="V153" s="402">
        <f t="shared" si="51"/>
        <v>660.53008333333332</v>
      </c>
      <c r="W153" s="402">
        <f t="shared" si="52"/>
        <v>5.2842406666666664</v>
      </c>
      <c r="X153" s="403"/>
      <c r="Y153" s="404"/>
      <c r="Z153" s="400"/>
      <c r="AA153" s="419"/>
      <c r="AB153" s="401"/>
      <c r="AC153" s="401"/>
      <c r="AD153" s="401"/>
      <c r="AE153" s="401"/>
      <c r="AF153" s="401"/>
      <c r="AG153" s="401"/>
      <c r="AH153" s="401"/>
      <c r="AI153" s="401"/>
      <c r="AJ153" s="401"/>
      <c r="AK153" s="385"/>
      <c r="AL153" s="439"/>
      <c r="AM153" s="389"/>
      <c r="AN153" s="521"/>
      <c r="AO153" s="402" t="e">
        <f t="shared" si="53"/>
        <v>#DIV/0!</v>
      </c>
      <c r="AP153" s="402" t="e">
        <f t="shared" si="54"/>
        <v>#DIV/0!</v>
      </c>
      <c r="AQ153" s="595"/>
      <c r="AR153" s="587"/>
      <c r="AS153" s="400"/>
      <c r="AT153" s="419"/>
      <c r="AU153" s="401"/>
      <c r="AV153" s="401"/>
      <c r="AW153" s="401"/>
      <c r="AX153" s="401"/>
      <c r="AY153" s="401"/>
      <c r="AZ153" s="401"/>
      <c r="BA153" s="401"/>
      <c r="BB153" s="401"/>
      <c r="BC153" s="401"/>
      <c r="BD153" s="385"/>
      <c r="BE153" s="439"/>
      <c r="BF153" s="389"/>
      <c r="BG153" s="521"/>
      <c r="BH153" s="402" t="e">
        <f t="shared" si="49"/>
        <v>#DIV/0!</v>
      </c>
      <c r="BI153" s="402" t="e">
        <f t="shared" si="50"/>
        <v>#DIV/0!</v>
      </c>
    </row>
    <row r="154" spans="1:61" s="359" customFormat="1" ht="19.2" x14ac:dyDescent="0.3">
      <c r="A154" s="360" t="s">
        <v>600</v>
      </c>
      <c r="B154" s="513" t="s">
        <v>352</v>
      </c>
      <c r="C154" s="433" t="s">
        <v>353</v>
      </c>
      <c r="D154" s="361">
        <v>0.4</v>
      </c>
      <c r="E154" s="403">
        <v>250</v>
      </c>
      <c r="F154" s="404">
        <v>50</v>
      </c>
      <c r="G154" s="400">
        <v>50</v>
      </c>
      <c r="H154" s="419">
        <v>380.45969000000002</v>
      </c>
      <c r="I154" s="401">
        <v>269.40224000000001</v>
      </c>
      <c r="J154" s="401">
        <v>32.97</v>
      </c>
      <c r="K154" s="401">
        <f>72.03288+144.06576</f>
        <v>216.09864000000002</v>
      </c>
      <c r="L154" s="401">
        <v>52.329050000000002</v>
      </c>
      <c r="M154" s="401">
        <v>0</v>
      </c>
      <c r="N154" s="401">
        <v>0</v>
      </c>
      <c r="O154" s="401">
        <v>25.944520000000001</v>
      </c>
      <c r="P154" s="401">
        <v>131.88</v>
      </c>
      <c r="Q154" s="401">
        <v>9.0041100000000007</v>
      </c>
      <c r="R154" s="385" t="s">
        <v>167</v>
      </c>
      <c r="S154" s="439" t="s">
        <v>175</v>
      </c>
      <c r="T154" s="389"/>
      <c r="U154" s="521">
        <v>231</v>
      </c>
      <c r="V154" s="402">
        <f t="shared" si="51"/>
        <v>1521.8387600000001</v>
      </c>
      <c r="W154" s="402">
        <f t="shared" si="52"/>
        <v>7.6091938000000008</v>
      </c>
      <c r="X154" s="403"/>
      <c r="Y154" s="404"/>
      <c r="Z154" s="400"/>
      <c r="AA154" s="419"/>
      <c r="AB154" s="401"/>
      <c r="AC154" s="401"/>
      <c r="AD154" s="401"/>
      <c r="AE154" s="401"/>
      <c r="AF154" s="401"/>
      <c r="AG154" s="401"/>
      <c r="AH154" s="401"/>
      <c r="AI154" s="401"/>
      <c r="AJ154" s="401"/>
      <c r="AK154" s="385"/>
      <c r="AL154" s="439"/>
      <c r="AM154" s="389"/>
      <c r="AN154" s="521"/>
      <c r="AO154" s="402" t="e">
        <f t="shared" si="53"/>
        <v>#DIV/0!</v>
      </c>
      <c r="AP154" s="402" t="e">
        <f t="shared" si="54"/>
        <v>#DIV/0!</v>
      </c>
      <c r="AQ154" s="595"/>
      <c r="AR154" s="587"/>
      <c r="AS154" s="400"/>
      <c r="AT154" s="419"/>
      <c r="AU154" s="401"/>
      <c r="AV154" s="401"/>
      <c r="AW154" s="401"/>
      <c r="AX154" s="401"/>
      <c r="AY154" s="401"/>
      <c r="AZ154" s="401"/>
      <c r="BA154" s="401"/>
      <c r="BB154" s="401"/>
      <c r="BC154" s="401"/>
      <c r="BD154" s="385"/>
      <c r="BE154" s="439"/>
      <c r="BF154" s="389"/>
      <c r="BG154" s="521"/>
      <c r="BH154" s="402" t="e">
        <f t="shared" si="49"/>
        <v>#DIV/0!</v>
      </c>
      <c r="BI154" s="402" t="e">
        <f t="shared" si="50"/>
        <v>#DIV/0!</v>
      </c>
    </row>
    <row r="155" spans="1:61" s="359" customFormat="1" ht="19.2" x14ac:dyDescent="0.3">
      <c r="A155" s="360" t="s">
        <v>601</v>
      </c>
      <c r="B155" s="513" t="s">
        <v>362</v>
      </c>
      <c r="C155" s="433" t="s">
        <v>363</v>
      </c>
      <c r="D155" s="361">
        <v>0.4</v>
      </c>
      <c r="E155" s="403">
        <v>125</v>
      </c>
      <c r="F155" s="404">
        <v>50</v>
      </c>
      <c r="G155" s="400">
        <v>50</v>
      </c>
      <c r="H155" s="419">
        <v>81.397059999999996</v>
      </c>
      <c r="I155" s="401">
        <v>57.24689</v>
      </c>
      <c r="J155" s="401">
        <v>16.484999999999999</v>
      </c>
      <c r="K155" s="401">
        <v>35.917720000000003</v>
      </c>
      <c r="L155" s="401">
        <v>11.00929</v>
      </c>
      <c r="M155" s="401">
        <v>0</v>
      </c>
      <c r="N155" s="401">
        <v>0</v>
      </c>
      <c r="O155" s="401">
        <v>5.8386800000000001</v>
      </c>
      <c r="P155" s="401">
        <v>131.88</v>
      </c>
      <c r="Q155" s="401">
        <v>8.9794300000000007</v>
      </c>
      <c r="R155" s="385" t="s">
        <v>167</v>
      </c>
      <c r="S155" s="439" t="s">
        <v>175</v>
      </c>
      <c r="T155" s="389"/>
      <c r="U155" s="521">
        <v>251</v>
      </c>
      <c r="V155" s="402">
        <f t="shared" si="51"/>
        <v>651.17647999999997</v>
      </c>
      <c r="W155" s="402">
        <f t="shared" si="52"/>
        <v>1.6279412</v>
      </c>
      <c r="X155" s="403"/>
      <c r="Y155" s="404"/>
      <c r="Z155" s="400"/>
      <c r="AA155" s="419"/>
      <c r="AB155" s="401"/>
      <c r="AC155" s="401"/>
      <c r="AD155" s="401"/>
      <c r="AE155" s="401"/>
      <c r="AF155" s="401"/>
      <c r="AG155" s="401"/>
      <c r="AH155" s="401"/>
      <c r="AI155" s="401"/>
      <c r="AJ155" s="401"/>
      <c r="AK155" s="385"/>
      <c r="AL155" s="439"/>
      <c r="AM155" s="389"/>
      <c r="AN155" s="521"/>
      <c r="AO155" s="402" t="e">
        <f t="shared" si="53"/>
        <v>#DIV/0!</v>
      </c>
      <c r="AP155" s="402" t="e">
        <f t="shared" si="54"/>
        <v>#DIV/0!</v>
      </c>
      <c r="AQ155" s="595"/>
      <c r="AR155" s="587"/>
      <c r="AS155" s="400"/>
      <c r="AT155" s="419"/>
      <c r="AU155" s="401"/>
      <c r="AV155" s="401"/>
      <c r="AW155" s="401"/>
      <c r="AX155" s="401"/>
      <c r="AY155" s="401"/>
      <c r="AZ155" s="401"/>
      <c r="BA155" s="401"/>
      <c r="BB155" s="401"/>
      <c r="BC155" s="401"/>
      <c r="BD155" s="385"/>
      <c r="BE155" s="439"/>
      <c r="BF155" s="389"/>
      <c r="BG155" s="521"/>
      <c r="BH155" s="402" t="e">
        <f t="shared" si="49"/>
        <v>#DIV/0!</v>
      </c>
      <c r="BI155" s="402" t="e">
        <f t="shared" si="50"/>
        <v>#DIV/0!</v>
      </c>
    </row>
    <row r="156" spans="1:61" s="359" customFormat="1" ht="19.2" x14ac:dyDescent="0.3">
      <c r="A156" s="360" t="s">
        <v>602</v>
      </c>
      <c r="B156" s="513" t="s">
        <v>364</v>
      </c>
      <c r="C156" s="433" t="s">
        <v>365</v>
      </c>
      <c r="D156" s="361">
        <v>0.4</v>
      </c>
      <c r="E156" s="403">
        <v>240</v>
      </c>
      <c r="F156" s="404">
        <v>30</v>
      </c>
      <c r="G156" s="400">
        <v>30</v>
      </c>
      <c r="H156" s="419">
        <v>178.37200000000001</v>
      </c>
      <c r="I156" s="401">
        <v>125.36</v>
      </c>
      <c r="J156" s="401">
        <v>31.651199999999999</v>
      </c>
      <c r="K156" s="401">
        <f>44.89715+35.91772</f>
        <v>80.814870000000013</v>
      </c>
      <c r="L156" s="401">
        <v>24.518000000000001</v>
      </c>
      <c r="M156" s="401">
        <v>0</v>
      </c>
      <c r="N156" s="401">
        <v>0</v>
      </c>
      <c r="O156" s="401">
        <v>12.669</v>
      </c>
      <c r="P156" s="401">
        <v>131.88</v>
      </c>
      <c r="Q156" s="401">
        <v>8.9794300000000007</v>
      </c>
      <c r="R156" s="385" t="s">
        <v>167</v>
      </c>
      <c r="S156" s="439" t="s">
        <v>175</v>
      </c>
      <c r="T156" s="389"/>
      <c r="U156" s="521">
        <v>255</v>
      </c>
      <c r="V156" s="402">
        <f t="shared" si="51"/>
        <v>743.2166666666667</v>
      </c>
      <c r="W156" s="402">
        <f t="shared" si="52"/>
        <v>5.945733333333334</v>
      </c>
      <c r="X156" s="403"/>
      <c r="Y156" s="404"/>
      <c r="Z156" s="400"/>
      <c r="AA156" s="419"/>
      <c r="AB156" s="401"/>
      <c r="AC156" s="401"/>
      <c r="AD156" s="401"/>
      <c r="AE156" s="401"/>
      <c r="AF156" s="401"/>
      <c r="AG156" s="401"/>
      <c r="AH156" s="401"/>
      <c r="AI156" s="401"/>
      <c r="AJ156" s="401"/>
      <c r="AK156" s="385"/>
      <c r="AL156" s="439"/>
      <c r="AM156" s="389"/>
      <c r="AN156" s="521"/>
      <c r="AO156" s="402" t="e">
        <f t="shared" si="53"/>
        <v>#DIV/0!</v>
      </c>
      <c r="AP156" s="402" t="e">
        <f t="shared" si="54"/>
        <v>#DIV/0!</v>
      </c>
      <c r="AQ156" s="595"/>
      <c r="AR156" s="587"/>
      <c r="AS156" s="400"/>
      <c r="AT156" s="419"/>
      <c r="AU156" s="401"/>
      <c r="AV156" s="401"/>
      <c r="AW156" s="401"/>
      <c r="AX156" s="401"/>
      <c r="AY156" s="401"/>
      <c r="AZ156" s="401"/>
      <c r="BA156" s="401"/>
      <c r="BB156" s="401"/>
      <c r="BC156" s="401"/>
      <c r="BD156" s="385"/>
      <c r="BE156" s="439"/>
      <c r="BF156" s="389"/>
      <c r="BG156" s="521"/>
      <c r="BH156" s="402" t="e">
        <f t="shared" si="49"/>
        <v>#DIV/0!</v>
      </c>
      <c r="BI156" s="402" t="e">
        <f t="shared" si="50"/>
        <v>#DIV/0!</v>
      </c>
    </row>
    <row r="157" spans="1:61" s="359" customFormat="1" ht="19.2" x14ac:dyDescent="0.3">
      <c r="A157" s="360" t="s">
        <v>603</v>
      </c>
      <c r="B157" s="513" t="s">
        <v>382</v>
      </c>
      <c r="C157" s="433" t="s">
        <v>383</v>
      </c>
      <c r="D157" s="361">
        <v>0.4</v>
      </c>
      <c r="E157" s="403">
        <v>200</v>
      </c>
      <c r="F157" s="404">
        <v>15</v>
      </c>
      <c r="G157" s="400">
        <v>15</v>
      </c>
      <c r="H157" s="419">
        <v>126.49396</v>
      </c>
      <c r="I157" s="401">
        <v>89.555539999999993</v>
      </c>
      <c r="J157" s="401">
        <v>26.376000000000001</v>
      </c>
      <c r="K157" s="401">
        <v>53.841479999999997</v>
      </c>
      <c r="L157" s="401">
        <v>16.833749999999998</v>
      </c>
      <c r="M157" s="401">
        <v>0</v>
      </c>
      <c r="N157" s="401">
        <v>0</v>
      </c>
      <c r="O157" s="401">
        <v>8.94008</v>
      </c>
      <c r="P157" s="401">
        <v>131.88</v>
      </c>
      <c r="Q157" s="401">
        <v>8.9735800000000001</v>
      </c>
      <c r="R157" s="385" t="s">
        <v>167</v>
      </c>
      <c r="S157" s="439" t="s">
        <v>175</v>
      </c>
      <c r="T157" s="389"/>
      <c r="U157" s="521">
        <v>308</v>
      </c>
      <c r="V157" s="402">
        <f t="shared" si="51"/>
        <v>632.46979999999996</v>
      </c>
      <c r="W157" s="402">
        <f t="shared" si="52"/>
        <v>8.4329306666666675</v>
      </c>
      <c r="X157" s="403"/>
      <c r="Y157" s="404"/>
      <c r="Z157" s="400"/>
      <c r="AA157" s="419"/>
      <c r="AB157" s="401"/>
      <c r="AC157" s="401"/>
      <c r="AD157" s="401"/>
      <c r="AE157" s="401"/>
      <c r="AF157" s="401"/>
      <c r="AG157" s="401"/>
      <c r="AH157" s="401"/>
      <c r="AI157" s="401"/>
      <c r="AJ157" s="401"/>
      <c r="AK157" s="385"/>
      <c r="AL157" s="439"/>
      <c r="AM157" s="389"/>
      <c r="AN157" s="521"/>
      <c r="AO157" s="402" t="e">
        <f t="shared" si="53"/>
        <v>#DIV/0!</v>
      </c>
      <c r="AP157" s="402" t="e">
        <f t="shared" si="54"/>
        <v>#DIV/0!</v>
      </c>
      <c r="AQ157" s="595"/>
      <c r="AR157" s="587"/>
      <c r="AS157" s="400"/>
      <c r="AT157" s="419"/>
      <c r="AU157" s="401"/>
      <c r="AV157" s="401"/>
      <c r="AW157" s="401"/>
      <c r="AX157" s="401"/>
      <c r="AY157" s="401"/>
      <c r="AZ157" s="401"/>
      <c r="BA157" s="401"/>
      <c r="BB157" s="401"/>
      <c r="BC157" s="401"/>
      <c r="BD157" s="385"/>
      <c r="BE157" s="439"/>
      <c r="BF157" s="389"/>
      <c r="BG157" s="521"/>
      <c r="BH157" s="402" t="e">
        <f t="shared" si="49"/>
        <v>#DIV/0!</v>
      </c>
      <c r="BI157" s="402" t="e">
        <f t="shared" si="50"/>
        <v>#DIV/0!</v>
      </c>
    </row>
    <row r="158" spans="1:61" s="359" customFormat="1" ht="19.2" x14ac:dyDescent="0.3">
      <c r="A158" s="360" t="s">
        <v>179</v>
      </c>
      <c r="B158" s="543" t="s">
        <v>535</v>
      </c>
      <c r="C158" s="433" t="s">
        <v>412</v>
      </c>
      <c r="D158" s="361">
        <v>0.4</v>
      </c>
      <c r="E158" s="403"/>
      <c r="F158" s="404"/>
      <c r="G158" s="400"/>
      <c r="H158" s="401"/>
      <c r="I158" s="401"/>
      <c r="J158" s="401"/>
      <c r="K158" s="401"/>
      <c r="L158" s="401"/>
      <c r="M158" s="401"/>
      <c r="N158" s="401"/>
      <c r="O158" s="401"/>
      <c r="P158" s="401"/>
      <c r="Q158" s="401"/>
      <c r="R158" s="389"/>
      <c r="S158" s="389"/>
      <c r="T158" s="389"/>
      <c r="U158" s="521"/>
      <c r="V158" s="402" t="e">
        <f t="shared" si="51"/>
        <v>#DIV/0!</v>
      </c>
      <c r="W158" s="402" t="e">
        <f t="shared" si="52"/>
        <v>#DIV/0!</v>
      </c>
      <c r="X158" s="403">
        <v>90</v>
      </c>
      <c r="Y158" s="404">
        <v>15</v>
      </c>
      <c r="Z158" s="400">
        <v>15</v>
      </c>
      <c r="AA158" s="545">
        <v>47.633589999999998</v>
      </c>
      <c r="AB158" s="401">
        <v>33.363909999999997</v>
      </c>
      <c r="AC158" s="401">
        <v>11.869199999999999</v>
      </c>
      <c r="AD158" s="401">
        <v>18.880279999999999</v>
      </c>
      <c r="AE158" s="401">
        <v>6.2373000000000003</v>
      </c>
      <c r="AF158" s="401">
        <v>0</v>
      </c>
      <c r="AG158" s="401">
        <v>0</v>
      </c>
      <c r="AH158" s="401">
        <v>3.9167100000000001</v>
      </c>
      <c r="AI158" s="401">
        <v>131.88</v>
      </c>
      <c r="AJ158" s="401">
        <v>9.4401399999999995</v>
      </c>
      <c r="AK158" s="385" t="s">
        <v>167</v>
      </c>
      <c r="AL158" s="439" t="s">
        <v>175</v>
      </c>
      <c r="AM158" s="389"/>
      <c r="AN158" s="521">
        <v>45</v>
      </c>
      <c r="AO158" s="402">
        <f t="shared" si="53"/>
        <v>529.26211111111115</v>
      </c>
      <c r="AP158" s="402">
        <f t="shared" si="54"/>
        <v>3.1755726666666666</v>
      </c>
      <c r="AQ158" s="595"/>
      <c r="AR158" s="587"/>
      <c r="AS158" s="400"/>
      <c r="AT158" s="545"/>
      <c r="AU158" s="401"/>
      <c r="AV158" s="401"/>
      <c r="AW158" s="401"/>
      <c r="AX158" s="401"/>
      <c r="AY158" s="401"/>
      <c r="AZ158" s="401"/>
      <c r="BA158" s="401"/>
      <c r="BB158" s="401"/>
      <c r="BC158" s="401"/>
      <c r="BD158" s="385"/>
      <c r="BE158" s="439"/>
      <c r="BF158" s="389"/>
      <c r="BG158" s="521"/>
      <c r="BH158" s="402" t="e">
        <f t="shared" si="49"/>
        <v>#DIV/0!</v>
      </c>
      <c r="BI158" s="402" t="e">
        <f t="shared" si="50"/>
        <v>#DIV/0!</v>
      </c>
    </row>
    <row r="159" spans="1:61" s="359" customFormat="1" ht="19.2" x14ac:dyDescent="0.3">
      <c r="A159" s="360" t="s">
        <v>183</v>
      </c>
      <c r="B159" s="543" t="s">
        <v>579</v>
      </c>
      <c r="C159" s="433" t="s">
        <v>578</v>
      </c>
      <c r="D159" s="361">
        <v>0.4</v>
      </c>
      <c r="E159" s="403"/>
      <c r="F159" s="404"/>
      <c r="G159" s="400"/>
      <c r="H159" s="401"/>
      <c r="I159" s="401"/>
      <c r="J159" s="401"/>
      <c r="K159" s="401"/>
      <c r="L159" s="401"/>
      <c r="M159" s="401"/>
      <c r="N159" s="401"/>
      <c r="O159" s="401"/>
      <c r="P159" s="401"/>
      <c r="Q159" s="401"/>
      <c r="R159" s="389"/>
      <c r="S159" s="389"/>
      <c r="T159" s="389"/>
      <c r="U159" s="521"/>
      <c r="V159" s="402"/>
      <c r="W159" s="402"/>
      <c r="X159" s="403">
        <v>60</v>
      </c>
      <c r="Y159" s="404">
        <v>60</v>
      </c>
      <c r="Z159" s="400">
        <v>60</v>
      </c>
      <c r="AA159" s="545">
        <v>27.181819999999998</v>
      </c>
      <c r="AB159" s="401">
        <v>19.104209999999998</v>
      </c>
      <c r="AC159" s="401">
        <v>8.3135999999999992</v>
      </c>
      <c r="AD159" s="401">
        <v>10</v>
      </c>
      <c r="AE159" s="401">
        <v>3.5290699999999999</v>
      </c>
      <c r="AF159" s="401">
        <v>0</v>
      </c>
      <c r="AG159" s="401">
        <v>0</v>
      </c>
      <c r="AH159" s="401">
        <v>2.2260499999999999</v>
      </c>
      <c r="AI159" s="401">
        <v>138.56</v>
      </c>
      <c r="AJ159" s="401">
        <v>10</v>
      </c>
      <c r="AK159" s="385" t="s">
        <v>167</v>
      </c>
      <c r="AL159" s="439" t="s">
        <v>175</v>
      </c>
      <c r="AM159" s="389"/>
      <c r="AN159" s="521">
        <v>217</v>
      </c>
      <c r="AO159" s="402">
        <f t="shared" si="53"/>
        <v>453.03033333333332</v>
      </c>
      <c r="AP159" s="402">
        <f t="shared" si="54"/>
        <v>0.45303033333333331</v>
      </c>
      <c r="AQ159" s="595"/>
      <c r="AR159" s="587"/>
      <c r="AS159" s="400"/>
      <c r="AT159" s="545"/>
      <c r="AU159" s="401"/>
      <c r="AV159" s="401"/>
      <c r="AW159" s="401"/>
      <c r="AX159" s="401"/>
      <c r="AY159" s="401"/>
      <c r="AZ159" s="401"/>
      <c r="BA159" s="401"/>
      <c r="BB159" s="401"/>
      <c r="BC159" s="401"/>
      <c r="BD159" s="385"/>
      <c r="BE159" s="439"/>
      <c r="BF159" s="389"/>
      <c r="BG159" s="521"/>
      <c r="BH159" s="402" t="e">
        <f t="shared" si="49"/>
        <v>#DIV/0!</v>
      </c>
      <c r="BI159" s="402" t="e">
        <f t="shared" si="50"/>
        <v>#DIV/0!</v>
      </c>
    </row>
    <row r="160" spans="1:61" s="359" customFormat="1" ht="19.2" x14ac:dyDescent="0.3">
      <c r="A160" s="360" t="s">
        <v>185</v>
      </c>
      <c r="B160" s="543" t="s">
        <v>586</v>
      </c>
      <c r="C160" s="433" t="s">
        <v>417</v>
      </c>
      <c r="D160" s="361">
        <v>0.4</v>
      </c>
      <c r="E160" s="403"/>
      <c r="F160" s="404"/>
      <c r="G160" s="400"/>
      <c r="H160" s="401"/>
      <c r="I160" s="401"/>
      <c r="J160" s="401"/>
      <c r="K160" s="401"/>
      <c r="L160" s="401"/>
      <c r="M160" s="401"/>
      <c r="N160" s="401"/>
      <c r="O160" s="401"/>
      <c r="P160" s="401"/>
      <c r="Q160" s="401"/>
      <c r="R160" s="389"/>
      <c r="S160" s="389"/>
      <c r="T160" s="389"/>
      <c r="U160" s="521"/>
      <c r="V160" s="402" t="e">
        <f t="shared" ref="V160:V170" si="58">H160/E160*1000</f>
        <v>#DIV/0!</v>
      </c>
      <c r="W160" s="402" t="e">
        <f t="shared" ref="W160:W170" si="59">H160/F160</f>
        <v>#DIV/0!</v>
      </c>
      <c r="X160" s="403">
        <v>300</v>
      </c>
      <c r="Y160" s="404">
        <v>60</v>
      </c>
      <c r="Z160" s="400">
        <v>60</v>
      </c>
      <c r="AA160" s="545">
        <v>205.58007000000001</v>
      </c>
      <c r="AB160" s="401">
        <v>144.48088999999999</v>
      </c>
      <c r="AC160" s="401">
        <v>39.503999999999998</v>
      </c>
      <c r="AD160" s="401">
        <f>49.43085+39.54468</f>
        <v>88.975529999999992</v>
      </c>
      <c r="AE160" s="401">
        <v>28.260470000000002</v>
      </c>
      <c r="AF160" s="401">
        <v>0</v>
      </c>
      <c r="AG160" s="401">
        <v>0</v>
      </c>
      <c r="AH160" s="401">
        <v>15.98884</v>
      </c>
      <c r="AI160" s="401">
        <v>131.88</v>
      </c>
      <c r="AJ160" s="401">
        <v>9.8861699999999999</v>
      </c>
      <c r="AK160" s="385" t="s">
        <v>167</v>
      </c>
      <c r="AL160" s="439" t="s">
        <v>175</v>
      </c>
      <c r="AM160" s="389"/>
      <c r="AN160" s="521">
        <v>84</v>
      </c>
      <c r="AO160" s="402">
        <f t="shared" si="53"/>
        <v>685.26689999999996</v>
      </c>
      <c r="AP160" s="402">
        <f t="shared" si="54"/>
        <v>3.4263345000000003</v>
      </c>
      <c r="AQ160" s="595"/>
      <c r="AR160" s="587"/>
      <c r="AS160" s="400"/>
      <c r="AT160" s="545"/>
      <c r="AU160" s="401"/>
      <c r="AV160" s="401"/>
      <c r="AW160" s="401"/>
      <c r="AX160" s="401"/>
      <c r="AY160" s="401"/>
      <c r="AZ160" s="401"/>
      <c r="BA160" s="401"/>
      <c r="BB160" s="401"/>
      <c r="BC160" s="401"/>
      <c r="BD160" s="385"/>
      <c r="BE160" s="439"/>
      <c r="BF160" s="389"/>
      <c r="BG160" s="521"/>
      <c r="BH160" s="402" t="e">
        <f t="shared" si="49"/>
        <v>#DIV/0!</v>
      </c>
      <c r="BI160" s="402" t="e">
        <f t="shared" si="50"/>
        <v>#DIV/0!</v>
      </c>
    </row>
    <row r="161" spans="1:61" s="359" customFormat="1" ht="19.2" x14ac:dyDescent="0.3">
      <c r="A161" s="360" t="s">
        <v>187</v>
      </c>
      <c r="B161" s="543" t="s">
        <v>536</v>
      </c>
      <c r="C161" s="433" t="s">
        <v>426</v>
      </c>
      <c r="D161" s="361">
        <v>0.4</v>
      </c>
      <c r="E161" s="403"/>
      <c r="F161" s="404"/>
      <c r="G161" s="400"/>
      <c r="H161" s="401"/>
      <c r="I161" s="401"/>
      <c r="J161" s="401"/>
      <c r="K161" s="401"/>
      <c r="L161" s="401"/>
      <c r="M161" s="401"/>
      <c r="N161" s="401"/>
      <c r="O161" s="401"/>
      <c r="P161" s="401"/>
      <c r="Q161" s="401"/>
      <c r="R161" s="389"/>
      <c r="S161" s="389"/>
      <c r="T161" s="389"/>
      <c r="U161" s="521"/>
      <c r="V161" s="402" t="e">
        <f t="shared" si="58"/>
        <v>#DIV/0!</v>
      </c>
      <c r="W161" s="402" t="e">
        <f t="shared" si="59"/>
        <v>#DIV/0!</v>
      </c>
      <c r="X161" s="403">
        <v>230</v>
      </c>
      <c r="Y161" s="404">
        <v>15</v>
      </c>
      <c r="Z161" s="400">
        <v>15</v>
      </c>
      <c r="AA161" s="545">
        <v>130.17137</v>
      </c>
      <c r="AB161" s="401">
        <v>91.652569999999997</v>
      </c>
      <c r="AC161" s="401">
        <v>30.3324</v>
      </c>
      <c r="AD161" s="401">
        <v>19.921399999999998</v>
      </c>
      <c r="AE161" s="401">
        <v>17.971080000000001</v>
      </c>
      <c r="AF161" s="401">
        <v>0</v>
      </c>
      <c r="AG161" s="401">
        <v>0</v>
      </c>
      <c r="AH161" s="401">
        <v>10.06019</v>
      </c>
      <c r="AI161" s="401">
        <v>131.88</v>
      </c>
      <c r="AJ161" s="401">
        <v>9.9606999999999992</v>
      </c>
      <c r="AK161" s="385" t="s">
        <v>167</v>
      </c>
      <c r="AL161" s="439" t="s">
        <v>175</v>
      </c>
      <c r="AM161" s="389"/>
      <c r="AN161" s="521">
        <v>132</v>
      </c>
      <c r="AO161" s="402">
        <f t="shared" si="53"/>
        <v>565.96247826086949</v>
      </c>
      <c r="AP161" s="402">
        <f t="shared" si="54"/>
        <v>8.6780913333333327</v>
      </c>
      <c r="AQ161" s="595"/>
      <c r="AR161" s="587"/>
      <c r="AS161" s="400"/>
      <c r="AT161" s="545"/>
      <c r="AU161" s="401"/>
      <c r="AV161" s="401"/>
      <c r="AW161" s="401"/>
      <c r="AX161" s="401"/>
      <c r="AY161" s="401"/>
      <c r="AZ161" s="401"/>
      <c r="BA161" s="401"/>
      <c r="BB161" s="401"/>
      <c r="BC161" s="401"/>
      <c r="BD161" s="385"/>
      <c r="BE161" s="439"/>
      <c r="BF161" s="389"/>
      <c r="BG161" s="521"/>
      <c r="BH161" s="402" t="e">
        <f t="shared" ref="BH161:BH192" si="60">AT161/AQ161*1000</f>
        <v>#DIV/0!</v>
      </c>
      <c r="BI161" s="402" t="e">
        <f t="shared" ref="BI161:BI192" si="61">AT161/AR161</f>
        <v>#DIV/0!</v>
      </c>
    </row>
    <row r="162" spans="1:61" s="359" customFormat="1" ht="19.2" x14ac:dyDescent="0.3">
      <c r="A162" s="360" t="s">
        <v>190</v>
      </c>
      <c r="B162" s="543" t="s">
        <v>537</v>
      </c>
      <c r="C162" s="433" t="s">
        <v>432</v>
      </c>
      <c r="D162" s="361">
        <v>0.4</v>
      </c>
      <c r="E162" s="403"/>
      <c r="F162" s="404"/>
      <c r="G162" s="400"/>
      <c r="H162" s="401"/>
      <c r="I162" s="401"/>
      <c r="J162" s="401"/>
      <c r="K162" s="401"/>
      <c r="L162" s="401"/>
      <c r="M162" s="401"/>
      <c r="N162" s="401"/>
      <c r="O162" s="401"/>
      <c r="P162" s="401"/>
      <c r="Q162" s="401"/>
      <c r="R162" s="389"/>
      <c r="S162" s="389"/>
      <c r="T162" s="389"/>
      <c r="U162" s="521"/>
      <c r="V162" s="402" t="e">
        <f t="shared" si="58"/>
        <v>#DIV/0!</v>
      </c>
      <c r="W162" s="402" t="e">
        <f t="shared" si="59"/>
        <v>#DIV/0!</v>
      </c>
      <c r="X162" s="403">
        <v>170</v>
      </c>
      <c r="Y162" s="404">
        <v>15</v>
      </c>
      <c r="Z162" s="400">
        <v>15</v>
      </c>
      <c r="AA162" s="545">
        <v>50.54439</v>
      </c>
      <c r="AB162" s="401">
        <v>35.718559999999997</v>
      </c>
      <c r="AC162" s="401">
        <v>22.419599999999999</v>
      </c>
      <c r="AD162" s="401">
        <v>9.9962199999999992</v>
      </c>
      <c r="AE162" s="401">
        <v>6.5130800000000004</v>
      </c>
      <c r="AF162" s="401">
        <v>0</v>
      </c>
      <c r="AG162" s="401">
        <v>0</v>
      </c>
      <c r="AH162" s="401">
        <v>4.1247199999999999</v>
      </c>
      <c r="AI162" s="401">
        <v>131.88</v>
      </c>
      <c r="AJ162" s="401">
        <v>9.9962199999999992</v>
      </c>
      <c r="AK162" s="385" t="s">
        <v>167</v>
      </c>
      <c r="AL162" s="439" t="s">
        <v>175</v>
      </c>
      <c r="AM162" s="389"/>
      <c r="AN162" s="521">
        <v>161</v>
      </c>
      <c r="AO162" s="402">
        <f t="shared" si="53"/>
        <v>297.31994117647059</v>
      </c>
      <c r="AP162" s="402">
        <f t="shared" si="54"/>
        <v>3.3696259999999998</v>
      </c>
      <c r="AQ162" s="595"/>
      <c r="AR162" s="587"/>
      <c r="AS162" s="400"/>
      <c r="AT162" s="545"/>
      <c r="AU162" s="401"/>
      <c r="AV162" s="401"/>
      <c r="AW162" s="401"/>
      <c r="AX162" s="401"/>
      <c r="AY162" s="401"/>
      <c r="AZ162" s="401"/>
      <c r="BA162" s="401"/>
      <c r="BB162" s="401"/>
      <c r="BC162" s="401"/>
      <c r="BD162" s="385"/>
      <c r="BE162" s="439"/>
      <c r="BF162" s="389"/>
      <c r="BG162" s="521"/>
      <c r="BH162" s="402" t="e">
        <f t="shared" si="60"/>
        <v>#DIV/0!</v>
      </c>
      <c r="BI162" s="402" t="e">
        <f t="shared" si="61"/>
        <v>#DIV/0!</v>
      </c>
    </row>
    <row r="163" spans="1:61" s="359" customFormat="1" ht="19.2" x14ac:dyDescent="0.3">
      <c r="A163" s="360" t="s">
        <v>598</v>
      </c>
      <c r="B163" s="543" t="s">
        <v>538</v>
      </c>
      <c r="C163" s="433" t="s">
        <v>439</v>
      </c>
      <c r="D163" s="361">
        <v>0.4</v>
      </c>
      <c r="E163" s="403"/>
      <c r="F163" s="404"/>
      <c r="G163" s="400"/>
      <c r="H163" s="401"/>
      <c r="I163" s="401"/>
      <c r="J163" s="401"/>
      <c r="K163" s="401"/>
      <c r="L163" s="401"/>
      <c r="M163" s="401"/>
      <c r="N163" s="401"/>
      <c r="O163" s="401"/>
      <c r="P163" s="401"/>
      <c r="Q163" s="401"/>
      <c r="R163" s="389"/>
      <c r="S163" s="389"/>
      <c r="T163" s="389"/>
      <c r="U163" s="521"/>
      <c r="V163" s="402" t="e">
        <f t="shared" si="58"/>
        <v>#DIV/0!</v>
      </c>
      <c r="W163" s="402" t="e">
        <f t="shared" si="59"/>
        <v>#DIV/0!</v>
      </c>
      <c r="X163" s="403">
        <v>160</v>
      </c>
      <c r="Y163" s="404">
        <v>15</v>
      </c>
      <c r="Z163" s="400">
        <v>15</v>
      </c>
      <c r="AA163" s="545">
        <v>126.65215000000001</v>
      </c>
      <c r="AB163" s="401">
        <v>85.062359999999998</v>
      </c>
      <c r="AC163" s="401">
        <v>22.2576</v>
      </c>
      <c r="AD163" s="401">
        <f>21.7983+29.0644</f>
        <v>50.862700000000004</v>
      </c>
      <c r="AE163" s="401">
        <v>18.406310000000001</v>
      </c>
      <c r="AF163" s="401">
        <v>0</v>
      </c>
      <c r="AG163" s="401">
        <v>0</v>
      </c>
      <c r="AH163" s="401">
        <v>11.251709999999999</v>
      </c>
      <c r="AI163" s="401">
        <v>139.11000000000001</v>
      </c>
      <c r="AJ163" s="401">
        <v>7.2660999999999998</v>
      </c>
      <c r="AK163" s="385" t="s">
        <v>167</v>
      </c>
      <c r="AL163" s="439" t="s">
        <v>175</v>
      </c>
      <c r="AM163" s="389"/>
      <c r="AN163" s="521">
        <v>192</v>
      </c>
      <c r="AO163" s="402">
        <f t="shared" si="53"/>
        <v>791.57593750000001</v>
      </c>
      <c r="AP163" s="402">
        <f t="shared" si="54"/>
        <v>8.4434766666666672</v>
      </c>
      <c r="AQ163" s="595"/>
      <c r="AR163" s="587"/>
      <c r="AS163" s="400"/>
      <c r="AT163" s="545"/>
      <c r="AU163" s="401"/>
      <c r="AV163" s="401"/>
      <c r="AW163" s="401"/>
      <c r="AX163" s="401"/>
      <c r="AY163" s="401"/>
      <c r="AZ163" s="401"/>
      <c r="BA163" s="401"/>
      <c r="BB163" s="401"/>
      <c r="BC163" s="401"/>
      <c r="BD163" s="385"/>
      <c r="BE163" s="439"/>
      <c r="BF163" s="389"/>
      <c r="BG163" s="521"/>
      <c r="BH163" s="402" t="e">
        <f t="shared" si="60"/>
        <v>#DIV/0!</v>
      </c>
      <c r="BI163" s="402" t="e">
        <f t="shared" si="61"/>
        <v>#DIV/0!</v>
      </c>
    </row>
    <row r="164" spans="1:61" s="359" customFormat="1" ht="19.2" x14ac:dyDescent="0.3">
      <c r="A164" s="360" t="s">
        <v>599</v>
      </c>
      <c r="B164" s="543" t="s">
        <v>539</v>
      </c>
      <c r="C164" s="433" t="s">
        <v>444</v>
      </c>
      <c r="D164" s="361">
        <v>0.4</v>
      </c>
      <c r="E164" s="403"/>
      <c r="F164" s="404"/>
      <c r="G164" s="400"/>
      <c r="H164" s="401"/>
      <c r="I164" s="401"/>
      <c r="J164" s="401"/>
      <c r="K164" s="401"/>
      <c r="L164" s="401"/>
      <c r="M164" s="401"/>
      <c r="N164" s="401"/>
      <c r="O164" s="401"/>
      <c r="P164" s="401"/>
      <c r="Q164" s="401"/>
      <c r="R164" s="389"/>
      <c r="S164" s="389"/>
      <c r="T164" s="389"/>
      <c r="U164" s="521"/>
      <c r="V164" s="402" t="e">
        <f t="shared" si="58"/>
        <v>#DIV/0!</v>
      </c>
      <c r="W164" s="402" t="e">
        <f t="shared" si="59"/>
        <v>#DIV/0!</v>
      </c>
      <c r="X164" s="403">
        <v>85</v>
      </c>
      <c r="Y164" s="404">
        <v>35</v>
      </c>
      <c r="Z164" s="400">
        <v>35</v>
      </c>
      <c r="AA164" s="545">
        <v>32.975700000000003</v>
      </c>
      <c r="AB164" s="401">
        <v>23.3644</v>
      </c>
      <c r="AC164" s="401">
        <v>11.7776</v>
      </c>
      <c r="AD164" s="401">
        <v>10</v>
      </c>
      <c r="AE164" s="401">
        <v>4.2079500000000003</v>
      </c>
      <c r="AF164" s="401">
        <v>0</v>
      </c>
      <c r="AG164" s="401">
        <v>0</v>
      </c>
      <c r="AH164" s="401">
        <v>2.6575700000000002</v>
      </c>
      <c r="AI164" s="401">
        <v>138.56</v>
      </c>
      <c r="AJ164" s="401">
        <v>10</v>
      </c>
      <c r="AK164" s="385" t="s">
        <v>167</v>
      </c>
      <c r="AL164" s="439" t="s">
        <v>175</v>
      </c>
      <c r="AM164" s="389"/>
      <c r="AN164" s="521">
        <v>213</v>
      </c>
      <c r="AO164" s="402">
        <f t="shared" si="53"/>
        <v>387.94941176470593</v>
      </c>
      <c r="AP164" s="402">
        <f t="shared" si="54"/>
        <v>0.94216285714285719</v>
      </c>
      <c r="AQ164" s="595"/>
      <c r="AR164" s="587"/>
      <c r="AS164" s="400"/>
      <c r="AT164" s="545"/>
      <c r="AU164" s="401"/>
      <c r="AV164" s="401"/>
      <c r="AW164" s="401"/>
      <c r="AX164" s="401"/>
      <c r="AY164" s="401"/>
      <c r="AZ164" s="401"/>
      <c r="BA164" s="401"/>
      <c r="BB164" s="401"/>
      <c r="BC164" s="401"/>
      <c r="BD164" s="385"/>
      <c r="BE164" s="439"/>
      <c r="BF164" s="389"/>
      <c r="BG164" s="521"/>
      <c r="BH164" s="402" t="e">
        <f t="shared" si="60"/>
        <v>#DIV/0!</v>
      </c>
      <c r="BI164" s="402" t="e">
        <f t="shared" si="61"/>
        <v>#DIV/0!</v>
      </c>
    </row>
    <row r="165" spans="1:61" s="359" customFormat="1" ht="19.2" x14ac:dyDescent="0.3">
      <c r="A165" s="360" t="s">
        <v>600</v>
      </c>
      <c r="B165" s="543" t="s">
        <v>540</v>
      </c>
      <c r="C165" s="433" t="s">
        <v>448</v>
      </c>
      <c r="D165" s="361">
        <v>0.4</v>
      </c>
      <c r="E165" s="403"/>
      <c r="F165" s="404"/>
      <c r="G165" s="400"/>
      <c r="H165" s="401"/>
      <c r="I165" s="401"/>
      <c r="J165" s="401"/>
      <c r="K165" s="401"/>
      <c r="L165" s="401"/>
      <c r="M165" s="401"/>
      <c r="N165" s="401"/>
      <c r="O165" s="401"/>
      <c r="P165" s="401"/>
      <c r="Q165" s="401"/>
      <c r="R165" s="389"/>
      <c r="S165" s="389"/>
      <c r="T165" s="389"/>
      <c r="U165" s="521"/>
      <c r="V165" s="402" t="e">
        <f t="shared" si="58"/>
        <v>#DIV/0!</v>
      </c>
      <c r="W165" s="402" t="e">
        <f t="shared" si="59"/>
        <v>#DIV/0!</v>
      </c>
      <c r="X165" s="403">
        <v>320</v>
      </c>
      <c r="Y165" s="404">
        <v>60</v>
      </c>
      <c r="Z165" s="400">
        <v>60</v>
      </c>
      <c r="AA165" s="545">
        <v>167.82957999999999</v>
      </c>
      <c r="AB165" s="401">
        <v>121.81782</v>
      </c>
      <c r="AC165" s="401">
        <v>44.339199999999998</v>
      </c>
      <c r="AD165" s="401">
        <v>60</v>
      </c>
      <c r="AE165" s="401">
        <v>20.095020000000002</v>
      </c>
      <c r="AF165" s="401">
        <v>0</v>
      </c>
      <c r="AG165" s="401">
        <v>0</v>
      </c>
      <c r="AH165" s="401">
        <v>12.665900000000001</v>
      </c>
      <c r="AI165" s="401">
        <v>138.56</v>
      </c>
      <c r="AJ165" s="401">
        <v>10</v>
      </c>
      <c r="AK165" s="385" t="s">
        <v>167</v>
      </c>
      <c r="AL165" s="439" t="s">
        <v>175</v>
      </c>
      <c r="AM165" s="389"/>
      <c r="AN165" s="521">
        <v>233</v>
      </c>
      <c r="AO165" s="402">
        <f t="shared" si="53"/>
        <v>524.46743750000007</v>
      </c>
      <c r="AP165" s="402">
        <f t="shared" si="54"/>
        <v>2.7971596666666665</v>
      </c>
      <c r="AQ165" s="595"/>
      <c r="AR165" s="587"/>
      <c r="AS165" s="400"/>
      <c r="AT165" s="545"/>
      <c r="AU165" s="401"/>
      <c r="AV165" s="401"/>
      <c r="AW165" s="401"/>
      <c r="AX165" s="401"/>
      <c r="AY165" s="401"/>
      <c r="AZ165" s="401"/>
      <c r="BA165" s="401"/>
      <c r="BB165" s="401"/>
      <c r="BC165" s="401"/>
      <c r="BD165" s="385"/>
      <c r="BE165" s="439"/>
      <c r="BF165" s="389"/>
      <c r="BG165" s="521"/>
      <c r="BH165" s="402" t="e">
        <f t="shared" si="60"/>
        <v>#DIV/0!</v>
      </c>
      <c r="BI165" s="402" t="e">
        <f t="shared" si="61"/>
        <v>#DIV/0!</v>
      </c>
    </row>
    <row r="166" spans="1:61" s="359" customFormat="1" ht="19.2" x14ac:dyDescent="0.3">
      <c r="A166" s="360" t="s">
        <v>601</v>
      </c>
      <c r="B166" s="543" t="s">
        <v>541</v>
      </c>
      <c r="C166" s="433" t="s">
        <v>459</v>
      </c>
      <c r="D166" s="361">
        <v>0.4</v>
      </c>
      <c r="E166" s="403"/>
      <c r="F166" s="404"/>
      <c r="G166" s="400"/>
      <c r="H166" s="401"/>
      <c r="I166" s="401"/>
      <c r="J166" s="401"/>
      <c r="K166" s="401"/>
      <c r="L166" s="401"/>
      <c r="M166" s="401"/>
      <c r="N166" s="401"/>
      <c r="O166" s="401"/>
      <c r="P166" s="401"/>
      <c r="Q166" s="401"/>
      <c r="R166" s="389"/>
      <c r="S166" s="389"/>
      <c r="T166" s="389"/>
      <c r="U166" s="521"/>
      <c r="V166" s="402" t="e">
        <f t="shared" si="58"/>
        <v>#DIV/0!</v>
      </c>
      <c r="W166" s="402" t="e">
        <f t="shared" si="59"/>
        <v>#DIV/0!</v>
      </c>
      <c r="X166" s="403">
        <v>180</v>
      </c>
      <c r="Y166" s="404">
        <v>15</v>
      </c>
      <c r="Z166" s="400">
        <v>15</v>
      </c>
      <c r="AA166" s="545">
        <v>175.9254</v>
      </c>
      <c r="AB166" s="401">
        <v>127.82742</v>
      </c>
      <c r="AC166" s="401">
        <v>24.940799999999999</v>
      </c>
      <c r="AD166" s="401">
        <f>60+20</f>
        <v>80</v>
      </c>
      <c r="AE166" s="401">
        <v>20.736699999999999</v>
      </c>
      <c r="AF166" s="401">
        <v>0</v>
      </c>
      <c r="AG166" s="401">
        <v>0</v>
      </c>
      <c r="AH166" s="401">
        <v>13.25323</v>
      </c>
      <c r="AI166" s="401">
        <v>138.56</v>
      </c>
      <c r="AJ166" s="401">
        <v>10</v>
      </c>
      <c r="AK166" s="385" t="s">
        <v>167</v>
      </c>
      <c r="AL166" s="439" t="s">
        <v>175</v>
      </c>
      <c r="AM166" s="389"/>
      <c r="AN166" s="521">
        <v>292</v>
      </c>
      <c r="AO166" s="402">
        <f t="shared" si="53"/>
        <v>977.36333333333334</v>
      </c>
      <c r="AP166" s="402">
        <f t="shared" si="54"/>
        <v>11.72836</v>
      </c>
      <c r="AQ166" s="595"/>
      <c r="AR166" s="587"/>
      <c r="AS166" s="400"/>
      <c r="AT166" s="545"/>
      <c r="AU166" s="401"/>
      <c r="AV166" s="401"/>
      <c r="AW166" s="401"/>
      <c r="AX166" s="401"/>
      <c r="AY166" s="401"/>
      <c r="AZ166" s="401"/>
      <c r="BA166" s="401"/>
      <c r="BB166" s="401"/>
      <c r="BC166" s="401"/>
      <c r="BD166" s="385"/>
      <c r="BE166" s="439"/>
      <c r="BF166" s="389"/>
      <c r="BG166" s="521"/>
      <c r="BH166" s="402" t="e">
        <f t="shared" si="60"/>
        <v>#DIV/0!</v>
      </c>
      <c r="BI166" s="402" t="e">
        <f t="shared" si="61"/>
        <v>#DIV/0!</v>
      </c>
    </row>
    <row r="167" spans="1:61" s="359" customFormat="1" ht="19.2" x14ac:dyDescent="0.3">
      <c r="A167" s="360" t="s">
        <v>602</v>
      </c>
      <c r="B167" s="543" t="s">
        <v>542</v>
      </c>
      <c r="C167" s="433" t="s">
        <v>461</v>
      </c>
      <c r="D167" s="361">
        <v>0.4</v>
      </c>
      <c r="E167" s="403"/>
      <c r="F167" s="404"/>
      <c r="G167" s="400"/>
      <c r="H167" s="401"/>
      <c r="I167" s="401"/>
      <c r="J167" s="401"/>
      <c r="K167" s="401"/>
      <c r="L167" s="401"/>
      <c r="M167" s="401"/>
      <c r="N167" s="401"/>
      <c r="O167" s="401"/>
      <c r="P167" s="401"/>
      <c r="Q167" s="401"/>
      <c r="R167" s="389"/>
      <c r="S167" s="389"/>
      <c r="T167" s="389"/>
      <c r="U167" s="521"/>
      <c r="V167" s="402" t="e">
        <f t="shared" si="58"/>
        <v>#DIV/0!</v>
      </c>
      <c r="W167" s="402" t="e">
        <f t="shared" si="59"/>
        <v>#DIV/0!</v>
      </c>
      <c r="X167" s="403">
        <v>85</v>
      </c>
      <c r="Y167" s="404">
        <v>15</v>
      </c>
      <c r="Z167" s="400">
        <v>15</v>
      </c>
      <c r="AA167" s="545">
        <v>82.783060000000006</v>
      </c>
      <c r="AB167" s="401">
        <v>58.794890000000002</v>
      </c>
      <c r="AC167" s="401">
        <v>11.7776</v>
      </c>
      <c r="AD167" s="401">
        <f>20+20</f>
        <v>40</v>
      </c>
      <c r="AE167" s="401">
        <v>10.42099</v>
      </c>
      <c r="AF167" s="401">
        <v>0</v>
      </c>
      <c r="AG167" s="401">
        <v>0</v>
      </c>
      <c r="AH167" s="401">
        <v>6.5775800000000002</v>
      </c>
      <c r="AI167" s="401">
        <v>138.56</v>
      </c>
      <c r="AJ167" s="401">
        <v>10</v>
      </c>
      <c r="AK167" s="385" t="s">
        <v>167</v>
      </c>
      <c r="AL167" s="439" t="s">
        <v>175</v>
      </c>
      <c r="AM167" s="389"/>
      <c r="AN167" s="521">
        <v>300</v>
      </c>
      <c r="AO167" s="402">
        <f t="shared" si="53"/>
        <v>973.91835294117652</v>
      </c>
      <c r="AP167" s="402">
        <f t="shared" si="54"/>
        <v>5.5188706666666674</v>
      </c>
      <c r="AQ167" s="595"/>
      <c r="AR167" s="587"/>
      <c r="AS167" s="400"/>
      <c r="AT167" s="545"/>
      <c r="AU167" s="401"/>
      <c r="AV167" s="401"/>
      <c r="AW167" s="401"/>
      <c r="AX167" s="401"/>
      <c r="AY167" s="401"/>
      <c r="AZ167" s="401"/>
      <c r="BA167" s="401"/>
      <c r="BB167" s="401"/>
      <c r="BC167" s="401"/>
      <c r="BD167" s="385"/>
      <c r="BE167" s="439"/>
      <c r="BF167" s="389"/>
      <c r="BG167" s="521"/>
      <c r="BH167" s="402" t="e">
        <f t="shared" si="60"/>
        <v>#DIV/0!</v>
      </c>
      <c r="BI167" s="402" t="e">
        <f t="shared" si="61"/>
        <v>#DIV/0!</v>
      </c>
    </row>
    <row r="168" spans="1:61" s="359" customFormat="1" ht="19.2" x14ac:dyDescent="0.3">
      <c r="A168" s="360" t="s">
        <v>603</v>
      </c>
      <c r="B168" s="543" t="s">
        <v>531</v>
      </c>
      <c r="C168" s="433" t="s">
        <v>430</v>
      </c>
      <c r="D168" s="361">
        <v>0.4</v>
      </c>
      <c r="E168" s="403"/>
      <c r="F168" s="404"/>
      <c r="G168" s="400"/>
      <c r="H168" s="401"/>
      <c r="I168" s="401"/>
      <c r="J168" s="401"/>
      <c r="K168" s="401"/>
      <c r="L168" s="401"/>
      <c r="M168" s="401"/>
      <c r="N168" s="401"/>
      <c r="O168" s="401"/>
      <c r="P168" s="401"/>
      <c r="Q168" s="401"/>
      <c r="R168" s="389"/>
      <c r="S168" s="389"/>
      <c r="T168" s="389"/>
      <c r="U168" s="521"/>
      <c r="V168" s="402" t="e">
        <f t="shared" si="58"/>
        <v>#DIV/0!</v>
      </c>
      <c r="W168" s="402" t="e">
        <f t="shared" si="59"/>
        <v>#DIV/0!</v>
      </c>
      <c r="X168" s="403">
        <v>180</v>
      </c>
      <c r="Y168" s="404">
        <v>15</v>
      </c>
      <c r="Z168" s="400">
        <v>15</v>
      </c>
      <c r="AA168" s="545">
        <v>182.17043000000001</v>
      </c>
      <c r="AB168" s="401">
        <v>129.03570999999999</v>
      </c>
      <c r="AC168" s="401">
        <v>24.940799999999999</v>
      </c>
      <c r="AD168" s="401">
        <f>50+40</f>
        <v>90</v>
      </c>
      <c r="AE168" s="401">
        <v>23.042629999999999</v>
      </c>
      <c r="AF168" s="401">
        <v>0</v>
      </c>
      <c r="AG168" s="401">
        <v>0</v>
      </c>
      <c r="AH168" s="401">
        <v>14.57657</v>
      </c>
      <c r="AI168" s="401">
        <v>138.56</v>
      </c>
      <c r="AJ168" s="401">
        <v>10</v>
      </c>
      <c r="AK168" s="385" t="s">
        <v>167</v>
      </c>
      <c r="AL168" s="439" t="s">
        <v>175</v>
      </c>
      <c r="AM168" s="389"/>
      <c r="AN168" s="521">
        <v>304</v>
      </c>
      <c r="AO168" s="402">
        <f t="shared" si="53"/>
        <v>1012.0579444444444</v>
      </c>
      <c r="AP168" s="402">
        <f t="shared" si="54"/>
        <v>12.144695333333335</v>
      </c>
      <c r="AQ168" s="595"/>
      <c r="AR168" s="587"/>
      <c r="AS168" s="400"/>
      <c r="AT168" s="545"/>
      <c r="AU168" s="401"/>
      <c r="AV168" s="401"/>
      <c r="AW168" s="401"/>
      <c r="AX168" s="401"/>
      <c r="AY168" s="401"/>
      <c r="AZ168" s="401"/>
      <c r="BA168" s="401"/>
      <c r="BB168" s="401"/>
      <c r="BC168" s="401"/>
      <c r="BD168" s="385"/>
      <c r="BE168" s="439"/>
      <c r="BF168" s="389"/>
      <c r="BG168" s="521"/>
      <c r="BH168" s="402" t="e">
        <f t="shared" si="60"/>
        <v>#DIV/0!</v>
      </c>
      <c r="BI168" s="402" t="e">
        <f t="shared" si="61"/>
        <v>#DIV/0!</v>
      </c>
    </row>
    <row r="169" spans="1:61" s="359" customFormat="1" ht="19.2" x14ac:dyDescent="0.3">
      <c r="A169" s="360" t="s">
        <v>604</v>
      </c>
      <c r="B169" s="543" t="s">
        <v>543</v>
      </c>
      <c r="C169" s="433" t="s">
        <v>462</v>
      </c>
      <c r="D169" s="361">
        <v>0.4</v>
      </c>
      <c r="E169" s="403"/>
      <c r="F169" s="404"/>
      <c r="G169" s="400"/>
      <c r="H169" s="401"/>
      <c r="I169" s="401"/>
      <c r="J169" s="401"/>
      <c r="K169" s="401"/>
      <c r="L169" s="401"/>
      <c r="M169" s="401"/>
      <c r="N169" s="401"/>
      <c r="O169" s="401"/>
      <c r="P169" s="401"/>
      <c r="Q169" s="401"/>
      <c r="R169" s="389"/>
      <c r="S169" s="389"/>
      <c r="T169" s="389"/>
      <c r="U169" s="521"/>
      <c r="V169" s="402" t="e">
        <f t="shared" si="58"/>
        <v>#DIV/0!</v>
      </c>
      <c r="W169" s="402" t="e">
        <f t="shared" si="59"/>
        <v>#DIV/0!</v>
      </c>
      <c r="X169" s="403">
        <v>200</v>
      </c>
      <c r="Y169" s="404">
        <v>15</v>
      </c>
      <c r="Z169" s="400">
        <v>15</v>
      </c>
      <c r="AA169" s="545">
        <v>169.97825</v>
      </c>
      <c r="AB169" s="401">
        <v>125.14251</v>
      </c>
      <c r="AC169" s="401">
        <v>27.712</v>
      </c>
      <c r="AD169" s="401">
        <f>50+20</f>
        <v>70</v>
      </c>
      <c r="AE169" s="401">
        <v>19.361360000000001</v>
      </c>
      <c r="AF169" s="401">
        <v>0</v>
      </c>
      <c r="AG169" s="401">
        <v>0</v>
      </c>
      <c r="AH169" s="401">
        <v>12.37181</v>
      </c>
      <c r="AI169" s="401">
        <v>138.56</v>
      </c>
      <c r="AJ169" s="401">
        <v>10</v>
      </c>
      <c r="AK169" s="385" t="s">
        <v>167</v>
      </c>
      <c r="AL169" s="439" t="s">
        <v>175</v>
      </c>
      <c r="AM169" s="389"/>
      <c r="AN169" s="521">
        <v>308</v>
      </c>
      <c r="AO169" s="402">
        <f t="shared" si="53"/>
        <v>849.89125000000001</v>
      </c>
      <c r="AP169" s="402">
        <f t="shared" si="54"/>
        <v>11.331883333333334</v>
      </c>
      <c r="AQ169" s="595"/>
      <c r="AR169" s="587"/>
      <c r="AS169" s="400"/>
      <c r="AT169" s="545"/>
      <c r="AU169" s="401"/>
      <c r="AV169" s="401"/>
      <c r="AW169" s="401"/>
      <c r="AX169" s="401"/>
      <c r="AY169" s="401"/>
      <c r="AZ169" s="401"/>
      <c r="BA169" s="401"/>
      <c r="BB169" s="401"/>
      <c r="BC169" s="401"/>
      <c r="BD169" s="385"/>
      <c r="BE169" s="439"/>
      <c r="BF169" s="389"/>
      <c r="BG169" s="521"/>
      <c r="BH169" s="402" t="e">
        <f t="shared" si="60"/>
        <v>#DIV/0!</v>
      </c>
      <c r="BI169" s="402" t="e">
        <f t="shared" si="61"/>
        <v>#DIV/0!</v>
      </c>
    </row>
    <row r="170" spans="1:61" s="359" customFormat="1" ht="19.2" x14ac:dyDescent="0.3">
      <c r="A170" s="360" t="s">
        <v>605</v>
      </c>
      <c r="B170" s="543" t="s">
        <v>544</v>
      </c>
      <c r="C170" s="433" t="s">
        <v>477</v>
      </c>
      <c r="D170" s="361">
        <v>0.4</v>
      </c>
      <c r="E170" s="403"/>
      <c r="F170" s="404"/>
      <c r="G170" s="400"/>
      <c r="H170" s="401"/>
      <c r="I170" s="401"/>
      <c r="J170" s="401"/>
      <c r="K170" s="401"/>
      <c r="L170" s="401"/>
      <c r="M170" s="401"/>
      <c r="N170" s="401"/>
      <c r="O170" s="401"/>
      <c r="P170" s="401"/>
      <c r="Q170" s="401"/>
      <c r="R170" s="389"/>
      <c r="S170" s="389"/>
      <c r="T170" s="389"/>
      <c r="U170" s="521"/>
      <c r="V170" s="402" t="e">
        <f t="shared" si="58"/>
        <v>#DIV/0!</v>
      </c>
      <c r="W170" s="402" t="e">
        <f t="shared" si="59"/>
        <v>#DIV/0!</v>
      </c>
      <c r="X170" s="403">
        <v>580</v>
      </c>
      <c r="Y170" s="404">
        <v>15</v>
      </c>
      <c r="Z170" s="400">
        <v>15</v>
      </c>
      <c r="AA170" s="545">
        <v>476.08985999999999</v>
      </c>
      <c r="AB170" s="401">
        <v>342.07625000000002</v>
      </c>
      <c r="AC170" s="401">
        <v>80.364800000000002</v>
      </c>
      <c r="AD170" s="401">
        <f>150+80</f>
        <v>230</v>
      </c>
      <c r="AE170" s="401">
        <v>55.921950000000002</v>
      </c>
      <c r="AF170" s="401">
        <v>0</v>
      </c>
      <c r="AG170" s="401">
        <v>0</v>
      </c>
      <c r="AH170" s="401">
        <v>37.350209999999997</v>
      </c>
      <c r="AI170" s="401">
        <v>138.56</v>
      </c>
      <c r="AJ170" s="401">
        <v>10</v>
      </c>
      <c r="AK170" s="385" t="s">
        <v>167</v>
      </c>
      <c r="AL170" s="439" t="s">
        <v>175</v>
      </c>
      <c r="AM170" s="389"/>
      <c r="AN170" s="521">
        <v>386</v>
      </c>
      <c r="AO170" s="402">
        <f t="shared" si="53"/>
        <v>820.84458620689645</v>
      </c>
      <c r="AP170" s="402">
        <f t="shared" si="54"/>
        <v>31.739324</v>
      </c>
      <c r="AQ170" s="595"/>
      <c r="AR170" s="587"/>
      <c r="AS170" s="400"/>
      <c r="AT170" s="545"/>
      <c r="AU170" s="401"/>
      <c r="AV170" s="401"/>
      <c r="AW170" s="401"/>
      <c r="AX170" s="401"/>
      <c r="AY170" s="401"/>
      <c r="AZ170" s="401"/>
      <c r="BA170" s="401"/>
      <c r="BB170" s="401"/>
      <c r="BC170" s="401"/>
      <c r="BD170" s="385"/>
      <c r="BE170" s="439"/>
      <c r="BF170" s="389"/>
      <c r="BG170" s="521"/>
      <c r="BH170" s="402" t="e">
        <f t="shared" si="60"/>
        <v>#DIV/0!</v>
      </c>
      <c r="BI170" s="402" t="e">
        <f t="shared" si="61"/>
        <v>#DIV/0!</v>
      </c>
    </row>
    <row r="171" spans="1:61" s="359" customFormat="1" ht="19.2" x14ac:dyDescent="0.3">
      <c r="A171" s="360" t="s">
        <v>179</v>
      </c>
      <c r="B171" s="579" t="s">
        <v>754</v>
      </c>
      <c r="C171" s="433" t="s">
        <v>611</v>
      </c>
      <c r="D171" s="361">
        <v>0.4</v>
      </c>
      <c r="E171" s="403"/>
      <c r="F171" s="404"/>
      <c r="G171" s="400"/>
      <c r="H171" s="401"/>
      <c r="I171" s="401"/>
      <c r="J171" s="401"/>
      <c r="K171" s="401"/>
      <c r="L171" s="401"/>
      <c r="M171" s="401"/>
      <c r="N171" s="401"/>
      <c r="O171" s="401"/>
      <c r="P171" s="401"/>
      <c r="Q171" s="401"/>
      <c r="R171" s="389"/>
      <c r="S171" s="389"/>
      <c r="T171" s="389"/>
      <c r="U171" s="521"/>
      <c r="V171" s="402"/>
      <c r="W171" s="402"/>
      <c r="X171" s="403"/>
      <c r="Y171" s="404"/>
      <c r="Z171" s="400"/>
      <c r="AA171" s="401"/>
      <c r="AB171" s="401"/>
      <c r="AC171" s="401"/>
      <c r="AD171" s="401"/>
      <c r="AE171" s="401"/>
      <c r="AF171" s="401"/>
      <c r="AG171" s="401"/>
      <c r="AH171" s="401"/>
      <c r="AI171" s="401"/>
      <c r="AJ171" s="401"/>
      <c r="AK171" s="385"/>
      <c r="AL171" s="439"/>
      <c r="AM171" s="389"/>
      <c r="AN171" s="521"/>
      <c r="AO171" s="402"/>
      <c r="AP171" s="402"/>
      <c r="AQ171" s="595">
        <v>400</v>
      </c>
      <c r="AR171" s="587">
        <v>15</v>
      </c>
      <c r="AS171" s="400">
        <v>15</v>
      </c>
      <c r="AT171" s="578">
        <v>414.82731999999999</v>
      </c>
      <c r="AU171" s="401">
        <v>300.17036000000002</v>
      </c>
      <c r="AV171" s="401">
        <v>55.423999999999999</v>
      </c>
      <c r="AW171" s="401">
        <f>110+80+30</f>
        <v>220</v>
      </c>
      <c r="AX171" s="401">
        <v>53.053980000000003</v>
      </c>
      <c r="AY171" s="401">
        <v>0</v>
      </c>
      <c r="AZ171" s="401">
        <v>0</v>
      </c>
      <c r="BA171" s="401">
        <v>30.279319999999998</v>
      </c>
      <c r="BB171" s="401">
        <v>138.56</v>
      </c>
      <c r="BC171" s="401">
        <v>10</v>
      </c>
      <c r="BD171" s="385" t="s">
        <v>167</v>
      </c>
      <c r="BE171" s="439" t="s">
        <v>175</v>
      </c>
      <c r="BF171" s="389"/>
      <c r="BG171" s="521">
        <v>180</v>
      </c>
      <c r="BH171" s="402">
        <f t="shared" si="60"/>
        <v>1037.0683000000001</v>
      </c>
      <c r="BI171" s="402">
        <f t="shared" si="61"/>
        <v>27.655154666666665</v>
      </c>
    </row>
    <row r="172" spans="1:61" s="359" customFormat="1" ht="19.2" x14ac:dyDescent="0.3">
      <c r="A172" s="360" t="s">
        <v>183</v>
      </c>
      <c r="B172" s="579" t="s">
        <v>755</v>
      </c>
      <c r="C172" s="433" t="s">
        <v>614</v>
      </c>
      <c r="D172" s="361">
        <v>0.4</v>
      </c>
      <c r="E172" s="403"/>
      <c r="F172" s="404"/>
      <c r="G172" s="400"/>
      <c r="H172" s="401"/>
      <c r="I172" s="401"/>
      <c r="J172" s="401"/>
      <c r="K172" s="401"/>
      <c r="L172" s="401"/>
      <c r="M172" s="401"/>
      <c r="N172" s="401"/>
      <c r="O172" s="401"/>
      <c r="P172" s="401"/>
      <c r="Q172" s="401"/>
      <c r="R172" s="389"/>
      <c r="S172" s="389"/>
      <c r="T172" s="389"/>
      <c r="U172" s="521"/>
      <c r="V172" s="402"/>
      <c r="W172" s="402"/>
      <c r="X172" s="403"/>
      <c r="Y172" s="404"/>
      <c r="Z172" s="400"/>
      <c r="AA172" s="401"/>
      <c r="AB172" s="401"/>
      <c r="AC172" s="401"/>
      <c r="AD172" s="401"/>
      <c r="AE172" s="401"/>
      <c r="AF172" s="401"/>
      <c r="AG172" s="401"/>
      <c r="AH172" s="401"/>
      <c r="AI172" s="401"/>
      <c r="AJ172" s="401"/>
      <c r="AK172" s="385"/>
      <c r="AL172" s="439"/>
      <c r="AM172" s="389"/>
      <c r="AN172" s="521"/>
      <c r="AO172" s="402"/>
      <c r="AP172" s="402"/>
      <c r="AQ172" s="595">
        <v>570</v>
      </c>
      <c r="AR172" s="587">
        <v>15</v>
      </c>
      <c r="AS172" s="400">
        <v>15</v>
      </c>
      <c r="AT172" s="578">
        <v>378.82261999999997</v>
      </c>
      <c r="AU172" s="401">
        <v>275.54863999999998</v>
      </c>
      <c r="AV172" s="401">
        <v>78.979200000000006</v>
      </c>
      <c r="AW172" s="401">
        <f>92.10564+20.46792+61.40376</f>
        <v>173.97731999999999</v>
      </c>
      <c r="AX172" s="401">
        <v>46.978409999999997</v>
      </c>
      <c r="AY172" s="401">
        <v>0</v>
      </c>
      <c r="AZ172" s="401">
        <v>0</v>
      </c>
      <c r="BA172" s="401">
        <v>27.687619999999999</v>
      </c>
      <c r="BB172" s="401">
        <v>138.56</v>
      </c>
      <c r="BC172" s="401">
        <v>10.23396</v>
      </c>
      <c r="BD172" s="385" t="s">
        <v>167</v>
      </c>
      <c r="BE172" s="439" t="s">
        <v>175</v>
      </c>
      <c r="BF172" s="389"/>
      <c r="BG172" s="521">
        <v>184</v>
      </c>
      <c r="BH172" s="402">
        <f t="shared" si="60"/>
        <v>664.60108771929811</v>
      </c>
      <c r="BI172" s="402">
        <f t="shared" si="61"/>
        <v>25.254841333333331</v>
      </c>
    </row>
    <row r="173" spans="1:61" s="359" customFormat="1" ht="19.2" x14ac:dyDescent="0.3">
      <c r="A173" s="360" t="s">
        <v>185</v>
      </c>
      <c r="B173" s="579" t="s">
        <v>756</v>
      </c>
      <c r="C173" s="433" t="s">
        <v>619</v>
      </c>
      <c r="D173" s="361">
        <v>0.4</v>
      </c>
      <c r="E173" s="403"/>
      <c r="F173" s="404"/>
      <c r="G173" s="400"/>
      <c r="H173" s="401"/>
      <c r="I173" s="401"/>
      <c r="J173" s="401"/>
      <c r="K173" s="401"/>
      <c r="L173" s="401"/>
      <c r="M173" s="401"/>
      <c r="N173" s="401"/>
      <c r="O173" s="401"/>
      <c r="P173" s="401"/>
      <c r="Q173" s="401"/>
      <c r="R173" s="389"/>
      <c r="S173" s="389"/>
      <c r="T173" s="389"/>
      <c r="U173" s="521"/>
      <c r="V173" s="402"/>
      <c r="W173" s="402"/>
      <c r="X173" s="403"/>
      <c r="Y173" s="404"/>
      <c r="Z173" s="400"/>
      <c r="AA173" s="401"/>
      <c r="AB173" s="401"/>
      <c r="AC173" s="401"/>
      <c r="AD173" s="401"/>
      <c r="AE173" s="401"/>
      <c r="AF173" s="401"/>
      <c r="AG173" s="401"/>
      <c r="AH173" s="401"/>
      <c r="AI173" s="401"/>
      <c r="AJ173" s="401"/>
      <c r="AK173" s="385"/>
      <c r="AL173" s="439"/>
      <c r="AM173" s="389"/>
      <c r="AN173" s="521"/>
      <c r="AO173" s="402"/>
      <c r="AP173" s="402"/>
      <c r="AQ173" s="595">
        <v>350</v>
      </c>
      <c r="AR173" s="587">
        <v>15</v>
      </c>
      <c r="AS173" s="400">
        <v>15</v>
      </c>
      <c r="AT173" s="578">
        <v>210.32184000000001</v>
      </c>
      <c r="AU173" s="401">
        <v>151.80948000000001</v>
      </c>
      <c r="AV173" s="401">
        <v>48.496000000000002</v>
      </c>
      <c r="AW173" s="401">
        <f>39.97508+19.98754+29.98131</f>
        <v>89.943929999999995</v>
      </c>
      <c r="AX173" s="401">
        <v>26.749690000000001</v>
      </c>
      <c r="AY173" s="401">
        <v>0</v>
      </c>
      <c r="AZ173" s="401">
        <v>0</v>
      </c>
      <c r="BA173" s="401">
        <v>15.688359999999999</v>
      </c>
      <c r="BB173" s="401">
        <v>138.56</v>
      </c>
      <c r="BC173" s="401">
        <v>9.9937699999999996</v>
      </c>
      <c r="BD173" s="385" t="s">
        <v>167</v>
      </c>
      <c r="BE173" s="439" t="s">
        <v>175</v>
      </c>
      <c r="BF173" s="389"/>
      <c r="BG173" s="521">
        <v>192</v>
      </c>
      <c r="BH173" s="402">
        <f t="shared" si="60"/>
        <v>600.91954285714291</v>
      </c>
      <c r="BI173" s="402">
        <f t="shared" si="61"/>
        <v>14.021456000000001</v>
      </c>
    </row>
    <row r="174" spans="1:61" s="359" customFormat="1" ht="19.2" x14ac:dyDescent="0.3">
      <c r="A174" s="360" t="s">
        <v>187</v>
      </c>
      <c r="B174" s="579" t="s">
        <v>757</v>
      </c>
      <c r="C174" s="433" t="s">
        <v>626</v>
      </c>
      <c r="D174" s="361">
        <v>0.4</v>
      </c>
      <c r="E174" s="403"/>
      <c r="F174" s="404"/>
      <c r="G174" s="400"/>
      <c r="H174" s="401"/>
      <c r="I174" s="401"/>
      <c r="J174" s="401"/>
      <c r="K174" s="401"/>
      <c r="L174" s="401"/>
      <c r="M174" s="401"/>
      <c r="N174" s="401"/>
      <c r="O174" s="401"/>
      <c r="P174" s="401"/>
      <c r="Q174" s="401"/>
      <c r="R174" s="389"/>
      <c r="S174" s="389"/>
      <c r="T174" s="389"/>
      <c r="U174" s="521"/>
      <c r="V174" s="402"/>
      <c r="W174" s="402"/>
      <c r="X174" s="403"/>
      <c r="Y174" s="404"/>
      <c r="Z174" s="400"/>
      <c r="AA174" s="401"/>
      <c r="AB174" s="401"/>
      <c r="AC174" s="401"/>
      <c r="AD174" s="401"/>
      <c r="AE174" s="401"/>
      <c r="AF174" s="401"/>
      <c r="AG174" s="401"/>
      <c r="AH174" s="401"/>
      <c r="AI174" s="401"/>
      <c r="AJ174" s="401"/>
      <c r="AK174" s="385"/>
      <c r="AL174" s="439"/>
      <c r="AM174" s="389"/>
      <c r="AN174" s="521"/>
      <c r="AO174" s="402"/>
      <c r="AP174" s="402"/>
      <c r="AQ174" s="595">
        <v>13</v>
      </c>
      <c r="AR174" s="587">
        <v>15</v>
      </c>
      <c r="AS174" s="400">
        <v>15</v>
      </c>
      <c r="AT174" s="578">
        <v>20.062750000000001</v>
      </c>
      <c r="AU174" s="401">
        <v>14.899139999999999</v>
      </c>
      <c r="AV174" s="401">
        <v>1.80128</v>
      </c>
      <c r="AW174" s="401">
        <v>9.9283599999999996</v>
      </c>
      <c r="AX174" s="401">
        <v>2.3575400000000002</v>
      </c>
      <c r="AY174" s="401">
        <v>0</v>
      </c>
      <c r="AZ174" s="401">
        <v>0</v>
      </c>
      <c r="BA174" s="401">
        <v>1.37537</v>
      </c>
      <c r="BB174" s="401">
        <v>138.56</v>
      </c>
      <c r="BC174" s="401">
        <v>9.9283599999999996</v>
      </c>
      <c r="BD174" s="385" t="s">
        <v>167</v>
      </c>
      <c r="BE174" s="439" t="s">
        <v>175</v>
      </c>
      <c r="BF174" s="389"/>
      <c r="BG174" s="521">
        <v>199</v>
      </c>
      <c r="BH174" s="402">
        <f t="shared" si="60"/>
        <v>1543.2884615384617</v>
      </c>
      <c r="BI174" s="402">
        <f t="shared" si="61"/>
        <v>1.3375166666666667</v>
      </c>
    </row>
    <row r="175" spans="1:61" s="359" customFormat="1" ht="19.2" x14ac:dyDescent="0.3">
      <c r="A175" s="360" t="s">
        <v>190</v>
      </c>
      <c r="B175" s="579" t="s">
        <v>758</v>
      </c>
      <c r="C175" s="433" t="s">
        <v>656</v>
      </c>
      <c r="D175" s="361">
        <v>0.4</v>
      </c>
      <c r="E175" s="403"/>
      <c r="F175" s="404"/>
      <c r="G175" s="400"/>
      <c r="H175" s="401"/>
      <c r="I175" s="401"/>
      <c r="J175" s="401"/>
      <c r="K175" s="401"/>
      <c r="L175" s="401"/>
      <c r="M175" s="401"/>
      <c r="N175" s="401"/>
      <c r="O175" s="401"/>
      <c r="P175" s="401"/>
      <c r="Q175" s="401"/>
      <c r="R175" s="389"/>
      <c r="S175" s="389"/>
      <c r="T175" s="389"/>
      <c r="U175" s="521"/>
      <c r="V175" s="402"/>
      <c r="W175" s="402"/>
      <c r="X175" s="403"/>
      <c r="Y175" s="404"/>
      <c r="Z175" s="400"/>
      <c r="AA175" s="401"/>
      <c r="AB175" s="401"/>
      <c r="AC175" s="401"/>
      <c r="AD175" s="401"/>
      <c r="AE175" s="401"/>
      <c r="AF175" s="401"/>
      <c r="AG175" s="401"/>
      <c r="AH175" s="401"/>
      <c r="AI175" s="401"/>
      <c r="AJ175" s="401"/>
      <c r="AK175" s="385"/>
      <c r="AL175" s="439"/>
      <c r="AM175" s="389"/>
      <c r="AN175" s="521"/>
      <c r="AO175" s="402"/>
      <c r="AP175" s="402"/>
      <c r="AQ175" s="595">
        <v>300</v>
      </c>
      <c r="AR175" s="587">
        <v>60</v>
      </c>
      <c r="AS175" s="400">
        <v>60</v>
      </c>
      <c r="AT175" s="578">
        <v>275.33828</v>
      </c>
      <c r="AU175" s="401">
        <v>196.55463</v>
      </c>
      <c r="AV175" s="401">
        <v>32.703000000000003</v>
      </c>
      <c r="AW175" s="401">
        <f>98.6848+39.47392</f>
        <v>138.15871999999999</v>
      </c>
      <c r="AX175" s="401">
        <v>35.71837</v>
      </c>
      <c r="AY175" s="401">
        <v>0</v>
      </c>
      <c r="AZ175" s="401">
        <v>0</v>
      </c>
      <c r="BA175" s="401">
        <v>21.023769999999999</v>
      </c>
      <c r="BB175" s="401">
        <v>109.01</v>
      </c>
      <c r="BC175" s="401">
        <v>9.8684799999999999</v>
      </c>
      <c r="BD175" s="385" t="s">
        <v>167</v>
      </c>
      <c r="BE175" s="439" t="s">
        <v>175</v>
      </c>
      <c r="BF175" s="389"/>
      <c r="BG175" s="521">
        <v>204</v>
      </c>
      <c r="BH175" s="402">
        <f t="shared" si="60"/>
        <v>917.79426666666666</v>
      </c>
      <c r="BI175" s="402">
        <f t="shared" si="61"/>
        <v>4.5889713333333333</v>
      </c>
    </row>
    <row r="176" spans="1:61" s="359" customFormat="1" ht="19.2" x14ac:dyDescent="0.3">
      <c r="A176" s="360" t="s">
        <v>598</v>
      </c>
      <c r="B176" s="579" t="s">
        <v>759</v>
      </c>
      <c r="C176" s="433" t="s">
        <v>671</v>
      </c>
      <c r="D176" s="361">
        <v>0.4</v>
      </c>
      <c r="E176" s="403"/>
      <c r="F176" s="404"/>
      <c r="G176" s="400"/>
      <c r="H176" s="401"/>
      <c r="I176" s="401"/>
      <c r="J176" s="401"/>
      <c r="K176" s="401"/>
      <c r="L176" s="401"/>
      <c r="M176" s="401"/>
      <c r="N176" s="401"/>
      <c r="O176" s="401"/>
      <c r="P176" s="401"/>
      <c r="Q176" s="401"/>
      <c r="R176" s="389"/>
      <c r="S176" s="389"/>
      <c r="T176" s="389"/>
      <c r="U176" s="521"/>
      <c r="V176" s="402"/>
      <c r="W176" s="402"/>
      <c r="X176" s="403"/>
      <c r="Y176" s="404"/>
      <c r="Z176" s="400"/>
      <c r="AA176" s="401"/>
      <c r="AB176" s="401"/>
      <c r="AC176" s="401"/>
      <c r="AD176" s="401"/>
      <c r="AE176" s="401"/>
      <c r="AF176" s="401"/>
      <c r="AG176" s="401"/>
      <c r="AH176" s="401"/>
      <c r="AI176" s="401"/>
      <c r="AJ176" s="401"/>
      <c r="AK176" s="385"/>
      <c r="AL176" s="439"/>
      <c r="AM176" s="389"/>
      <c r="AN176" s="521"/>
      <c r="AO176" s="402"/>
      <c r="AP176" s="402"/>
      <c r="AQ176" s="595">
        <v>200</v>
      </c>
      <c r="AR176" s="587">
        <v>15</v>
      </c>
      <c r="AS176" s="400">
        <v>15</v>
      </c>
      <c r="AT176" s="578">
        <v>104.06058</v>
      </c>
      <c r="AU176" s="401">
        <v>74.285139999999998</v>
      </c>
      <c r="AV176" s="401">
        <v>21.802</v>
      </c>
      <c r="AW176" s="401">
        <v>39.453519999999997</v>
      </c>
      <c r="AX176" s="401">
        <v>13.09423</v>
      </c>
      <c r="AY176" s="401">
        <v>0</v>
      </c>
      <c r="AZ176" s="401">
        <v>0</v>
      </c>
      <c r="BA176" s="401">
        <v>8.1583600000000001</v>
      </c>
      <c r="BB176" s="401">
        <v>109.01</v>
      </c>
      <c r="BC176" s="401">
        <v>9.8633799999999994</v>
      </c>
      <c r="BD176" s="385" t="s">
        <v>167</v>
      </c>
      <c r="BE176" s="439" t="s">
        <v>175</v>
      </c>
      <c r="BF176" s="389"/>
      <c r="BG176" s="521">
        <v>207</v>
      </c>
      <c r="BH176" s="402">
        <f t="shared" si="60"/>
        <v>520.30290000000002</v>
      </c>
      <c r="BI176" s="402">
        <f t="shared" si="61"/>
        <v>6.9373719999999999</v>
      </c>
    </row>
    <row r="177" spans="1:61" s="359" customFormat="1" ht="19.2" x14ac:dyDescent="0.3">
      <c r="A177" s="360" t="s">
        <v>599</v>
      </c>
      <c r="B177" s="579" t="s">
        <v>760</v>
      </c>
      <c r="C177" s="433" t="s">
        <v>674</v>
      </c>
      <c r="D177" s="361">
        <v>0.4</v>
      </c>
      <c r="E177" s="403"/>
      <c r="F177" s="404"/>
      <c r="G177" s="400"/>
      <c r="H177" s="401"/>
      <c r="I177" s="401"/>
      <c r="J177" s="401"/>
      <c r="K177" s="401"/>
      <c r="L177" s="401"/>
      <c r="M177" s="401"/>
      <c r="N177" s="401"/>
      <c r="O177" s="401"/>
      <c r="P177" s="401"/>
      <c r="Q177" s="401"/>
      <c r="R177" s="389"/>
      <c r="S177" s="389"/>
      <c r="T177" s="389"/>
      <c r="U177" s="521"/>
      <c r="V177" s="402"/>
      <c r="W177" s="402"/>
      <c r="X177" s="403"/>
      <c r="Y177" s="404"/>
      <c r="Z177" s="400"/>
      <c r="AA177" s="401"/>
      <c r="AB177" s="401"/>
      <c r="AC177" s="401"/>
      <c r="AD177" s="401"/>
      <c r="AE177" s="401"/>
      <c r="AF177" s="401"/>
      <c r="AG177" s="401"/>
      <c r="AH177" s="401"/>
      <c r="AI177" s="401"/>
      <c r="AJ177" s="401"/>
      <c r="AK177" s="385"/>
      <c r="AL177" s="439"/>
      <c r="AM177" s="389"/>
      <c r="AN177" s="521"/>
      <c r="AO177" s="402"/>
      <c r="AP177" s="402"/>
      <c r="AQ177" s="595">
        <v>90</v>
      </c>
      <c r="AR177" s="587">
        <v>15</v>
      </c>
      <c r="AS177" s="400">
        <v>15</v>
      </c>
      <c r="AT177" s="578">
        <v>62.748550000000002</v>
      </c>
      <c r="AU177" s="401">
        <v>44.3705</v>
      </c>
      <c r="AV177" s="401">
        <v>9.8109000000000002</v>
      </c>
      <c r="AW177" s="401">
        <v>29.590140000000002</v>
      </c>
      <c r="AX177" s="401">
        <v>8.1448900000000002</v>
      </c>
      <c r="AY177" s="401">
        <v>0</v>
      </c>
      <c r="AZ177" s="401">
        <v>0</v>
      </c>
      <c r="BA177" s="401">
        <v>4.9888599999999999</v>
      </c>
      <c r="BB177" s="401">
        <v>109.01</v>
      </c>
      <c r="BC177" s="401">
        <v>9.8633799999999994</v>
      </c>
      <c r="BD177" s="385" t="s">
        <v>167</v>
      </c>
      <c r="BE177" s="439" t="s">
        <v>175</v>
      </c>
      <c r="BF177" s="389"/>
      <c r="BG177" s="521">
        <v>211</v>
      </c>
      <c r="BH177" s="402">
        <f t="shared" si="60"/>
        <v>697.20611111111111</v>
      </c>
      <c r="BI177" s="402">
        <f t="shared" si="61"/>
        <v>4.1832366666666667</v>
      </c>
    </row>
    <row r="178" spans="1:61" s="359" customFormat="1" ht="19.2" x14ac:dyDescent="0.3">
      <c r="A178" s="360" t="s">
        <v>600</v>
      </c>
      <c r="B178" s="579" t="s">
        <v>761</v>
      </c>
      <c r="C178" s="433" t="s">
        <v>704</v>
      </c>
      <c r="D178" s="361">
        <v>0.4</v>
      </c>
      <c r="E178" s="403"/>
      <c r="F178" s="404"/>
      <c r="G178" s="400"/>
      <c r="H178" s="401"/>
      <c r="I178" s="401"/>
      <c r="J178" s="401"/>
      <c r="K178" s="401"/>
      <c r="L178" s="401"/>
      <c r="M178" s="401"/>
      <c r="N178" s="401"/>
      <c r="O178" s="401"/>
      <c r="P178" s="401"/>
      <c r="Q178" s="401"/>
      <c r="R178" s="389"/>
      <c r="S178" s="389"/>
      <c r="T178" s="389"/>
      <c r="U178" s="521"/>
      <c r="V178" s="402"/>
      <c r="W178" s="402"/>
      <c r="X178" s="403"/>
      <c r="Y178" s="404"/>
      <c r="Z178" s="400"/>
      <c r="AA178" s="401"/>
      <c r="AB178" s="401"/>
      <c r="AC178" s="401"/>
      <c r="AD178" s="401"/>
      <c r="AE178" s="401"/>
      <c r="AF178" s="401"/>
      <c r="AG178" s="401"/>
      <c r="AH178" s="401"/>
      <c r="AI178" s="401"/>
      <c r="AJ178" s="401"/>
      <c r="AK178" s="385"/>
      <c r="AL178" s="439"/>
      <c r="AM178" s="389"/>
      <c r="AN178" s="521"/>
      <c r="AO178" s="402"/>
      <c r="AP178" s="402"/>
      <c r="AQ178" s="595">
        <v>105</v>
      </c>
      <c r="AR178" s="587">
        <v>15</v>
      </c>
      <c r="AS178" s="400">
        <v>15</v>
      </c>
      <c r="AT178" s="578">
        <v>112.25623</v>
      </c>
      <c r="AU178" s="401">
        <v>78.954350000000005</v>
      </c>
      <c r="AV178" s="401">
        <v>11.44605</v>
      </c>
      <c r="AW178" s="401">
        <f>19.72438+39.44876</f>
        <v>59.173140000000004</v>
      </c>
      <c r="AX178" s="401">
        <v>15.683109999999999</v>
      </c>
      <c r="AY178" s="401">
        <v>0</v>
      </c>
      <c r="AZ178" s="401">
        <v>0</v>
      </c>
      <c r="BA178" s="401">
        <v>8.7218999999999998</v>
      </c>
      <c r="BB178" s="401">
        <v>109.01</v>
      </c>
      <c r="BC178" s="401">
        <v>9.86219</v>
      </c>
      <c r="BD178" s="385" t="s">
        <v>167</v>
      </c>
      <c r="BE178" s="439" t="s">
        <v>175</v>
      </c>
      <c r="BF178" s="389"/>
      <c r="BG178" s="521">
        <v>216</v>
      </c>
      <c r="BH178" s="402">
        <f t="shared" si="60"/>
        <v>1069.1069523809524</v>
      </c>
      <c r="BI178" s="402">
        <f t="shared" si="61"/>
        <v>7.483748666666667</v>
      </c>
    </row>
    <row r="179" spans="1:61" s="359" customFormat="1" ht="19.2" x14ac:dyDescent="0.3">
      <c r="A179" s="360" t="s">
        <v>601</v>
      </c>
      <c r="B179" s="579" t="s">
        <v>756</v>
      </c>
      <c r="C179" s="433" t="s">
        <v>705</v>
      </c>
      <c r="D179" s="361">
        <v>0.4</v>
      </c>
      <c r="E179" s="403"/>
      <c r="F179" s="404"/>
      <c r="G179" s="400"/>
      <c r="H179" s="401"/>
      <c r="I179" s="401"/>
      <c r="J179" s="401"/>
      <c r="K179" s="401"/>
      <c r="L179" s="401"/>
      <c r="M179" s="401"/>
      <c r="N179" s="401"/>
      <c r="O179" s="401"/>
      <c r="P179" s="401"/>
      <c r="Q179" s="401"/>
      <c r="R179" s="389"/>
      <c r="S179" s="389"/>
      <c r="T179" s="389"/>
      <c r="U179" s="521"/>
      <c r="V179" s="402"/>
      <c r="W179" s="402"/>
      <c r="X179" s="403"/>
      <c r="Y179" s="404"/>
      <c r="Z179" s="400"/>
      <c r="AA179" s="401"/>
      <c r="AB179" s="401"/>
      <c r="AC179" s="401"/>
      <c r="AD179" s="401"/>
      <c r="AE179" s="401"/>
      <c r="AF179" s="401"/>
      <c r="AG179" s="401"/>
      <c r="AH179" s="401"/>
      <c r="AI179" s="401"/>
      <c r="AJ179" s="401"/>
      <c r="AK179" s="385"/>
      <c r="AL179" s="439"/>
      <c r="AM179" s="389"/>
      <c r="AN179" s="521"/>
      <c r="AO179" s="402"/>
      <c r="AP179" s="402"/>
      <c r="AQ179" s="595">
        <v>80</v>
      </c>
      <c r="AR179" s="587">
        <v>15</v>
      </c>
      <c r="AS179" s="400">
        <v>15</v>
      </c>
      <c r="AT179" s="578">
        <v>50.414830000000002</v>
      </c>
      <c r="AU179" s="401">
        <v>36.217399999999998</v>
      </c>
      <c r="AV179" s="401">
        <v>8.7208000000000006</v>
      </c>
      <c r="AW179" s="401">
        <v>19.72438</v>
      </c>
      <c r="AX179" s="401">
        <v>6.6687700000000003</v>
      </c>
      <c r="AY179" s="401">
        <v>0</v>
      </c>
      <c r="AZ179" s="401">
        <v>0</v>
      </c>
      <c r="BA179" s="401">
        <v>3.7547799999999998</v>
      </c>
      <c r="BB179" s="401">
        <v>109.01</v>
      </c>
      <c r="BC179" s="401">
        <v>9.86219</v>
      </c>
      <c r="BD179" s="385" t="s">
        <v>167</v>
      </c>
      <c r="BE179" s="439" t="s">
        <v>175</v>
      </c>
      <c r="BF179" s="389"/>
      <c r="BG179" s="521">
        <v>187</v>
      </c>
      <c r="BH179" s="402">
        <f t="shared" si="60"/>
        <v>630.18537500000002</v>
      </c>
      <c r="BI179" s="402">
        <f t="shared" si="61"/>
        <v>3.3609886666666666</v>
      </c>
    </row>
    <row r="180" spans="1:61" s="359" customFormat="1" x14ac:dyDescent="0.3">
      <c r="A180" s="360"/>
      <c r="B180" s="382"/>
      <c r="C180" s="433"/>
      <c r="D180" s="361">
        <v>0.4</v>
      </c>
      <c r="E180" s="403"/>
      <c r="F180" s="404"/>
      <c r="G180" s="400"/>
      <c r="H180" s="401"/>
      <c r="I180" s="401"/>
      <c r="J180" s="401"/>
      <c r="K180" s="401"/>
      <c r="L180" s="401"/>
      <c r="M180" s="401"/>
      <c r="N180" s="401"/>
      <c r="O180" s="401"/>
      <c r="P180" s="401"/>
      <c r="Q180" s="401"/>
      <c r="R180" s="389"/>
      <c r="S180" s="389"/>
      <c r="T180" s="389"/>
      <c r="U180" s="521"/>
      <c r="V180" s="402"/>
      <c r="W180" s="402"/>
      <c r="X180" s="403"/>
      <c r="Y180" s="404"/>
      <c r="Z180" s="400"/>
      <c r="AA180" s="401"/>
      <c r="AB180" s="401"/>
      <c r="AC180" s="401"/>
      <c r="AD180" s="401"/>
      <c r="AE180" s="401"/>
      <c r="AF180" s="401"/>
      <c r="AG180" s="401"/>
      <c r="AH180" s="401"/>
      <c r="AI180" s="401"/>
      <c r="AJ180" s="401"/>
      <c r="AK180" s="385"/>
      <c r="AL180" s="439"/>
      <c r="AM180" s="389"/>
      <c r="AN180" s="521"/>
      <c r="AO180" s="402"/>
      <c r="AP180" s="402"/>
      <c r="AQ180" s="595"/>
      <c r="AR180" s="587"/>
      <c r="AS180" s="400"/>
      <c r="AT180" s="401"/>
      <c r="AU180" s="401"/>
      <c r="AV180" s="401"/>
      <c r="AW180" s="401"/>
      <c r="AX180" s="401"/>
      <c r="AY180" s="401"/>
      <c r="AZ180" s="401"/>
      <c r="BA180" s="401"/>
      <c r="BB180" s="401"/>
      <c r="BC180" s="401"/>
      <c r="BD180" s="385"/>
      <c r="BE180" s="439"/>
      <c r="BF180" s="389"/>
      <c r="BG180" s="521"/>
      <c r="BH180" s="402" t="e">
        <f t="shared" si="60"/>
        <v>#DIV/0!</v>
      </c>
      <c r="BI180" s="402" t="e">
        <f t="shared" si="61"/>
        <v>#DIV/0!</v>
      </c>
    </row>
    <row r="181" spans="1:61" s="359" customFormat="1" x14ac:dyDescent="0.3">
      <c r="A181" s="360"/>
      <c r="B181" s="382"/>
      <c r="C181" s="433"/>
      <c r="D181" s="361"/>
      <c r="E181" s="403"/>
      <c r="F181" s="404"/>
      <c r="G181" s="400"/>
      <c r="H181" s="401"/>
      <c r="I181" s="401"/>
      <c r="J181" s="401"/>
      <c r="K181" s="401"/>
      <c r="L181" s="401"/>
      <c r="M181" s="401"/>
      <c r="N181" s="401"/>
      <c r="O181" s="401"/>
      <c r="P181" s="401"/>
      <c r="Q181" s="401"/>
      <c r="R181" s="389"/>
      <c r="S181" s="389"/>
      <c r="T181" s="389"/>
      <c r="U181" s="521"/>
      <c r="V181" s="402" t="e">
        <f t="shared" ref="V181:V193" si="62">H181/E181*1000</f>
        <v>#DIV/0!</v>
      </c>
      <c r="W181" s="402" t="e">
        <f t="shared" ref="W181:W193" si="63">H181/F181</f>
        <v>#DIV/0!</v>
      </c>
      <c r="X181" s="403"/>
      <c r="Y181" s="404"/>
      <c r="Z181" s="400"/>
      <c r="AA181" s="401"/>
      <c r="AB181" s="401"/>
      <c r="AC181" s="401"/>
      <c r="AD181" s="401"/>
      <c r="AE181" s="401"/>
      <c r="AF181" s="401"/>
      <c r="AG181" s="401"/>
      <c r="AH181" s="401"/>
      <c r="AI181" s="401"/>
      <c r="AJ181" s="401"/>
      <c r="AK181" s="389"/>
      <c r="AL181" s="389"/>
      <c r="AM181" s="389"/>
      <c r="AN181" s="521"/>
      <c r="AO181" s="402" t="e">
        <f t="shared" ref="AO181:AO204" si="64">AA181/X181*1000</f>
        <v>#DIV/0!</v>
      </c>
      <c r="AP181" s="402" t="e">
        <f t="shared" ref="AP181:AP204" si="65">AA181/Y181</f>
        <v>#DIV/0!</v>
      </c>
      <c r="AQ181" s="595"/>
      <c r="AR181" s="587"/>
      <c r="AS181" s="400"/>
      <c r="AT181" s="401"/>
      <c r="AU181" s="401"/>
      <c r="AV181" s="401"/>
      <c r="AW181" s="401"/>
      <c r="AX181" s="401"/>
      <c r="AY181" s="401"/>
      <c r="AZ181" s="401"/>
      <c r="BA181" s="401"/>
      <c r="BB181" s="401"/>
      <c r="BC181" s="401"/>
      <c r="BD181" s="389"/>
      <c r="BE181" s="389"/>
      <c r="BF181" s="389"/>
      <c r="BG181" s="521"/>
      <c r="BH181" s="402" t="e">
        <f t="shared" si="60"/>
        <v>#DIV/0!</v>
      </c>
      <c r="BI181" s="402" t="e">
        <f t="shared" si="61"/>
        <v>#DIV/0!</v>
      </c>
    </row>
    <row r="182" spans="1:61" s="359" customFormat="1" ht="87" customHeight="1" x14ac:dyDescent="0.3">
      <c r="A182" s="441" t="s">
        <v>195</v>
      </c>
      <c r="B182" s="442" t="s">
        <v>194</v>
      </c>
      <c r="C182" s="443"/>
      <c r="D182" s="444"/>
      <c r="E182" s="445">
        <f t="shared" ref="E182:Q182" si="66">E183+E225+E258+E262</f>
        <v>4413.333333333333</v>
      </c>
      <c r="F182" s="445">
        <f t="shared" si="66"/>
        <v>1295</v>
      </c>
      <c r="G182" s="445">
        <f t="shared" si="66"/>
        <v>1295</v>
      </c>
      <c r="H182" s="446">
        <f t="shared" si="66"/>
        <v>3344.1810599999999</v>
      </c>
      <c r="I182" s="446">
        <f t="shared" si="66"/>
        <v>2421.2706400000002</v>
      </c>
      <c r="J182" s="446">
        <f t="shared" si="66"/>
        <v>650.03838000000007</v>
      </c>
      <c r="K182" s="446">
        <f t="shared" si="66"/>
        <v>1405.3174100000001</v>
      </c>
      <c r="L182" s="446">
        <f t="shared" si="66"/>
        <v>412.61446999999998</v>
      </c>
      <c r="M182" s="446">
        <f t="shared" si="66"/>
        <v>0</v>
      </c>
      <c r="N182" s="446">
        <f t="shared" si="66"/>
        <v>0</v>
      </c>
      <c r="O182" s="446">
        <f t="shared" si="66"/>
        <v>230.53548999999998</v>
      </c>
      <c r="P182" s="446">
        <f t="shared" si="66"/>
        <v>2568.65</v>
      </c>
      <c r="Q182" s="446">
        <f t="shared" si="66"/>
        <v>167.01618000000002</v>
      </c>
      <c r="R182" s="447"/>
      <c r="S182" s="447"/>
      <c r="T182" s="447"/>
      <c r="U182" s="519"/>
      <c r="V182" s="448">
        <f t="shared" si="62"/>
        <v>757.74495317220544</v>
      </c>
      <c r="W182" s="448">
        <f t="shared" si="63"/>
        <v>2.5823791969111967</v>
      </c>
      <c r="X182" s="445">
        <f t="shared" ref="X182:AJ182" si="67">X183+X225+X258+X262</f>
        <v>7601</v>
      </c>
      <c r="Y182" s="445">
        <f t="shared" si="67"/>
        <v>1830</v>
      </c>
      <c r="Z182" s="445">
        <f t="shared" si="67"/>
        <v>1830</v>
      </c>
      <c r="AA182" s="446">
        <f t="shared" si="67"/>
        <v>7566.5643100000016</v>
      </c>
      <c r="AB182" s="446">
        <f t="shared" si="67"/>
        <v>5809.1235500000003</v>
      </c>
      <c r="AC182" s="446">
        <f t="shared" si="67"/>
        <v>1898.7095899999999</v>
      </c>
      <c r="AD182" s="446">
        <f t="shared" si="67"/>
        <v>1757.5758600000001</v>
      </c>
      <c r="AE182" s="446">
        <f t="shared" si="67"/>
        <v>731.84982999999988</v>
      </c>
      <c r="AF182" s="446">
        <f t="shared" si="67"/>
        <v>0</v>
      </c>
      <c r="AG182" s="446">
        <f t="shared" si="67"/>
        <v>0</v>
      </c>
      <c r="AH182" s="446">
        <f t="shared" si="67"/>
        <v>479.63153</v>
      </c>
      <c r="AI182" s="446">
        <f t="shared" si="67"/>
        <v>4747.3200000000006</v>
      </c>
      <c r="AJ182" s="446">
        <f t="shared" si="67"/>
        <v>223.53599</v>
      </c>
      <c r="AK182" s="447"/>
      <c r="AL182" s="447"/>
      <c r="AM182" s="447"/>
      <c r="AN182" s="519"/>
      <c r="AO182" s="448">
        <f t="shared" si="64"/>
        <v>995.46958426522849</v>
      </c>
      <c r="AP182" s="448">
        <f t="shared" si="65"/>
        <v>4.1347345956284158</v>
      </c>
      <c r="AQ182" s="445">
        <f t="shared" ref="AQ182:BC182" si="68">AQ183+AQ225+AQ258+AQ262</f>
        <v>12039</v>
      </c>
      <c r="AR182" s="445">
        <f t="shared" si="68"/>
        <v>4005</v>
      </c>
      <c r="AS182" s="445">
        <f t="shared" si="68"/>
        <v>4005</v>
      </c>
      <c r="AT182" s="446">
        <f t="shared" si="68"/>
        <v>11560.7196</v>
      </c>
      <c r="AU182" s="446">
        <f t="shared" si="68"/>
        <v>8887.9959400000007</v>
      </c>
      <c r="AV182" s="446">
        <f t="shared" si="68"/>
        <v>3007.1495099999997</v>
      </c>
      <c r="AW182" s="446">
        <f t="shared" si="68"/>
        <v>4152.8580099999999</v>
      </c>
      <c r="AX182" s="446">
        <f t="shared" si="68"/>
        <v>1157.4609400000002</v>
      </c>
      <c r="AY182" s="446">
        <f t="shared" si="68"/>
        <v>10.8</v>
      </c>
      <c r="AZ182" s="446">
        <f t="shared" si="68"/>
        <v>0</v>
      </c>
      <c r="BA182" s="446">
        <f t="shared" si="68"/>
        <v>723.69467000000009</v>
      </c>
      <c r="BB182" s="446">
        <f t="shared" si="68"/>
        <v>8873.66</v>
      </c>
      <c r="BC182" s="446">
        <f t="shared" si="68"/>
        <v>415.55428000000001</v>
      </c>
      <c r="BD182" s="447"/>
      <c r="BE182" s="447"/>
      <c r="BF182" s="447"/>
      <c r="BG182" s="519"/>
      <c r="BH182" s="448">
        <f t="shared" si="60"/>
        <v>960.27241465237978</v>
      </c>
      <c r="BI182" s="448">
        <f t="shared" si="61"/>
        <v>2.8865716853932586</v>
      </c>
    </row>
    <row r="183" spans="1:61" s="359" customFormat="1" ht="24.75" customHeight="1" x14ac:dyDescent="0.3">
      <c r="A183" s="355" t="s">
        <v>179</v>
      </c>
      <c r="B183" s="356" t="s">
        <v>217</v>
      </c>
      <c r="C183" s="432"/>
      <c r="D183" s="357">
        <v>0.4</v>
      </c>
      <c r="E183" s="396">
        <f t="shared" ref="E183:Q183" si="69">SUM(E184:E224)</f>
        <v>2482</v>
      </c>
      <c r="F183" s="396">
        <f t="shared" si="69"/>
        <v>295</v>
      </c>
      <c r="G183" s="396">
        <f t="shared" si="69"/>
        <v>295</v>
      </c>
      <c r="H183" s="397">
        <f t="shared" si="69"/>
        <v>1778.5397399999997</v>
      </c>
      <c r="I183" s="397">
        <f t="shared" si="69"/>
        <v>1277.3795700000001</v>
      </c>
      <c r="J183" s="397">
        <f t="shared" si="69"/>
        <v>309.71304000000003</v>
      </c>
      <c r="K183" s="397">
        <f t="shared" si="69"/>
        <v>805.25669000000005</v>
      </c>
      <c r="L183" s="397">
        <f t="shared" si="69"/>
        <v>220.84305000000001</v>
      </c>
      <c r="M183" s="397">
        <f t="shared" si="69"/>
        <v>0</v>
      </c>
      <c r="N183" s="397">
        <f t="shared" si="69"/>
        <v>0</v>
      </c>
      <c r="O183" s="397">
        <f t="shared" si="69"/>
        <v>131.26467</v>
      </c>
      <c r="P183" s="397">
        <f t="shared" si="69"/>
        <v>1121.3800000000001</v>
      </c>
      <c r="Q183" s="397">
        <f t="shared" si="69"/>
        <v>83.472349999999992</v>
      </c>
      <c r="R183" s="398"/>
      <c r="S183" s="398"/>
      <c r="T183" s="398"/>
      <c r="U183" s="520"/>
      <c r="V183" s="399">
        <f t="shared" si="62"/>
        <v>716.57523771152285</v>
      </c>
      <c r="W183" s="399">
        <f t="shared" si="63"/>
        <v>6.0289482711864393</v>
      </c>
      <c r="X183" s="396">
        <f t="shared" ref="X183:AJ183" si="70">SUM(X184:X224)</f>
        <v>2530</v>
      </c>
      <c r="Y183" s="396">
        <f t="shared" si="70"/>
        <v>540</v>
      </c>
      <c r="Z183" s="396">
        <f t="shared" si="70"/>
        <v>540</v>
      </c>
      <c r="AA183" s="397">
        <f t="shared" si="70"/>
        <v>2089.0008400000006</v>
      </c>
      <c r="AB183" s="397">
        <f t="shared" si="70"/>
        <v>1532.1063700000002</v>
      </c>
      <c r="AC183" s="397">
        <f t="shared" si="70"/>
        <v>481.9221</v>
      </c>
      <c r="AD183" s="397">
        <f t="shared" si="70"/>
        <v>821.27723000000003</v>
      </c>
      <c r="AE183" s="397">
        <f t="shared" si="70"/>
        <v>241.59120999999999</v>
      </c>
      <c r="AF183" s="397">
        <f t="shared" si="70"/>
        <v>0</v>
      </c>
      <c r="AG183" s="397">
        <f t="shared" si="70"/>
        <v>0</v>
      </c>
      <c r="AH183" s="397">
        <f t="shared" si="70"/>
        <v>152.67696999999998</v>
      </c>
      <c r="AI183" s="397">
        <f t="shared" si="70"/>
        <v>2257.29</v>
      </c>
      <c r="AJ183" s="397">
        <f t="shared" si="70"/>
        <v>117.06986000000001</v>
      </c>
      <c r="AK183" s="398"/>
      <c r="AL183" s="398"/>
      <c r="AM183" s="398"/>
      <c r="AN183" s="520"/>
      <c r="AO183" s="399">
        <f t="shared" si="64"/>
        <v>825.69203162055362</v>
      </c>
      <c r="AP183" s="399">
        <f t="shared" si="65"/>
        <v>3.8685200740740751</v>
      </c>
      <c r="AQ183" s="396">
        <f t="shared" ref="AQ183:BC183" si="71">SUM(AQ184:AQ224)</f>
        <v>4701</v>
      </c>
      <c r="AR183" s="396">
        <f t="shared" si="71"/>
        <v>585</v>
      </c>
      <c r="AS183" s="396">
        <f t="shared" si="71"/>
        <v>585</v>
      </c>
      <c r="AT183" s="397">
        <f t="shared" si="71"/>
        <v>4407.5304599999999</v>
      </c>
      <c r="AU183" s="397">
        <f t="shared" si="71"/>
        <v>3265.2024299999998</v>
      </c>
      <c r="AV183" s="397">
        <f t="shared" si="71"/>
        <v>951.44569000000001</v>
      </c>
      <c r="AW183" s="397">
        <f t="shared" si="71"/>
        <v>1937.4566900000004</v>
      </c>
      <c r="AX183" s="397">
        <f t="shared" si="71"/>
        <v>514.88719000000003</v>
      </c>
      <c r="AY183" s="397">
        <f t="shared" si="71"/>
        <v>10.8</v>
      </c>
      <c r="AZ183" s="397">
        <f t="shared" si="71"/>
        <v>0</v>
      </c>
      <c r="BA183" s="397">
        <f t="shared" si="71"/>
        <v>302.13905000000005</v>
      </c>
      <c r="BB183" s="397">
        <f t="shared" si="71"/>
        <v>3625.7200000000007</v>
      </c>
      <c r="BC183" s="397">
        <f t="shared" si="71"/>
        <v>178.28556</v>
      </c>
      <c r="BD183" s="398"/>
      <c r="BE183" s="398"/>
      <c r="BF183" s="398"/>
      <c r="BG183" s="520"/>
      <c r="BH183" s="399">
        <f t="shared" si="60"/>
        <v>937.57295469049143</v>
      </c>
      <c r="BI183" s="399">
        <f t="shared" si="61"/>
        <v>7.5342401025641026</v>
      </c>
    </row>
    <row r="184" spans="1:61" s="359" customFormat="1" ht="19.2" x14ac:dyDescent="0.3">
      <c r="A184" s="360" t="s">
        <v>179</v>
      </c>
      <c r="B184" s="513" t="s">
        <v>267</v>
      </c>
      <c r="C184" s="434" t="s">
        <v>268</v>
      </c>
      <c r="D184" s="361">
        <v>0.4</v>
      </c>
      <c r="E184" s="403">
        <v>100</v>
      </c>
      <c r="F184" s="404">
        <v>15</v>
      </c>
      <c r="G184" s="400">
        <v>15</v>
      </c>
      <c r="H184" s="419">
        <v>101.575</v>
      </c>
      <c r="I184" s="401">
        <v>72.33</v>
      </c>
      <c r="J184" s="401">
        <v>11.75</v>
      </c>
      <c r="K184" s="401">
        <v>57.111840000000001</v>
      </c>
      <c r="L184" s="401">
        <v>13.238</v>
      </c>
      <c r="M184" s="401">
        <v>0</v>
      </c>
      <c r="N184" s="401">
        <v>0</v>
      </c>
      <c r="O184" s="401">
        <v>6.7510000000000003</v>
      </c>
      <c r="P184" s="401">
        <v>117.5</v>
      </c>
      <c r="Q184" s="401">
        <v>9.5186399999999995</v>
      </c>
      <c r="R184" s="385" t="s">
        <v>167</v>
      </c>
      <c r="S184" s="439" t="s">
        <v>175</v>
      </c>
      <c r="T184" s="389"/>
      <c r="U184" s="521">
        <v>29</v>
      </c>
      <c r="V184" s="402">
        <f t="shared" si="62"/>
        <v>1015.7499999999999</v>
      </c>
      <c r="W184" s="402">
        <f t="shared" si="63"/>
        <v>6.7716666666666665</v>
      </c>
      <c r="X184" s="403"/>
      <c r="Y184" s="404"/>
      <c r="Z184" s="400"/>
      <c r="AA184" s="419"/>
      <c r="AB184" s="401"/>
      <c r="AC184" s="401"/>
      <c r="AD184" s="401"/>
      <c r="AE184" s="401"/>
      <c r="AF184" s="401"/>
      <c r="AG184" s="401"/>
      <c r="AH184" s="401"/>
      <c r="AI184" s="401"/>
      <c r="AJ184" s="401"/>
      <c r="AK184" s="385"/>
      <c r="AL184" s="439"/>
      <c r="AM184" s="389"/>
      <c r="AN184" s="521"/>
      <c r="AO184" s="402" t="e">
        <f t="shared" si="64"/>
        <v>#DIV/0!</v>
      </c>
      <c r="AP184" s="402" t="e">
        <f t="shared" si="65"/>
        <v>#DIV/0!</v>
      </c>
      <c r="AQ184" s="595"/>
      <c r="AR184" s="587"/>
      <c r="AS184" s="400"/>
      <c r="AT184" s="419"/>
      <c r="AU184" s="401"/>
      <c r="AV184" s="401"/>
      <c r="AW184" s="401"/>
      <c r="AX184" s="401"/>
      <c r="AY184" s="401"/>
      <c r="AZ184" s="401"/>
      <c r="BA184" s="401"/>
      <c r="BB184" s="401"/>
      <c r="BC184" s="401"/>
      <c r="BD184" s="385"/>
      <c r="BE184" s="439"/>
      <c r="BF184" s="389"/>
      <c r="BG184" s="521"/>
      <c r="BH184" s="402" t="e">
        <f t="shared" si="60"/>
        <v>#DIV/0!</v>
      </c>
      <c r="BI184" s="402" t="e">
        <f t="shared" si="61"/>
        <v>#DIV/0!</v>
      </c>
    </row>
    <row r="185" spans="1:61" s="359" customFormat="1" ht="19.2" x14ac:dyDescent="0.3">
      <c r="A185" s="360" t="s">
        <v>183</v>
      </c>
      <c r="B185" s="513" t="s">
        <v>286</v>
      </c>
      <c r="C185" s="433" t="s">
        <v>287</v>
      </c>
      <c r="D185" s="361">
        <v>0.4</v>
      </c>
      <c r="E185" s="403">
        <v>182</v>
      </c>
      <c r="F185" s="404">
        <v>15</v>
      </c>
      <c r="G185" s="400">
        <v>15</v>
      </c>
      <c r="H185" s="419">
        <v>222.74299999999999</v>
      </c>
      <c r="I185" s="401">
        <v>154.81700000000001</v>
      </c>
      <c r="J185" s="401">
        <v>24.291540000000001</v>
      </c>
      <c r="K185" s="401">
        <f>44.8679+8.97358+35.89432+26.92074</f>
        <v>116.65653999999999</v>
      </c>
      <c r="L185" s="401">
        <v>31.757999999999999</v>
      </c>
      <c r="M185" s="401">
        <v>0</v>
      </c>
      <c r="N185" s="401">
        <v>0</v>
      </c>
      <c r="O185" s="401">
        <v>16.007000000000001</v>
      </c>
      <c r="P185" s="401">
        <v>133.47</v>
      </c>
      <c r="Q185" s="401">
        <v>8.9735800000000001</v>
      </c>
      <c r="R185" s="385" t="s">
        <v>167</v>
      </c>
      <c r="S185" s="439" t="s">
        <v>175</v>
      </c>
      <c r="T185" s="389"/>
      <c r="U185" s="521">
        <v>83</v>
      </c>
      <c r="V185" s="402">
        <f t="shared" si="62"/>
        <v>1223.8626373626373</v>
      </c>
      <c r="W185" s="402">
        <f t="shared" si="63"/>
        <v>14.849533333333333</v>
      </c>
      <c r="X185" s="403"/>
      <c r="Y185" s="404"/>
      <c r="Z185" s="400"/>
      <c r="AA185" s="419"/>
      <c r="AB185" s="401"/>
      <c r="AC185" s="401"/>
      <c r="AD185" s="401"/>
      <c r="AE185" s="401"/>
      <c r="AF185" s="401"/>
      <c r="AG185" s="401"/>
      <c r="AH185" s="401"/>
      <c r="AI185" s="401"/>
      <c r="AJ185" s="401"/>
      <c r="AK185" s="385"/>
      <c r="AL185" s="439"/>
      <c r="AM185" s="389"/>
      <c r="AN185" s="521"/>
      <c r="AO185" s="402" t="e">
        <f t="shared" si="64"/>
        <v>#DIV/0!</v>
      </c>
      <c r="AP185" s="402" t="e">
        <f t="shared" si="65"/>
        <v>#DIV/0!</v>
      </c>
      <c r="AQ185" s="595"/>
      <c r="AR185" s="587"/>
      <c r="AS185" s="400"/>
      <c r="AT185" s="419"/>
      <c r="AU185" s="401"/>
      <c r="AV185" s="401"/>
      <c r="AW185" s="401"/>
      <c r="AX185" s="401"/>
      <c r="AY185" s="401"/>
      <c r="AZ185" s="401"/>
      <c r="BA185" s="401"/>
      <c r="BB185" s="401"/>
      <c r="BC185" s="401"/>
      <c r="BD185" s="385"/>
      <c r="BE185" s="439"/>
      <c r="BF185" s="389"/>
      <c r="BG185" s="521"/>
      <c r="BH185" s="402" t="e">
        <f t="shared" si="60"/>
        <v>#DIV/0!</v>
      </c>
      <c r="BI185" s="402" t="e">
        <f t="shared" si="61"/>
        <v>#DIV/0!</v>
      </c>
    </row>
    <row r="186" spans="1:61" s="359" customFormat="1" ht="19.2" x14ac:dyDescent="0.3">
      <c r="A186" s="360" t="s">
        <v>185</v>
      </c>
      <c r="B186" s="513" t="s">
        <v>307</v>
      </c>
      <c r="C186" s="433" t="s">
        <v>308</v>
      </c>
      <c r="D186" s="361">
        <v>0.4</v>
      </c>
      <c r="E186" s="403">
        <v>460</v>
      </c>
      <c r="F186" s="404">
        <v>150</v>
      </c>
      <c r="G186" s="400">
        <v>150</v>
      </c>
      <c r="H186" s="419">
        <v>347.88900000000001</v>
      </c>
      <c r="I186" s="401">
        <v>242.10400000000001</v>
      </c>
      <c r="J186" s="401">
        <v>61.3962</v>
      </c>
      <c r="K186" s="401">
        <f>107.73276+53.86638</f>
        <v>161.59914000000001</v>
      </c>
      <c r="L186" s="401">
        <v>48.122999999999998</v>
      </c>
      <c r="M186" s="401">
        <v>0</v>
      </c>
      <c r="N186" s="401">
        <v>0</v>
      </c>
      <c r="O186" s="401">
        <v>25.443000000000001</v>
      </c>
      <c r="P186" s="401">
        <v>133.47</v>
      </c>
      <c r="Q186" s="401">
        <v>8.9777299999999993</v>
      </c>
      <c r="R186" s="385" t="s">
        <v>167</v>
      </c>
      <c r="S186" s="439" t="s">
        <v>175</v>
      </c>
      <c r="T186" s="389"/>
      <c r="U186" s="521">
        <v>141</v>
      </c>
      <c r="V186" s="402">
        <f t="shared" si="62"/>
        <v>756.28043478260872</v>
      </c>
      <c r="W186" s="402">
        <f t="shared" si="63"/>
        <v>2.3192599999999999</v>
      </c>
      <c r="X186" s="403"/>
      <c r="Y186" s="404"/>
      <c r="Z186" s="400"/>
      <c r="AA186" s="419"/>
      <c r="AB186" s="401"/>
      <c r="AC186" s="401"/>
      <c r="AD186" s="401"/>
      <c r="AE186" s="401"/>
      <c r="AF186" s="401"/>
      <c r="AG186" s="401"/>
      <c r="AH186" s="401"/>
      <c r="AI186" s="401"/>
      <c r="AJ186" s="401"/>
      <c r="AK186" s="385"/>
      <c r="AL186" s="439"/>
      <c r="AM186" s="389"/>
      <c r="AN186" s="521"/>
      <c r="AO186" s="402" t="e">
        <f t="shared" si="64"/>
        <v>#DIV/0!</v>
      </c>
      <c r="AP186" s="402" t="e">
        <f t="shared" si="65"/>
        <v>#DIV/0!</v>
      </c>
      <c r="AQ186" s="595"/>
      <c r="AR186" s="587"/>
      <c r="AS186" s="400"/>
      <c r="AT186" s="419"/>
      <c r="AU186" s="401"/>
      <c r="AV186" s="401"/>
      <c r="AW186" s="401"/>
      <c r="AX186" s="401"/>
      <c r="AY186" s="401"/>
      <c r="AZ186" s="401"/>
      <c r="BA186" s="401"/>
      <c r="BB186" s="401"/>
      <c r="BC186" s="401"/>
      <c r="BD186" s="385"/>
      <c r="BE186" s="439"/>
      <c r="BF186" s="389"/>
      <c r="BG186" s="521"/>
      <c r="BH186" s="402" t="e">
        <f t="shared" si="60"/>
        <v>#DIV/0!</v>
      </c>
      <c r="BI186" s="402" t="e">
        <f t="shared" si="61"/>
        <v>#DIV/0!</v>
      </c>
    </row>
    <row r="187" spans="1:61" s="359" customFormat="1" ht="19.2" x14ac:dyDescent="0.3">
      <c r="A187" s="360" t="s">
        <v>187</v>
      </c>
      <c r="B187" s="513" t="s">
        <v>321</v>
      </c>
      <c r="C187" s="434" t="s">
        <v>322</v>
      </c>
      <c r="D187" s="361">
        <v>0.4</v>
      </c>
      <c r="E187" s="403">
        <v>260</v>
      </c>
      <c r="F187" s="404">
        <v>15</v>
      </c>
      <c r="G187" s="400">
        <v>15</v>
      </c>
      <c r="H187" s="419">
        <v>202.65100000000001</v>
      </c>
      <c r="I187" s="401">
        <v>147.97900000000001</v>
      </c>
      <c r="J187" s="401">
        <v>30.55</v>
      </c>
      <c r="K187" s="401">
        <v>104.705</v>
      </c>
      <c r="L187" s="401">
        <v>12.175000000000001</v>
      </c>
      <c r="M187" s="401">
        <v>0</v>
      </c>
      <c r="N187" s="401">
        <v>0</v>
      </c>
      <c r="O187" s="401">
        <v>26.776</v>
      </c>
      <c r="P187" s="401">
        <v>117.5</v>
      </c>
      <c r="Q187" s="401">
        <v>9.5186399999999995</v>
      </c>
      <c r="R187" s="385" t="s">
        <v>167</v>
      </c>
      <c r="S187" s="439" t="s">
        <v>175</v>
      </c>
      <c r="T187" s="389"/>
      <c r="U187" s="521">
        <v>169</v>
      </c>
      <c r="V187" s="402">
        <f t="shared" si="62"/>
        <v>779.42692307692312</v>
      </c>
      <c r="W187" s="402">
        <f t="shared" si="63"/>
        <v>13.510066666666667</v>
      </c>
      <c r="X187" s="403"/>
      <c r="Y187" s="404"/>
      <c r="Z187" s="400"/>
      <c r="AA187" s="419"/>
      <c r="AB187" s="401"/>
      <c r="AC187" s="401"/>
      <c r="AD187" s="401"/>
      <c r="AE187" s="401"/>
      <c r="AF187" s="401"/>
      <c r="AG187" s="401"/>
      <c r="AH187" s="401"/>
      <c r="AI187" s="401"/>
      <c r="AJ187" s="401"/>
      <c r="AK187" s="385"/>
      <c r="AL187" s="439"/>
      <c r="AM187" s="389"/>
      <c r="AN187" s="521"/>
      <c r="AO187" s="402" t="e">
        <f t="shared" si="64"/>
        <v>#DIV/0!</v>
      </c>
      <c r="AP187" s="402" t="e">
        <f t="shared" si="65"/>
        <v>#DIV/0!</v>
      </c>
      <c r="AQ187" s="595"/>
      <c r="AR187" s="587"/>
      <c r="AS187" s="400"/>
      <c r="AT187" s="419"/>
      <c r="AU187" s="401"/>
      <c r="AV187" s="401"/>
      <c r="AW187" s="401"/>
      <c r="AX187" s="401"/>
      <c r="AY187" s="401"/>
      <c r="AZ187" s="401"/>
      <c r="BA187" s="401"/>
      <c r="BB187" s="401"/>
      <c r="BC187" s="401"/>
      <c r="BD187" s="385"/>
      <c r="BE187" s="439"/>
      <c r="BF187" s="389"/>
      <c r="BG187" s="521"/>
      <c r="BH187" s="402" t="e">
        <f t="shared" si="60"/>
        <v>#DIV/0!</v>
      </c>
      <c r="BI187" s="402" t="e">
        <f t="shared" si="61"/>
        <v>#DIV/0!</v>
      </c>
    </row>
    <row r="188" spans="1:61" s="359" customFormat="1" ht="19.2" x14ac:dyDescent="0.3">
      <c r="A188" s="360" t="s">
        <v>190</v>
      </c>
      <c r="B188" s="513" t="s">
        <v>323</v>
      </c>
      <c r="C188" s="433" t="s">
        <v>324</v>
      </c>
      <c r="D188" s="361">
        <v>0.4</v>
      </c>
      <c r="E188" s="403">
        <v>630</v>
      </c>
      <c r="F188" s="404">
        <v>15</v>
      </c>
      <c r="G188" s="400">
        <v>15</v>
      </c>
      <c r="H188" s="419">
        <v>363.63108</v>
      </c>
      <c r="I188" s="401">
        <v>264.79525000000001</v>
      </c>
      <c r="J188" s="401">
        <v>74.025000000000006</v>
      </c>
      <c r="K188" s="401">
        <f>114.22368+38.07456</f>
        <v>152.29823999999999</v>
      </c>
      <c r="L188" s="401">
        <v>48.030450000000002</v>
      </c>
      <c r="M188" s="401">
        <v>0</v>
      </c>
      <c r="N188" s="401">
        <v>0</v>
      </c>
      <c r="O188" s="401">
        <v>22.276599999999998</v>
      </c>
      <c r="P188" s="401">
        <v>117.5</v>
      </c>
      <c r="Q188" s="401">
        <v>9.5186399999999995</v>
      </c>
      <c r="R188" s="385" t="s">
        <v>167</v>
      </c>
      <c r="S188" s="439" t="s">
        <v>175</v>
      </c>
      <c r="T188" s="389"/>
      <c r="U188" s="521">
        <v>173</v>
      </c>
      <c r="V188" s="402">
        <f t="shared" si="62"/>
        <v>577.19219047619049</v>
      </c>
      <c r="W188" s="402">
        <f t="shared" si="63"/>
        <v>24.242072</v>
      </c>
      <c r="X188" s="403"/>
      <c r="Y188" s="404"/>
      <c r="Z188" s="400"/>
      <c r="AA188" s="419"/>
      <c r="AB188" s="401"/>
      <c r="AC188" s="401"/>
      <c r="AD188" s="401"/>
      <c r="AE188" s="401"/>
      <c r="AF188" s="401"/>
      <c r="AG188" s="401"/>
      <c r="AH188" s="401"/>
      <c r="AI188" s="401"/>
      <c r="AJ188" s="401"/>
      <c r="AK188" s="385"/>
      <c r="AL188" s="439"/>
      <c r="AM188" s="389"/>
      <c r="AN188" s="521"/>
      <c r="AO188" s="402" t="e">
        <f t="shared" si="64"/>
        <v>#DIV/0!</v>
      </c>
      <c r="AP188" s="402" t="e">
        <f t="shared" si="65"/>
        <v>#DIV/0!</v>
      </c>
      <c r="AQ188" s="595"/>
      <c r="AR188" s="587"/>
      <c r="AS188" s="400"/>
      <c r="AT188" s="419"/>
      <c r="AU188" s="401"/>
      <c r="AV188" s="401"/>
      <c r="AW188" s="401"/>
      <c r="AX188" s="401"/>
      <c r="AY188" s="401"/>
      <c r="AZ188" s="401"/>
      <c r="BA188" s="401"/>
      <c r="BB188" s="401"/>
      <c r="BC188" s="401"/>
      <c r="BD188" s="385"/>
      <c r="BE188" s="439"/>
      <c r="BF188" s="389"/>
      <c r="BG188" s="521"/>
      <c r="BH188" s="402" t="e">
        <f t="shared" si="60"/>
        <v>#DIV/0!</v>
      </c>
      <c r="BI188" s="402" t="e">
        <f t="shared" si="61"/>
        <v>#DIV/0!</v>
      </c>
    </row>
    <row r="189" spans="1:61" s="359" customFormat="1" ht="19.2" x14ac:dyDescent="0.3">
      <c r="A189" s="360" t="s">
        <v>598</v>
      </c>
      <c r="B189" s="513" t="s">
        <v>333</v>
      </c>
      <c r="C189" s="433" t="s">
        <v>334</v>
      </c>
      <c r="D189" s="361">
        <v>0.4</v>
      </c>
      <c r="E189" s="403">
        <v>210</v>
      </c>
      <c r="F189" s="404">
        <v>15</v>
      </c>
      <c r="G189" s="400">
        <v>15</v>
      </c>
      <c r="H189" s="419">
        <v>158.65486999999999</v>
      </c>
      <c r="I189" s="401">
        <v>117.14653</v>
      </c>
      <c r="J189" s="401">
        <v>24.675000000000001</v>
      </c>
      <c r="K189" s="401">
        <f>19.03728+57.11184</f>
        <v>76.149119999999996</v>
      </c>
      <c r="L189" s="401">
        <v>20.529969999999999</v>
      </c>
      <c r="M189" s="401">
        <v>0</v>
      </c>
      <c r="N189" s="401">
        <v>0</v>
      </c>
      <c r="O189" s="401">
        <v>9.1893700000000003</v>
      </c>
      <c r="P189" s="401">
        <v>117.5</v>
      </c>
      <c r="Q189" s="401">
        <v>9.5186399999999995</v>
      </c>
      <c r="R189" s="385" t="s">
        <v>167</v>
      </c>
      <c r="S189" s="439" t="s">
        <v>175</v>
      </c>
      <c r="T189" s="389"/>
      <c r="U189" s="521">
        <v>193</v>
      </c>
      <c r="V189" s="402">
        <f t="shared" si="62"/>
        <v>755.49938095238087</v>
      </c>
      <c r="W189" s="402">
        <f t="shared" si="63"/>
        <v>10.576991333333332</v>
      </c>
      <c r="X189" s="403"/>
      <c r="Y189" s="404"/>
      <c r="Z189" s="400"/>
      <c r="AA189" s="419"/>
      <c r="AB189" s="401"/>
      <c r="AC189" s="401"/>
      <c r="AD189" s="401"/>
      <c r="AE189" s="401"/>
      <c r="AF189" s="401"/>
      <c r="AG189" s="401"/>
      <c r="AH189" s="401"/>
      <c r="AI189" s="401"/>
      <c r="AJ189" s="401"/>
      <c r="AK189" s="385"/>
      <c r="AL189" s="439"/>
      <c r="AM189" s="389"/>
      <c r="AN189" s="521"/>
      <c r="AO189" s="402" t="e">
        <f t="shared" si="64"/>
        <v>#DIV/0!</v>
      </c>
      <c r="AP189" s="402" t="e">
        <f t="shared" si="65"/>
        <v>#DIV/0!</v>
      </c>
      <c r="AQ189" s="595"/>
      <c r="AR189" s="587"/>
      <c r="AS189" s="400"/>
      <c r="AT189" s="419"/>
      <c r="AU189" s="401"/>
      <c r="AV189" s="401"/>
      <c r="AW189" s="401"/>
      <c r="AX189" s="401"/>
      <c r="AY189" s="401"/>
      <c r="AZ189" s="401"/>
      <c r="BA189" s="401"/>
      <c r="BB189" s="401"/>
      <c r="BC189" s="401"/>
      <c r="BD189" s="385"/>
      <c r="BE189" s="439"/>
      <c r="BF189" s="389"/>
      <c r="BG189" s="521"/>
      <c r="BH189" s="402" t="e">
        <f t="shared" si="60"/>
        <v>#DIV/0!</v>
      </c>
      <c r="BI189" s="402" t="e">
        <f t="shared" si="61"/>
        <v>#DIV/0!</v>
      </c>
    </row>
    <row r="190" spans="1:61" s="359" customFormat="1" ht="19.2" x14ac:dyDescent="0.3">
      <c r="A190" s="360" t="s">
        <v>599</v>
      </c>
      <c r="B190" s="513" t="s">
        <v>337</v>
      </c>
      <c r="C190" s="433" t="s">
        <v>338</v>
      </c>
      <c r="D190" s="361">
        <v>0.4</v>
      </c>
      <c r="E190" s="403">
        <v>150</v>
      </c>
      <c r="F190" s="404">
        <v>15</v>
      </c>
      <c r="G190" s="400">
        <v>15</v>
      </c>
      <c r="H190" s="419">
        <v>87.01679</v>
      </c>
      <c r="I190" s="401">
        <v>64.737520000000004</v>
      </c>
      <c r="J190" s="401">
        <v>17.625</v>
      </c>
      <c r="K190" s="401">
        <v>37.957079999999998</v>
      </c>
      <c r="L190" s="401">
        <v>10.7417</v>
      </c>
      <c r="M190" s="401">
        <v>0</v>
      </c>
      <c r="N190" s="401">
        <v>0</v>
      </c>
      <c r="O190" s="401">
        <v>5.0637100000000004</v>
      </c>
      <c r="P190" s="401">
        <v>117.5</v>
      </c>
      <c r="Q190" s="401">
        <v>9.4892699999999994</v>
      </c>
      <c r="R190" s="385" t="s">
        <v>167</v>
      </c>
      <c r="S190" s="439" t="s">
        <v>175</v>
      </c>
      <c r="T190" s="389"/>
      <c r="U190" s="521">
        <v>200</v>
      </c>
      <c r="V190" s="402">
        <f t="shared" si="62"/>
        <v>580.11193333333335</v>
      </c>
      <c r="W190" s="402">
        <f t="shared" si="63"/>
        <v>5.8011193333333333</v>
      </c>
      <c r="X190" s="403"/>
      <c r="Y190" s="404"/>
      <c r="Z190" s="400"/>
      <c r="AA190" s="419"/>
      <c r="AB190" s="401"/>
      <c r="AC190" s="401"/>
      <c r="AD190" s="401"/>
      <c r="AE190" s="401"/>
      <c r="AF190" s="401"/>
      <c r="AG190" s="401"/>
      <c r="AH190" s="401"/>
      <c r="AI190" s="401"/>
      <c r="AJ190" s="401"/>
      <c r="AK190" s="385"/>
      <c r="AL190" s="439"/>
      <c r="AM190" s="389"/>
      <c r="AN190" s="521"/>
      <c r="AO190" s="402" t="e">
        <f t="shared" si="64"/>
        <v>#DIV/0!</v>
      </c>
      <c r="AP190" s="402" t="e">
        <f t="shared" si="65"/>
        <v>#DIV/0!</v>
      </c>
      <c r="AQ190" s="595"/>
      <c r="AR190" s="587"/>
      <c r="AS190" s="400"/>
      <c r="AT190" s="419"/>
      <c r="AU190" s="401"/>
      <c r="AV190" s="401"/>
      <c r="AW190" s="401"/>
      <c r="AX190" s="401"/>
      <c r="AY190" s="401"/>
      <c r="AZ190" s="401"/>
      <c r="BA190" s="401"/>
      <c r="BB190" s="401"/>
      <c r="BC190" s="401"/>
      <c r="BD190" s="385"/>
      <c r="BE190" s="439"/>
      <c r="BF190" s="389"/>
      <c r="BG190" s="521"/>
      <c r="BH190" s="402" t="e">
        <f t="shared" si="60"/>
        <v>#DIV/0!</v>
      </c>
      <c r="BI190" s="402" t="e">
        <f t="shared" si="61"/>
        <v>#DIV/0!</v>
      </c>
    </row>
    <row r="191" spans="1:61" s="359" customFormat="1" ht="19.2" x14ac:dyDescent="0.3">
      <c r="A191" s="360" t="s">
        <v>600</v>
      </c>
      <c r="B191" s="513" t="s">
        <v>376</v>
      </c>
      <c r="C191" s="433" t="s">
        <v>377</v>
      </c>
      <c r="D191" s="361">
        <v>0.4</v>
      </c>
      <c r="E191" s="403">
        <v>240</v>
      </c>
      <c r="F191" s="404">
        <v>15</v>
      </c>
      <c r="G191" s="400">
        <v>15</v>
      </c>
      <c r="H191" s="419">
        <v>106.12</v>
      </c>
      <c r="I191" s="401">
        <v>74.896270000000001</v>
      </c>
      <c r="J191" s="401">
        <v>32.032800000000002</v>
      </c>
      <c r="K191" s="401">
        <f>17.94716+17.94716</f>
        <v>35.89432</v>
      </c>
      <c r="L191" s="401">
        <v>14.352930000000001</v>
      </c>
      <c r="M191" s="401">
        <v>0</v>
      </c>
      <c r="N191" s="401">
        <v>0</v>
      </c>
      <c r="O191" s="401">
        <v>7.5799899999999996</v>
      </c>
      <c r="P191" s="401">
        <v>133.47</v>
      </c>
      <c r="Q191" s="401">
        <v>8.9735800000000001</v>
      </c>
      <c r="R191" s="385" t="s">
        <v>167</v>
      </c>
      <c r="S191" s="439" t="s">
        <v>175</v>
      </c>
      <c r="T191" s="389"/>
      <c r="U191" s="521">
        <v>293</v>
      </c>
      <c r="V191" s="402">
        <f t="shared" si="62"/>
        <v>442.16666666666669</v>
      </c>
      <c r="W191" s="402">
        <f t="shared" si="63"/>
        <v>7.0746666666666673</v>
      </c>
      <c r="X191" s="403"/>
      <c r="Y191" s="404"/>
      <c r="Z191" s="400"/>
      <c r="AA191" s="419"/>
      <c r="AB191" s="401"/>
      <c r="AC191" s="401"/>
      <c r="AD191" s="401"/>
      <c r="AE191" s="401"/>
      <c r="AF191" s="401"/>
      <c r="AG191" s="401"/>
      <c r="AH191" s="401"/>
      <c r="AI191" s="401"/>
      <c r="AJ191" s="401"/>
      <c r="AK191" s="385"/>
      <c r="AL191" s="439"/>
      <c r="AM191" s="389"/>
      <c r="AN191" s="521"/>
      <c r="AO191" s="402" t="e">
        <f t="shared" si="64"/>
        <v>#DIV/0!</v>
      </c>
      <c r="AP191" s="402" t="e">
        <f t="shared" si="65"/>
        <v>#DIV/0!</v>
      </c>
      <c r="AQ191" s="595"/>
      <c r="AR191" s="587"/>
      <c r="AS191" s="400"/>
      <c r="AT191" s="419"/>
      <c r="AU191" s="401"/>
      <c r="AV191" s="401"/>
      <c r="AW191" s="401"/>
      <c r="AX191" s="401"/>
      <c r="AY191" s="401"/>
      <c r="AZ191" s="401"/>
      <c r="BA191" s="401"/>
      <c r="BB191" s="401"/>
      <c r="BC191" s="401"/>
      <c r="BD191" s="385"/>
      <c r="BE191" s="439"/>
      <c r="BF191" s="389"/>
      <c r="BG191" s="521"/>
      <c r="BH191" s="402" t="e">
        <f t="shared" si="60"/>
        <v>#DIV/0!</v>
      </c>
      <c r="BI191" s="402" t="e">
        <f t="shared" si="61"/>
        <v>#DIV/0!</v>
      </c>
    </row>
    <row r="192" spans="1:61" s="359" customFormat="1" ht="19.2" x14ac:dyDescent="0.3">
      <c r="A192" s="360" t="s">
        <v>601</v>
      </c>
      <c r="B192" s="513" t="s">
        <v>380</v>
      </c>
      <c r="C192" s="433" t="s">
        <v>381</v>
      </c>
      <c r="D192" s="361">
        <v>0.4</v>
      </c>
      <c r="E192" s="403">
        <v>250</v>
      </c>
      <c r="F192" s="404">
        <v>40</v>
      </c>
      <c r="G192" s="400">
        <v>40</v>
      </c>
      <c r="H192" s="419">
        <v>188.25899999999999</v>
      </c>
      <c r="I192" s="401">
        <v>138.57400000000001</v>
      </c>
      <c r="J192" s="401">
        <v>33.3675</v>
      </c>
      <c r="K192" s="401">
        <f>26.95089+35.93452</f>
        <v>62.88541</v>
      </c>
      <c r="L192" s="401">
        <v>21.893999999999998</v>
      </c>
      <c r="M192" s="401">
        <v>0</v>
      </c>
      <c r="N192" s="401">
        <v>0</v>
      </c>
      <c r="O192" s="401">
        <v>12.178000000000001</v>
      </c>
      <c r="P192" s="401">
        <v>133.47</v>
      </c>
      <c r="Q192" s="401">
        <v>8.9836299999999998</v>
      </c>
      <c r="R192" s="385" t="s">
        <v>167</v>
      </c>
      <c r="S192" s="439" t="s">
        <v>175</v>
      </c>
      <c r="T192" s="389"/>
      <c r="U192" s="521">
        <v>305</v>
      </c>
      <c r="V192" s="402">
        <f t="shared" si="62"/>
        <v>753.03599999999994</v>
      </c>
      <c r="W192" s="402">
        <f t="shared" si="63"/>
        <v>4.7064749999999993</v>
      </c>
      <c r="X192" s="403"/>
      <c r="Y192" s="404"/>
      <c r="Z192" s="400"/>
      <c r="AA192" s="419"/>
      <c r="AB192" s="401"/>
      <c r="AC192" s="401"/>
      <c r="AD192" s="401"/>
      <c r="AE192" s="401"/>
      <c r="AF192" s="401"/>
      <c r="AG192" s="401"/>
      <c r="AH192" s="401"/>
      <c r="AI192" s="401"/>
      <c r="AJ192" s="401"/>
      <c r="AK192" s="385"/>
      <c r="AL192" s="439"/>
      <c r="AM192" s="389"/>
      <c r="AN192" s="521"/>
      <c r="AO192" s="402" t="e">
        <f t="shared" si="64"/>
        <v>#DIV/0!</v>
      </c>
      <c r="AP192" s="402" t="e">
        <f t="shared" si="65"/>
        <v>#DIV/0!</v>
      </c>
      <c r="AQ192" s="595"/>
      <c r="AR192" s="587"/>
      <c r="AS192" s="400"/>
      <c r="AT192" s="419"/>
      <c r="AU192" s="401"/>
      <c r="AV192" s="401"/>
      <c r="AW192" s="401"/>
      <c r="AX192" s="401"/>
      <c r="AY192" s="401"/>
      <c r="AZ192" s="401"/>
      <c r="BA192" s="401"/>
      <c r="BB192" s="401"/>
      <c r="BC192" s="401"/>
      <c r="BD192" s="385"/>
      <c r="BE192" s="439"/>
      <c r="BF192" s="389"/>
      <c r="BG192" s="521"/>
      <c r="BH192" s="402" t="e">
        <f t="shared" si="60"/>
        <v>#DIV/0!</v>
      </c>
      <c r="BI192" s="402" t="e">
        <f t="shared" si="61"/>
        <v>#DIV/0!</v>
      </c>
    </row>
    <row r="193" spans="1:61" s="359" customFormat="1" ht="19.2" x14ac:dyDescent="0.3">
      <c r="A193" s="360" t="s">
        <v>179</v>
      </c>
      <c r="B193" s="543" t="s">
        <v>545</v>
      </c>
      <c r="C193" s="433" t="s">
        <v>405</v>
      </c>
      <c r="D193" s="361">
        <v>0.4</v>
      </c>
      <c r="E193" s="403"/>
      <c r="F193" s="404"/>
      <c r="G193" s="400"/>
      <c r="H193" s="401"/>
      <c r="I193" s="401"/>
      <c r="J193" s="401"/>
      <c r="K193" s="401"/>
      <c r="L193" s="401"/>
      <c r="M193" s="401"/>
      <c r="N193" s="401"/>
      <c r="O193" s="401"/>
      <c r="P193" s="401"/>
      <c r="Q193" s="401"/>
      <c r="R193" s="389"/>
      <c r="S193" s="389"/>
      <c r="T193" s="389"/>
      <c r="U193" s="521"/>
      <c r="V193" s="402" t="e">
        <f t="shared" si="62"/>
        <v>#DIV/0!</v>
      </c>
      <c r="W193" s="402" t="e">
        <f t="shared" si="63"/>
        <v>#DIV/0!</v>
      </c>
      <c r="X193" s="403">
        <v>120</v>
      </c>
      <c r="Y193" s="404">
        <v>15</v>
      </c>
      <c r="Z193" s="400">
        <v>15</v>
      </c>
      <c r="AA193" s="545">
        <v>65.281859999999995</v>
      </c>
      <c r="AB193" s="401">
        <v>44.250109999999999</v>
      </c>
      <c r="AC193" s="401">
        <v>16.016400000000001</v>
      </c>
      <c r="AD193" s="401">
        <f>7.297+14.59502</f>
        <v>21.892019999999999</v>
      </c>
      <c r="AE193" s="401">
        <v>9.3701299999999996</v>
      </c>
      <c r="AF193" s="401">
        <v>0</v>
      </c>
      <c r="AG193" s="401">
        <v>0</v>
      </c>
      <c r="AH193" s="401">
        <v>5.6955600000000004</v>
      </c>
      <c r="AI193" s="401">
        <v>133.47</v>
      </c>
      <c r="AJ193" s="401">
        <v>7.2975099999999999</v>
      </c>
      <c r="AK193" s="385" t="s">
        <v>167</v>
      </c>
      <c r="AL193" s="439" t="s">
        <v>175</v>
      </c>
      <c r="AM193" s="389"/>
      <c r="AN193" s="521">
        <v>10</v>
      </c>
      <c r="AO193" s="402">
        <f t="shared" si="64"/>
        <v>544.01549999999997</v>
      </c>
      <c r="AP193" s="402">
        <f t="shared" si="65"/>
        <v>4.3521239999999999</v>
      </c>
      <c r="AQ193" s="595"/>
      <c r="AR193" s="587"/>
      <c r="AS193" s="400"/>
      <c r="AT193" s="545"/>
      <c r="AU193" s="401"/>
      <c r="AV193" s="401"/>
      <c r="AW193" s="401"/>
      <c r="AX193" s="401"/>
      <c r="AY193" s="401"/>
      <c r="AZ193" s="401"/>
      <c r="BA193" s="401"/>
      <c r="BB193" s="401"/>
      <c r="BC193" s="401"/>
      <c r="BD193" s="385"/>
      <c r="BE193" s="439"/>
      <c r="BF193" s="389"/>
      <c r="BG193" s="521"/>
      <c r="BH193" s="402" t="e">
        <f t="shared" ref="BH193:BH222" si="72">AT193/AQ193*1000</f>
        <v>#DIV/0!</v>
      </c>
      <c r="BI193" s="402" t="e">
        <f t="shared" ref="BI193:BI222" si="73">AT193/AR193</f>
        <v>#DIV/0!</v>
      </c>
    </row>
    <row r="194" spans="1:61" s="359" customFormat="1" ht="19.2" x14ac:dyDescent="0.3">
      <c r="A194" s="360" t="s">
        <v>183</v>
      </c>
      <c r="B194" s="543" t="s">
        <v>576</v>
      </c>
      <c r="C194" s="433" t="s">
        <v>577</v>
      </c>
      <c r="D194" s="361">
        <v>0.4</v>
      </c>
      <c r="E194" s="403"/>
      <c r="F194" s="404"/>
      <c r="G194" s="400"/>
      <c r="H194" s="401"/>
      <c r="I194" s="401"/>
      <c r="J194" s="401"/>
      <c r="K194" s="401"/>
      <c r="L194" s="401"/>
      <c r="M194" s="401"/>
      <c r="N194" s="401"/>
      <c r="O194" s="401"/>
      <c r="P194" s="401"/>
      <c r="Q194" s="401"/>
      <c r="R194" s="389"/>
      <c r="S194" s="389"/>
      <c r="T194" s="389"/>
      <c r="U194" s="521"/>
      <c r="V194" s="402"/>
      <c r="W194" s="402"/>
      <c r="X194" s="403">
        <v>100</v>
      </c>
      <c r="Y194" s="404">
        <v>15</v>
      </c>
      <c r="Z194" s="400">
        <v>15</v>
      </c>
      <c r="AA194" s="545">
        <v>69.429599999999994</v>
      </c>
      <c r="AB194" s="401">
        <v>46.312710000000003</v>
      </c>
      <c r="AC194" s="401">
        <v>13.347</v>
      </c>
      <c r="AD194" s="401">
        <f>9.84051+19.68102</f>
        <v>29.521529999999998</v>
      </c>
      <c r="AE194" s="401">
        <v>9.1312099999999994</v>
      </c>
      <c r="AF194" s="401">
        <v>0</v>
      </c>
      <c r="AG194" s="401">
        <v>0</v>
      </c>
      <c r="AH194" s="401">
        <v>6.5554500000000004</v>
      </c>
      <c r="AI194" s="401">
        <v>133.47</v>
      </c>
      <c r="AJ194" s="401">
        <v>9.8405100000000001</v>
      </c>
      <c r="AK194" s="385" t="s">
        <v>167</v>
      </c>
      <c r="AL194" s="439" t="s">
        <v>175</v>
      </c>
      <c r="AM194" s="389"/>
      <c r="AN194" s="521">
        <v>58</v>
      </c>
      <c r="AO194" s="402">
        <f t="shared" si="64"/>
        <v>694.29599999999994</v>
      </c>
      <c r="AP194" s="402">
        <f t="shared" si="65"/>
        <v>4.6286399999999999</v>
      </c>
      <c r="AQ194" s="595"/>
      <c r="AR194" s="587"/>
      <c r="AS194" s="400"/>
      <c r="AT194" s="545"/>
      <c r="AU194" s="401"/>
      <c r="AV194" s="401"/>
      <c r="AW194" s="401"/>
      <c r="AX194" s="401"/>
      <c r="AY194" s="401"/>
      <c r="AZ194" s="401"/>
      <c r="BA194" s="401"/>
      <c r="BB194" s="401"/>
      <c r="BC194" s="401"/>
      <c r="BD194" s="385"/>
      <c r="BE194" s="439"/>
      <c r="BF194" s="389"/>
      <c r="BG194" s="521"/>
      <c r="BH194" s="402" t="e">
        <f t="shared" si="72"/>
        <v>#DIV/0!</v>
      </c>
      <c r="BI194" s="402" t="e">
        <f t="shared" si="73"/>
        <v>#DIV/0!</v>
      </c>
    </row>
    <row r="195" spans="1:61" s="359" customFormat="1" ht="19.2" x14ac:dyDescent="0.3">
      <c r="A195" s="360" t="s">
        <v>185</v>
      </c>
      <c r="B195" s="543" t="s">
        <v>546</v>
      </c>
      <c r="C195" s="433" t="s">
        <v>428</v>
      </c>
      <c r="D195" s="361">
        <v>0.4</v>
      </c>
      <c r="E195" s="403"/>
      <c r="F195" s="404"/>
      <c r="G195" s="400"/>
      <c r="H195" s="401"/>
      <c r="I195" s="401"/>
      <c r="J195" s="401"/>
      <c r="K195" s="401"/>
      <c r="L195" s="401"/>
      <c r="M195" s="401"/>
      <c r="N195" s="401"/>
      <c r="O195" s="401"/>
      <c r="P195" s="401"/>
      <c r="Q195" s="401"/>
      <c r="R195" s="389"/>
      <c r="S195" s="389"/>
      <c r="T195" s="389"/>
      <c r="U195" s="521"/>
      <c r="V195" s="402" t="e">
        <f t="shared" ref="V195:V204" si="74">H195/E195*1000</f>
        <v>#DIV/0!</v>
      </c>
      <c r="W195" s="402" t="e">
        <f t="shared" ref="W195:W204" si="75">H195/F195</f>
        <v>#DIV/0!</v>
      </c>
      <c r="X195" s="403">
        <v>330</v>
      </c>
      <c r="Y195" s="404">
        <v>150</v>
      </c>
      <c r="Z195" s="400">
        <v>150</v>
      </c>
      <c r="AA195" s="545">
        <v>152.97846999999999</v>
      </c>
      <c r="AB195" s="401">
        <v>113.30185</v>
      </c>
      <c r="AC195" s="401">
        <v>44.045099999999998</v>
      </c>
      <c r="AD195" s="401">
        <v>19.863679999999999</v>
      </c>
      <c r="AE195" s="401">
        <v>18.331240000000001</v>
      </c>
      <c r="AF195" s="401">
        <v>0</v>
      </c>
      <c r="AG195" s="401">
        <v>0</v>
      </c>
      <c r="AH195" s="401">
        <v>10.512079999999999</v>
      </c>
      <c r="AI195" s="401">
        <v>133.47</v>
      </c>
      <c r="AJ195" s="401">
        <v>9.9318399999999993</v>
      </c>
      <c r="AK195" s="385" t="s">
        <v>167</v>
      </c>
      <c r="AL195" s="439" t="s">
        <v>175</v>
      </c>
      <c r="AM195" s="389"/>
      <c r="AN195" s="521">
        <v>144</v>
      </c>
      <c r="AO195" s="402">
        <f t="shared" si="64"/>
        <v>463.57112121212117</v>
      </c>
      <c r="AP195" s="402">
        <f t="shared" si="65"/>
        <v>1.0198564666666665</v>
      </c>
      <c r="AQ195" s="595"/>
      <c r="AR195" s="587"/>
      <c r="AS195" s="400"/>
      <c r="AT195" s="545"/>
      <c r="AU195" s="401"/>
      <c r="AV195" s="401"/>
      <c r="AW195" s="401"/>
      <c r="AX195" s="401"/>
      <c r="AY195" s="401"/>
      <c r="AZ195" s="401"/>
      <c r="BA195" s="401"/>
      <c r="BB195" s="401"/>
      <c r="BC195" s="401"/>
      <c r="BD195" s="385"/>
      <c r="BE195" s="439"/>
      <c r="BF195" s="389"/>
      <c r="BG195" s="521"/>
      <c r="BH195" s="402" t="e">
        <f t="shared" si="72"/>
        <v>#DIV/0!</v>
      </c>
      <c r="BI195" s="402" t="e">
        <f t="shared" si="73"/>
        <v>#DIV/0!</v>
      </c>
    </row>
    <row r="196" spans="1:61" s="359" customFormat="1" ht="19.2" x14ac:dyDescent="0.3">
      <c r="A196" s="360" t="s">
        <v>187</v>
      </c>
      <c r="B196" s="543" t="s">
        <v>547</v>
      </c>
      <c r="C196" s="433" t="s">
        <v>441</v>
      </c>
      <c r="D196" s="361">
        <v>0.4</v>
      </c>
      <c r="E196" s="403"/>
      <c r="F196" s="404"/>
      <c r="G196" s="400"/>
      <c r="H196" s="401"/>
      <c r="I196" s="401"/>
      <c r="J196" s="401"/>
      <c r="K196" s="401"/>
      <c r="L196" s="401"/>
      <c r="M196" s="401"/>
      <c r="N196" s="401"/>
      <c r="O196" s="401"/>
      <c r="P196" s="401"/>
      <c r="Q196" s="401"/>
      <c r="R196" s="389"/>
      <c r="S196" s="389"/>
      <c r="T196" s="389"/>
      <c r="U196" s="521"/>
      <c r="V196" s="402" t="e">
        <f t="shared" si="74"/>
        <v>#DIV/0!</v>
      </c>
      <c r="W196" s="402" t="e">
        <f t="shared" si="75"/>
        <v>#DIV/0!</v>
      </c>
      <c r="X196" s="403">
        <v>300</v>
      </c>
      <c r="Y196" s="404">
        <v>15</v>
      </c>
      <c r="Z196" s="400">
        <v>15</v>
      </c>
      <c r="AA196" s="545">
        <v>255.69712000000001</v>
      </c>
      <c r="AB196" s="401">
        <v>188.16015999999999</v>
      </c>
      <c r="AC196" s="401">
        <v>61.896000000000001</v>
      </c>
      <c r="AD196" s="401">
        <f>50+60</f>
        <v>110</v>
      </c>
      <c r="AE196" s="401">
        <v>29.773769999999999</v>
      </c>
      <c r="AF196" s="401">
        <v>0</v>
      </c>
      <c r="AG196" s="401">
        <v>0</v>
      </c>
      <c r="AH196" s="401">
        <v>18.301729999999999</v>
      </c>
      <c r="AI196" s="401">
        <v>206.32</v>
      </c>
      <c r="AJ196" s="401">
        <v>10</v>
      </c>
      <c r="AK196" s="385" t="s">
        <v>167</v>
      </c>
      <c r="AL196" s="439" t="s">
        <v>175</v>
      </c>
      <c r="AM196" s="389"/>
      <c r="AN196" s="521">
        <v>204</v>
      </c>
      <c r="AO196" s="402">
        <f t="shared" si="64"/>
        <v>852.32373333333328</v>
      </c>
      <c r="AP196" s="402">
        <f t="shared" si="65"/>
        <v>17.046474666666668</v>
      </c>
      <c r="AQ196" s="595"/>
      <c r="AR196" s="587"/>
      <c r="AS196" s="400"/>
      <c r="AT196" s="545"/>
      <c r="AU196" s="401"/>
      <c r="AV196" s="401"/>
      <c r="AW196" s="401"/>
      <c r="AX196" s="401"/>
      <c r="AY196" s="401"/>
      <c r="AZ196" s="401"/>
      <c r="BA196" s="401"/>
      <c r="BB196" s="401"/>
      <c r="BC196" s="401"/>
      <c r="BD196" s="385"/>
      <c r="BE196" s="439"/>
      <c r="BF196" s="389"/>
      <c r="BG196" s="521"/>
      <c r="BH196" s="402" t="e">
        <f t="shared" si="72"/>
        <v>#DIV/0!</v>
      </c>
      <c r="BI196" s="402" t="e">
        <f t="shared" si="73"/>
        <v>#DIV/0!</v>
      </c>
    </row>
    <row r="197" spans="1:61" s="359" customFormat="1" ht="19.2" x14ac:dyDescent="0.3">
      <c r="A197" s="360" t="s">
        <v>190</v>
      </c>
      <c r="B197" s="543" t="s">
        <v>548</v>
      </c>
      <c r="C197" s="433" t="s">
        <v>447</v>
      </c>
      <c r="D197" s="361">
        <v>0.4</v>
      </c>
      <c r="E197" s="403"/>
      <c r="F197" s="404"/>
      <c r="G197" s="400"/>
      <c r="H197" s="401"/>
      <c r="I197" s="401"/>
      <c r="J197" s="401"/>
      <c r="K197" s="401"/>
      <c r="L197" s="401"/>
      <c r="M197" s="401"/>
      <c r="N197" s="401"/>
      <c r="O197" s="401"/>
      <c r="P197" s="401"/>
      <c r="Q197" s="401"/>
      <c r="R197" s="389"/>
      <c r="S197" s="389"/>
      <c r="T197" s="389"/>
      <c r="U197" s="521"/>
      <c r="V197" s="402" t="e">
        <f t="shared" si="74"/>
        <v>#DIV/0!</v>
      </c>
      <c r="W197" s="402" t="e">
        <f t="shared" si="75"/>
        <v>#DIV/0!</v>
      </c>
      <c r="X197" s="403">
        <v>140</v>
      </c>
      <c r="Y197" s="404">
        <v>15</v>
      </c>
      <c r="Z197" s="400">
        <v>15</v>
      </c>
      <c r="AA197" s="545">
        <v>122.76845</v>
      </c>
      <c r="AB197" s="401">
        <v>91.697559999999996</v>
      </c>
      <c r="AC197" s="401">
        <v>28.884799999999998</v>
      </c>
      <c r="AD197" s="401">
        <f>30+20</f>
        <v>50</v>
      </c>
      <c r="AE197" s="401">
        <v>13.684530000000001</v>
      </c>
      <c r="AF197" s="401">
        <v>0</v>
      </c>
      <c r="AG197" s="401">
        <v>0</v>
      </c>
      <c r="AH197" s="401">
        <v>8.44712</v>
      </c>
      <c r="AI197" s="401">
        <v>206.32</v>
      </c>
      <c r="AJ197" s="401">
        <v>10</v>
      </c>
      <c r="AK197" s="385" t="s">
        <v>167</v>
      </c>
      <c r="AL197" s="439" t="s">
        <v>175</v>
      </c>
      <c r="AM197" s="389"/>
      <c r="AN197" s="521">
        <v>230</v>
      </c>
      <c r="AO197" s="402">
        <f t="shared" si="64"/>
        <v>876.91750000000002</v>
      </c>
      <c r="AP197" s="402">
        <f t="shared" si="65"/>
        <v>8.1845633333333332</v>
      </c>
      <c r="AQ197" s="595"/>
      <c r="AR197" s="587"/>
      <c r="AS197" s="400"/>
      <c r="AT197" s="545"/>
      <c r="AU197" s="401"/>
      <c r="AV197" s="401"/>
      <c r="AW197" s="401"/>
      <c r="AX197" s="401"/>
      <c r="AY197" s="401"/>
      <c r="AZ197" s="401"/>
      <c r="BA197" s="401"/>
      <c r="BB197" s="401"/>
      <c r="BC197" s="401"/>
      <c r="BD197" s="385"/>
      <c r="BE197" s="439"/>
      <c r="BF197" s="389"/>
      <c r="BG197" s="521"/>
      <c r="BH197" s="402" t="e">
        <f t="shared" si="72"/>
        <v>#DIV/0!</v>
      </c>
      <c r="BI197" s="402" t="e">
        <f t="shared" si="73"/>
        <v>#DIV/0!</v>
      </c>
    </row>
    <row r="198" spans="1:61" s="359" customFormat="1" ht="19.2" x14ac:dyDescent="0.3">
      <c r="A198" s="360" t="s">
        <v>598</v>
      </c>
      <c r="B198" s="543" t="s">
        <v>549</v>
      </c>
      <c r="C198" s="433" t="s">
        <v>468</v>
      </c>
      <c r="D198" s="361">
        <v>0.4</v>
      </c>
      <c r="E198" s="403"/>
      <c r="F198" s="404"/>
      <c r="G198" s="400"/>
      <c r="H198" s="401"/>
      <c r="I198" s="401"/>
      <c r="J198" s="401"/>
      <c r="K198" s="401"/>
      <c r="L198" s="401"/>
      <c r="M198" s="401"/>
      <c r="N198" s="401"/>
      <c r="O198" s="401"/>
      <c r="P198" s="401"/>
      <c r="Q198" s="401"/>
      <c r="R198" s="389"/>
      <c r="S198" s="389"/>
      <c r="T198" s="389"/>
      <c r="U198" s="521"/>
      <c r="V198" s="402" t="e">
        <f t="shared" si="74"/>
        <v>#DIV/0!</v>
      </c>
      <c r="W198" s="402" t="e">
        <f t="shared" si="75"/>
        <v>#DIV/0!</v>
      </c>
      <c r="X198" s="403">
        <v>300</v>
      </c>
      <c r="Y198" s="404">
        <v>70</v>
      </c>
      <c r="Z198" s="400">
        <v>70</v>
      </c>
      <c r="AA198" s="545">
        <v>277.09537</v>
      </c>
      <c r="AB198" s="401">
        <v>210.8289</v>
      </c>
      <c r="AC198" s="401">
        <v>61.896000000000001</v>
      </c>
      <c r="AD198" s="401">
        <f>20+80</f>
        <v>100</v>
      </c>
      <c r="AE198" s="401">
        <v>29.03022</v>
      </c>
      <c r="AF198" s="401">
        <v>0</v>
      </c>
      <c r="AG198" s="401">
        <v>0</v>
      </c>
      <c r="AH198" s="401">
        <v>18.141829999999999</v>
      </c>
      <c r="AI198" s="401">
        <v>206.32</v>
      </c>
      <c r="AJ198" s="401">
        <v>10</v>
      </c>
      <c r="AK198" s="385" t="s">
        <v>167</v>
      </c>
      <c r="AL198" s="439" t="s">
        <v>175</v>
      </c>
      <c r="AM198" s="389"/>
      <c r="AN198" s="521">
        <v>348</v>
      </c>
      <c r="AO198" s="402">
        <f t="shared" si="64"/>
        <v>923.65123333333327</v>
      </c>
      <c r="AP198" s="402">
        <f t="shared" si="65"/>
        <v>3.9585052857142857</v>
      </c>
      <c r="AQ198" s="595"/>
      <c r="AR198" s="587"/>
      <c r="AS198" s="400"/>
      <c r="AT198" s="545"/>
      <c r="AU198" s="401"/>
      <c r="AV198" s="401"/>
      <c r="AW198" s="401"/>
      <c r="AX198" s="401"/>
      <c r="AY198" s="401"/>
      <c r="AZ198" s="401"/>
      <c r="BA198" s="401"/>
      <c r="BB198" s="401"/>
      <c r="BC198" s="401"/>
      <c r="BD198" s="385"/>
      <c r="BE198" s="439"/>
      <c r="BF198" s="389"/>
      <c r="BG198" s="521"/>
      <c r="BH198" s="402" t="e">
        <f t="shared" si="72"/>
        <v>#DIV/0!</v>
      </c>
      <c r="BI198" s="402" t="e">
        <f t="shared" si="73"/>
        <v>#DIV/0!</v>
      </c>
    </row>
    <row r="199" spans="1:61" s="359" customFormat="1" ht="19.2" x14ac:dyDescent="0.3">
      <c r="A199" s="360" t="s">
        <v>599</v>
      </c>
      <c r="B199" s="543" t="s">
        <v>550</v>
      </c>
      <c r="C199" s="433" t="s">
        <v>470</v>
      </c>
      <c r="D199" s="361">
        <v>0.4</v>
      </c>
      <c r="E199" s="403"/>
      <c r="F199" s="404"/>
      <c r="G199" s="400"/>
      <c r="H199" s="401"/>
      <c r="I199" s="401"/>
      <c r="J199" s="401"/>
      <c r="K199" s="401"/>
      <c r="L199" s="401"/>
      <c r="M199" s="401"/>
      <c r="N199" s="401"/>
      <c r="O199" s="401"/>
      <c r="P199" s="401"/>
      <c r="Q199" s="401"/>
      <c r="R199" s="389"/>
      <c r="S199" s="389"/>
      <c r="T199" s="389"/>
      <c r="U199" s="521"/>
      <c r="V199" s="402" t="e">
        <f t="shared" si="74"/>
        <v>#DIV/0!</v>
      </c>
      <c r="W199" s="402" t="e">
        <f t="shared" si="75"/>
        <v>#DIV/0!</v>
      </c>
      <c r="X199" s="403">
        <v>160</v>
      </c>
      <c r="Y199" s="404">
        <v>15</v>
      </c>
      <c r="Z199" s="400">
        <v>15</v>
      </c>
      <c r="AA199" s="545">
        <v>125.24674</v>
      </c>
      <c r="AB199" s="401">
        <v>91.991879999999995</v>
      </c>
      <c r="AC199" s="401">
        <v>33.011200000000002</v>
      </c>
      <c r="AD199" s="401">
        <f>30+20</f>
        <v>50</v>
      </c>
      <c r="AE199" s="401">
        <v>14.409829999999999</v>
      </c>
      <c r="AF199" s="401">
        <v>0</v>
      </c>
      <c r="AG199" s="401">
        <v>0</v>
      </c>
      <c r="AH199" s="401">
        <v>9.1689799999999995</v>
      </c>
      <c r="AI199" s="401">
        <v>206.32</v>
      </c>
      <c r="AJ199" s="401">
        <v>10</v>
      </c>
      <c r="AK199" s="385" t="s">
        <v>167</v>
      </c>
      <c r="AL199" s="439" t="s">
        <v>175</v>
      </c>
      <c r="AM199" s="389"/>
      <c r="AN199" s="521">
        <v>356</v>
      </c>
      <c r="AO199" s="402">
        <f t="shared" si="64"/>
        <v>782.79212500000006</v>
      </c>
      <c r="AP199" s="402">
        <f t="shared" si="65"/>
        <v>8.3497826666666661</v>
      </c>
      <c r="AQ199" s="595"/>
      <c r="AR199" s="587"/>
      <c r="AS199" s="400"/>
      <c r="AT199" s="545"/>
      <c r="AU199" s="401"/>
      <c r="AV199" s="401"/>
      <c r="AW199" s="401"/>
      <c r="AX199" s="401"/>
      <c r="AY199" s="401"/>
      <c r="AZ199" s="401"/>
      <c r="BA199" s="401"/>
      <c r="BB199" s="401"/>
      <c r="BC199" s="401"/>
      <c r="BD199" s="385"/>
      <c r="BE199" s="439"/>
      <c r="BF199" s="389"/>
      <c r="BG199" s="521"/>
      <c r="BH199" s="402" t="e">
        <f t="shared" si="72"/>
        <v>#DIV/0!</v>
      </c>
      <c r="BI199" s="402" t="e">
        <f t="shared" si="73"/>
        <v>#DIV/0!</v>
      </c>
    </row>
    <row r="200" spans="1:61" s="359" customFormat="1" ht="19.2" x14ac:dyDescent="0.3">
      <c r="A200" s="360" t="s">
        <v>600</v>
      </c>
      <c r="B200" s="543" t="s">
        <v>551</v>
      </c>
      <c r="C200" s="433" t="s">
        <v>475</v>
      </c>
      <c r="D200" s="361">
        <v>0.4</v>
      </c>
      <c r="E200" s="403"/>
      <c r="F200" s="404"/>
      <c r="G200" s="400"/>
      <c r="H200" s="401"/>
      <c r="I200" s="401"/>
      <c r="J200" s="401"/>
      <c r="K200" s="401"/>
      <c r="L200" s="401"/>
      <c r="M200" s="401"/>
      <c r="N200" s="401"/>
      <c r="O200" s="401"/>
      <c r="P200" s="401"/>
      <c r="Q200" s="401"/>
      <c r="R200" s="389"/>
      <c r="S200" s="389"/>
      <c r="T200" s="389"/>
      <c r="U200" s="521"/>
      <c r="V200" s="402" t="e">
        <f t="shared" si="74"/>
        <v>#DIV/0!</v>
      </c>
      <c r="W200" s="402" t="e">
        <f t="shared" si="75"/>
        <v>#DIV/0!</v>
      </c>
      <c r="X200" s="403">
        <v>300</v>
      </c>
      <c r="Y200" s="404">
        <v>15</v>
      </c>
      <c r="Z200" s="400">
        <v>15</v>
      </c>
      <c r="AA200" s="545">
        <v>227.58265</v>
      </c>
      <c r="AB200" s="401">
        <v>166.84333000000001</v>
      </c>
      <c r="AC200" s="401">
        <v>61.896000000000001</v>
      </c>
      <c r="AD200" s="401">
        <f>50+40</f>
        <v>90</v>
      </c>
      <c r="AE200" s="401">
        <v>26.343910000000001</v>
      </c>
      <c r="AF200" s="401">
        <v>0</v>
      </c>
      <c r="AG200" s="401">
        <v>0</v>
      </c>
      <c r="AH200" s="401">
        <v>16.736560000000001</v>
      </c>
      <c r="AI200" s="401">
        <v>206.32</v>
      </c>
      <c r="AJ200" s="401">
        <v>10</v>
      </c>
      <c r="AK200" s="385" t="s">
        <v>167</v>
      </c>
      <c r="AL200" s="439" t="s">
        <v>175</v>
      </c>
      <c r="AM200" s="389"/>
      <c r="AN200" s="521">
        <v>376</v>
      </c>
      <c r="AO200" s="402">
        <f t="shared" si="64"/>
        <v>758.60883333333334</v>
      </c>
      <c r="AP200" s="402">
        <f t="shared" si="65"/>
        <v>15.172176666666667</v>
      </c>
      <c r="AQ200" s="595"/>
      <c r="AR200" s="587"/>
      <c r="AS200" s="400"/>
      <c r="AT200" s="545"/>
      <c r="AU200" s="401"/>
      <c r="AV200" s="401"/>
      <c r="AW200" s="401"/>
      <c r="AX200" s="401"/>
      <c r="AY200" s="401"/>
      <c r="AZ200" s="401"/>
      <c r="BA200" s="401"/>
      <c r="BB200" s="401"/>
      <c r="BC200" s="401"/>
      <c r="BD200" s="385"/>
      <c r="BE200" s="439"/>
      <c r="BF200" s="389"/>
      <c r="BG200" s="521"/>
      <c r="BH200" s="402" t="e">
        <f t="shared" si="72"/>
        <v>#DIV/0!</v>
      </c>
      <c r="BI200" s="402" t="e">
        <f t="shared" si="73"/>
        <v>#DIV/0!</v>
      </c>
    </row>
    <row r="201" spans="1:61" s="359" customFormat="1" ht="19.2" x14ac:dyDescent="0.3">
      <c r="A201" s="360" t="s">
        <v>601</v>
      </c>
      <c r="B201" s="543" t="s">
        <v>552</v>
      </c>
      <c r="C201" s="433" t="s">
        <v>476</v>
      </c>
      <c r="D201" s="361">
        <v>0.4</v>
      </c>
      <c r="E201" s="403"/>
      <c r="F201" s="404"/>
      <c r="G201" s="400"/>
      <c r="H201" s="401"/>
      <c r="I201" s="401"/>
      <c r="J201" s="401"/>
      <c r="K201" s="401"/>
      <c r="L201" s="401"/>
      <c r="M201" s="401"/>
      <c r="N201" s="401"/>
      <c r="O201" s="401"/>
      <c r="P201" s="401"/>
      <c r="Q201" s="401"/>
      <c r="R201" s="389"/>
      <c r="S201" s="389"/>
      <c r="T201" s="389"/>
      <c r="U201" s="521"/>
      <c r="V201" s="402" t="e">
        <f t="shared" si="74"/>
        <v>#DIV/0!</v>
      </c>
      <c r="W201" s="402" t="e">
        <f t="shared" si="75"/>
        <v>#DIV/0!</v>
      </c>
      <c r="X201" s="403">
        <v>100</v>
      </c>
      <c r="Y201" s="404">
        <v>100</v>
      </c>
      <c r="Z201" s="400">
        <v>100</v>
      </c>
      <c r="AA201" s="545">
        <v>98.820660000000004</v>
      </c>
      <c r="AB201" s="401">
        <v>72.153130000000004</v>
      </c>
      <c r="AC201" s="401">
        <v>20.632000000000001</v>
      </c>
      <c r="AD201" s="401">
        <f>20+20</f>
        <v>40</v>
      </c>
      <c r="AE201" s="401">
        <v>10.83479</v>
      </c>
      <c r="AF201" s="401">
        <v>0</v>
      </c>
      <c r="AG201" s="401">
        <v>0</v>
      </c>
      <c r="AH201" s="401">
        <v>7.4757199999999999</v>
      </c>
      <c r="AI201" s="401">
        <v>206.32</v>
      </c>
      <c r="AJ201" s="401">
        <v>10</v>
      </c>
      <c r="AK201" s="385" t="s">
        <v>167</v>
      </c>
      <c r="AL201" s="439" t="s">
        <v>175</v>
      </c>
      <c r="AM201" s="389"/>
      <c r="AN201" s="521">
        <v>380</v>
      </c>
      <c r="AO201" s="402">
        <f t="shared" si="64"/>
        <v>988.20660000000009</v>
      </c>
      <c r="AP201" s="402">
        <f t="shared" si="65"/>
        <v>0.98820660000000005</v>
      </c>
      <c r="AQ201" s="595"/>
      <c r="AR201" s="587"/>
      <c r="AS201" s="400"/>
      <c r="AT201" s="545"/>
      <c r="AU201" s="401"/>
      <c r="AV201" s="401"/>
      <c r="AW201" s="401"/>
      <c r="AX201" s="401"/>
      <c r="AY201" s="401"/>
      <c r="AZ201" s="401"/>
      <c r="BA201" s="401"/>
      <c r="BB201" s="401"/>
      <c r="BC201" s="401"/>
      <c r="BD201" s="385"/>
      <c r="BE201" s="439"/>
      <c r="BF201" s="389"/>
      <c r="BG201" s="521"/>
      <c r="BH201" s="402" t="e">
        <f t="shared" si="72"/>
        <v>#DIV/0!</v>
      </c>
      <c r="BI201" s="402" t="e">
        <f t="shared" si="73"/>
        <v>#DIV/0!</v>
      </c>
    </row>
    <row r="202" spans="1:61" s="359" customFormat="1" ht="19.2" x14ac:dyDescent="0.3">
      <c r="A202" s="360" t="s">
        <v>602</v>
      </c>
      <c r="B202" s="543" t="s">
        <v>553</v>
      </c>
      <c r="C202" s="433" t="s">
        <v>478</v>
      </c>
      <c r="D202" s="361">
        <v>0.4</v>
      </c>
      <c r="E202" s="403"/>
      <c r="F202" s="404"/>
      <c r="G202" s="400"/>
      <c r="H202" s="401"/>
      <c r="I202" s="401"/>
      <c r="J202" s="401"/>
      <c r="K202" s="401"/>
      <c r="L202" s="401"/>
      <c r="M202" s="401"/>
      <c r="N202" s="401"/>
      <c r="O202" s="401"/>
      <c r="P202" s="401"/>
      <c r="Q202" s="401"/>
      <c r="R202" s="389"/>
      <c r="S202" s="389"/>
      <c r="T202" s="389"/>
      <c r="U202" s="521"/>
      <c r="V202" s="402" t="e">
        <f t="shared" si="74"/>
        <v>#DIV/0!</v>
      </c>
      <c r="W202" s="402" t="e">
        <f t="shared" si="75"/>
        <v>#DIV/0!</v>
      </c>
      <c r="X202" s="403">
        <v>150</v>
      </c>
      <c r="Y202" s="404">
        <v>15</v>
      </c>
      <c r="Z202" s="400">
        <v>15</v>
      </c>
      <c r="AA202" s="545">
        <v>213.92729</v>
      </c>
      <c r="AB202" s="401">
        <v>153.63605000000001</v>
      </c>
      <c r="AC202" s="401">
        <v>30.948</v>
      </c>
      <c r="AD202" s="401">
        <f>70+40</f>
        <v>110</v>
      </c>
      <c r="AE202" s="401">
        <v>26.06841</v>
      </c>
      <c r="AF202" s="401">
        <v>0</v>
      </c>
      <c r="AG202" s="401">
        <v>0</v>
      </c>
      <c r="AH202" s="401">
        <v>16.519400000000001</v>
      </c>
      <c r="AI202" s="401">
        <v>206.32</v>
      </c>
      <c r="AJ202" s="401">
        <v>10</v>
      </c>
      <c r="AK202" s="385" t="s">
        <v>167</v>
      </c>
      <c r="AL202" s="439" t="s">
        <v>175</v>
      </c>
      <c r="AM202" s="389"/>
      <c r="AN202" s="521">
        <v>390</v>
      </c>
      <c r="AO202" s="402">
        <f t="shared" si="64"/>
        <v>1426.1819333333335</v>
      </c>
      <c r="AP202" s="402">
        <f t="shared" si="65"/>
        <v>14.261819333333333</v>
      </c>
      <c r="AQ202" s="595"/>
      <c r="AR202" s="587"/>
      <c r="AS202" s="400"/>
      <c r="AT202" s="545"/>
      <c r="AU202" s="401"/>
      <c r="AV202" s="401"/>
      <c r="AW202" s="401"/>
      <c r="AX202" s="401"/>
      <c r="AY202" s="401"/>
      <c r="AZ202" s="401"/>
      <c r="BA202" s="401"/>
      <c r="BB202" s="401"/>
      <c r="BC202" s="401"/>
      <c r="BD202" s="385"/>
      <c r="BE202" s="439"/>
      <c r="BF202" s="389"/>
      <c r="BG202" s="521"/>
      <c r="BH202" s="402" t="e">
        <f t="shared" si="72"/>
        <v>#DIV/0!</v>
      </c>
      <c r="BI202" s="402" t="e">
        <f t="shared" si="73"/>
        <v>#DIV/0!</v>
      </c>
    </row>
    <row r="203" spans="1:61" s="359" customFormat="1" ht="19.2" x14ac:dyDescent="0.3">
      <c r="A203" s="360" t="s">
        <v>603</v>
      </c>
      <c r="B203" s="543" t="s">
        <v>554</v>
      </c>
      <c r="C203" s="433" t="s">
        <v>479</v>
      </c>
      <c r="D203" s="361">
        <v>0.4</v>
      </c>
      <c r="E203" s="403"/>
      <c r="F203" s="404"/>
      <c r="G203" s="400"/>
      <c r="H203" s="401"/>
      <c r="I203" s="401"/>
      <c r="J203" s="401"/>
      <c r="K203" s="401"/>
      <c r="L203" s="401"/>
      <c r="M203" s="401"/>
      <c r="N203" s="401"/>
      <c r="O203" s="401"/>
      <c r="P203" s="401"/>
      <c r="Q203" s="401"/>
      <c r="R203" s="389"/>
      <c r="S203" s="389"/>
      <c r="T203" s="389"/>
      <c r="U203" s="521"/>
      <c r="V203" s="402" t="e">
        <f t="shared" si="74"/>
        <v>#DIV/0!</v>
      </c>
      <c r="W203" s="402" t="e">
        <f t="shared" si="75"/>
        <v>#DIV/0!</v>
      </c>
      <c r="X203" s="403">
        <v>300</v>
      </c>
      <c r="Y203" s="404">
        <v>15</v>
      </c>
      <c r="Z203" s="400">
        <v>15</v>
      </c>
      <c r="AA203" s="545">
        <v>249.22044</v>
      </c>
      <c r="AB203" s="401">
        <v>183.46438000000001</v>
      </c>
      <c r="AC203" s="401">
        <v>61.896000000000001</v>
      </c>
      <c r="AD203" s="401">
        <f>40+60</f>
        <v>100</v>
      </c>
      <c r="AE203" s="401">
        <v>28.649840000000001</v>
      </c>
      <c r="AF203" s="401">
        <v>0</v>
      </c>
      <c r="AG203" s="401">
        <v>0</v>
      </c>
      <c r="AH203" s="401">
        <v>18.059899999999999</v>
      </c>
      <c r="AI203" s="401">
        <v>206.32</v>
      </c>
      <c r="AJ203" s="401">
        <v>10</v>
      </c>
      <c r="AK203" s="385" t="s">
        <v>167</v>
      </c>
      <c r="AL203" s="439" t="s">
        <v>175</v>
      </c>
      <c r="AM203" s="389"/>
      <c r="AN203" s="521">
        <v>394</v>
      </c>
      <c r="AO203" s="402">
        <f t="shared" si="64"/>
        <v>830.73479999999995</v>
      </c>
      <c r="AP203" s="402">
        <f t="shared" si="65"/>
        <v>16.614695999999999</v>
      </c>
      <c r="AQ203" s="595"/>
      <c r="AR203" s="587"/>
      <c r="AS203" s="400"/>
      <c r="AT203" s="545"/>
      <c r="AU203" s="401"/>
      <c r="AV203" s="401"/>
      <c r="AW203" s="401"/>
      <c r="AX203" s="401"/>
      <c r="AY203" s="401"/>
      <c r="AZ203" s="401"/>
      <c r="BA203" s="401"/>
      <c r="BB203" s="401"/>
      <c r="BC203" s="401"/>
      <c r="BD203" s="385"/>
      <c r="BE203" s="439"/>
      <c r="BF203" s="389"/>
      <c r="BG203" s="521"/>
      <c r="BH203" s="402" t="e">
        <f t="shared" si="72"/>
        <v>#DIV/0!</v>
      </c>
      <c r="BI203" s="402" t="e">
        <f t="shared" si="73"/>
        <v>#DIV/0!</v>
      </c>
    </row>
    <row r="204" spans="1:61" s="359" customFormat="1" ht="19.2" x14ac:dyDescent="0.3">
      <c r="A204" s="360" t="s">
        <v>604</v>
      </c>
      <c r="B204" s="543" t="s">
        <v>555</v>
      </c>
      <c r="C204" s="433" t="s">
        <v>487</v>
      </c>
      <c r="D204" s="361">
        <v>0.4</v>
      </c>
      <c r="E204" s="403"/>
      <c r="F204" s="404"/>
      <c r="G204" s="400"/>
      <c r="H204" s="401"/>
      <c r="I204" s="401"/>
      <c r="J204" s="401"/>
      <c r="K204" s="401"/>
      <c r="L204" s="401"/>
      <c r="M204" s="401"/>
      <c r="N204" s="401"/>
      <c r="O204" s="401"/>
      <c r="P204" s="401"/>
      <c r="Q204" s="401"/>
      <c r="R204" s="389"/>
      <c r="S204" s="389"/>
      <c r="T204" s="389"/>
      <c r="U204" s="521"/>
      <c r="V204" s="402" t="e">
        <f t="shared" si="74"/>
        <v>#DIV/0!</v>
      </c>
      <c r="W204" s="402" t="e">
        <f t="shared" si="75"/>
        <v>#DIV/0!</v>
      </c>
      <c r="X204" s="403">
        <v>230</v>
      </c>
      <c r="Y204" s="404">
        <v>100</v>
      </c>
      <c r="Z204" s="400">
        <v>100</v>
      </c>
      <c r="AA204" s="545">
        <v>230.95219</v>
      </c>
      <c r="AB204" s="401">
        <v>169.46630999999999</v>
      </c>
      <c r="AC204" s="401">
        <v>47.453600000000002</v>
      </c>
      <c r="AD204" s="401">
        <f>80+20</f>
        <v>100</v>
      </c>
      <c r="AE204" s="401">
        <v>25.963329999999999</v>
      </c>
      <c r="AF204" s="401">
        <v>0</v>
      </c>
      <c r="AG204" s="401">
        <v>0</v>
      </c>
      <c r="AH204" s="401">
        <v>17.062639999999998</v>
      </c>
      <c r="AI204" s="401">
        <v>206.32</v>
      </c>
      <c r="AJ204" s="401">
        <v>10</v>
      </c>
      <c r="AK204" s="385" t="s">
        <v>167</v>
      </c>
      <c r="AL204" s="439" t="s">
        <v>175</v>
      </c>
      <c r="AM204" s="389"/>
      <c r="AN204" s="521">
        <v>466</v>
      </c>
      <c r="AO204" s="402">
        <f t="shared" si="64"/>
        <v>1004.139956521739</v>
      </c>
      <c r="AP204" s="402">
        <f t="shared" si="65"/>
        <v>2.3095219</v>
      </c>
      <c r="AQ204" s="595"/>
      <c r="AR204" s="587"/>
      <c r="AS204" s="400"/>
      <c r="AT204" s="545"/>
      <c r="AU204" s="401"/>
      <c r="AV204" s="401"/>
      <c r="AW204" s="401"/>
      <c r="AX204" s="401"/>
      <c r="AY204" s="401"/>
      <c r="AZ204" s="401"/>
      <c r="BA204" s="401"/>
      <c r="BB204" s="401"/>
      <c r="BC204" s="401"/>
      <c r="BD204" s="385"/>
      <c r="BE204" s="439"/>
      <c r="BF204" s="389"/>
      <c r="BG204" s="521"/>
      <c r="BH204" s="402" t="e">
        <f t="shared" si="72"/>
        <v>#DIV/0!</v>
      </c>
      <c r="BI204" s="402" t="e">
        <f t="shared" si="73"/>
        <v>#DIV/0!</v>
      </c>
    </row>
    <row r="205" spans="1:61" s="359" customFormat="1" ht="19.2" x14ac:dyDescent="0.3">
      <c r="A205" s="360" t="s">
        <v>179</v>
      </c>
      <c r="B205" s="579" t="s">
        <v>739</v>
      </c>
      <c r="C205" s="433" t="s">
        <v>617</v>
      </c>
      <c r="D205" s="361">
        <v>0.4</v>
      </c>
      <c r="E205" s="403"/>
      <c r="F205" s="404"/>
      <c r="G205" s="400"/>
      <c r="H205" s="401"/>
      <c r="I205" s="401"/>
      <c r="J205" s="401"/>
      <c r="K205" s="401"/>
      <c r="L205" s="401"/>
      <c r="M205" s="401"/>
      <c r="N205" s="401"/>
      <c r="O205" s="401"/>
      <c r="P205" s="401"/>
      <c r="Q205" s="401"/>
      <c r="R205" s="389"/>
      <c r="S205" s="389"/>
      <c r="T205" s="389"/>
      <c r="U205" s="521"/>
      <c r="V205" s="402"/>
      <c r="W205" s="402"/>
      <c r="X205" s="403"/>
      <c r="Y205" s="404"/>
      <c r="Z205" s="400"/>
      <c r="AA205" s="401"/>
      <c r="AB205" s="401"/>
      <c r="AC205" s="401"/>
      <c r="AD205" s="401"/>
      <c r="AE205" s="401"/>
      <c r="AF205" s="401"/>
      <c r="AG205" s="401"/>
      <c r="AH205" s="401"/>
      <c r="AI205" s="401"/>
      <c r="AJ205" s="401"/>
      <c r="AK205" s="385"/>
      <c r="AL205" s="439"/>
      <c r="AM205" s="389"/>
      <c r="AN205" s="521"/>
      <c r="AO205" s="402"/>
      <c r="AP205" s="402"/>
      <c r="AQ205" s="595">
        <v>200</v>
      </c>
      <c r="AR205" s="587">
        <v>10</v>
      </c>
      <c r="AS205" s="400">
        <v>10</v>
      </c>
      <c r="AT205" s="578">
        <v>136.18547000000001</v>
      </c>
      <c r="AU205" s="401">
        <v>99.523970000000006</v>
      </c>
      <c r="AV205" s="401">
        <v>27.712</v>
      </c>
      <c r="AW205" s="401">
        <v>61.403820000000003</v>
      </c>
      <c r="AX205" s="401">
        <v>16.351279999999999</v>
      </c>
      <c r="AY205" s="401">
        <v>0</v>
      </c>
      <c r="AZ205" s="401">
        <v>0</v>
      </c>
      <c r="BA205" s="401">
        <v>9.9576700000000002</v>
      </c>
      <c r="BB205" s="401">
        <v>138.56</v>
      </c>
      <c r="BC205" s="401">
        <v>10.233969999999999</v>
      </c>
      <c r="BD205" s="385" t="s">
        <v>167</v>
      </c>
      <c r="BE205" s="439" t="s">
        <v>175</v>
      </c>
      <c r="BF205" s="389"/>
      <c r="BG205" s="521">
        <v>113</v>
      </c>
      <c r="BH205" s="402">
        <f t="shared" si="72"/>
        <v>680.92735000000005</v>
      </c>
      <c r="BI205" s="402">
        <f t="shared" si="73"/>
        <v>13.618547000000001</v>
      </c>
    </row>
    <row r="206" spans="1:61" s="359" customFormat="1" ht="19.2" x14ac:dyDescent="0.3">
      <c r="A206" s="360" t="s">
        <v>183</v>
      </c>
      <c r="B206" s="579" t="s">
        <v>757</v>
      </c>
      <c r="C206" s="433" t="s">
        <v>626</v>
      </c>
      <c r="D206" s="361">
        <v>0.4</v>
      </c>
      <c r="E206" s="403"/>
      <c r="F206" s="404"/>
      <c r="G206" s="400"/>
      <c r="H206" s="401"/>
      <c r="I206" s="401"/>
      <c r="J206" s="401"/>
      <c r="K206" s="401"/>
      <c r="L206" s="401"/>
      <c r="M206" s="401"/>
      <c r="N206" s="401"/>
      <c r="O206" s="401"/>
      <c r="P206" s="401"/>
      <c r="Q206" s="401"/>
      <c r="R206" s="389"/>
      <c r="S206" s="389"/>
      <c r="T206" s="389"/>
      <c r="U206" s="521"/>
      <c r="V206" s="402"/>
      <c r="W206" s="402"/>
      <c r="X206" s="403"/>
      <c r="Y206" s="404"/>
      <c r="Z206" s="400"/>
      <c r="AA206" s="401"/>
      <c r="AB206" s="401"/>
      <c r="AC206" s="401"/>
      <c r="AD206" s="401"/>
      <c r="AE206" s="401"/>
      <c r="AF206" s="401"/>
      <c r="AG206" s="401"/>
      <c r="AH206" s="401"/>
      <c r="AI206" s="401"/>
      <c r="AJ206" s="401"/>
      <c r="AK206" s="385"/>
      <c r="AL206" s="439"/>
      <c r="AM206" s="389"/>
      <c r="AN206" s="521"/>
      <c r="AO206" s="402"/>
      <c r="AP206" s="402"/>
      <c r="AQ206" s="595">
        <v>100</v>
      </c>
      <c r="AR206" s="587">
        <v>15</v>
      </c>
      <c r="AS206" s="400">
        <v>15</v>
      </c>
      <c r="AT206" s="578">
        <v>72.909450000000007</v>
      </c>
      <c r="AU206" s="401">
        <v>54.673859999999998</v>
      </c>
      <c r="AV206" s="401">
        <v>20.029</v>
      </c>
      <c r="AW206" s="401">
        <v>29.981310000000001</v>
      </c>
      <c r="AX206" s="401">
        <v>8.1394900000000003</v>
      </c>
      <c r="AY206" s="401">
        <v>0</v>
      </c>
      <c r="AZ206" s="401">
        <v>0</v>
      </c>
      <c r="BA206" s="401">
        <v>4.9489000000000001</v>
      </c>
      <c r="BB206" s="401">
        <v>200.29</v>
      </c>
      <c r="BC206" s="401">
        <v>9.9937699999999996</v>
      </c>
      <c r="BD206" s="385" t="s">
        <v>167</v>
      </c>
      <c r="BE206" s="439" t="s">
        <v>175</v>
      </c>
      <c r="BF206" s="389"/>
      <c r="BG206" s="521">
        <v>195</v>
      </c>
      <c r="BH206" s="402">
        <f t="shared" si="72"/>
        <v>729.09450000000004</v>
      </c>
      <c r="BI206" s="402">
        <f t="shared" si="73"/>
        <v>4.8606300000000005</v>
      </c>
    </row>
    <row r="207" spans="1:61" s="359" customFormat="1" ht="19.2" x14ac:dyDescent="0.3">
      <c r="A207" s="360" t="s">
        <v>185</v>
      </c>
      <c r="B207" s="579" t="s">
        <v>762</v>
      </c>
      <c r="C207" s="433" t="s">
        <v>627</v>
      </c>
      <c r="D207" s="361">
        <v>0.4</v>
      </c>
      <c r="E207" s="403"/>
      <c r="F207" s="404"/>
      <c r="G207" s="400"/>
      <c r="H207" s="401"/>
      <c r="I207" s="401"/>
      <c r="J207" s="401"/>
      <c r="K207" s="401"/>
      <c r="L207" s="401"/>
      <c r="M207" s="401"/>
      <c r="N207" s="401"/>
      <c r="O207" s="401"/>
      <c r="P207" s="401"/>
      <c r="Q207" s="401"/>
      <c r="R207" s="389"/>
      <c r="S207" s="389"/>
      <c r="T207" s="389"/>
      <c r="U207" s="521"/>
      <c r="V207" s="402"/>
      <c r="W207" s="402"/>
      <c r="X207" s="403"/>
      <c r="Y207" s="404"/>
      <c r="Z207" s="400"/>
      <c r="AA207" s="401"/>
      <c r="AB207" s="401"/>
      <c r="AC207" s="401"/>
      <c r="AD207" s="401"/>
      <c r="AE207" s="401"/>
      <c r="AF207" s="401"/>
      <c r="AG207" s="401"/>
      <c r="AH207" s="401"/>
      <c r="AI207" s="401"/>
      <c r="AJ207" s="401"/>
      <c r="AK207" s="385"/>
      <c r="AL207" s="439"/>
      <c r="AM207" s="389"/>
      <c r="AN207" s="521"/>
      <c r="AO207" s="402"/>
      <c r="AP207" s="402"/>
      <c r="AQ207" s="595">
        <f>200+100</f>
        <v>300</v>
      </c>
      <c r="AR207" s="587">
        <v>80</v>
      </c>
      <c r="AS207" s="400">
        <v>80</v>
      </c>
      <c r="AT207" s="578">
        <v>191.41290000000001</v>
      </c>
      <c r="AU207" s="401">
        <v>134.17761999999999</v>
      </c>
      <c r="AV207" s="401">
        <f>40.726+20.029</f>
        <v>60.754999999999995</v>
      </c>
      <c r="AW207" s="401">
        <f>40.32744+19.89084</f>
        <v>60.218280000000007</v>
      </c>
      <c r="AX207" s="401">
        <v>20.818000000000001</v>
      </c>
      <c r="AY207" s="401">
        <v>10.8</v>
      </c>
      <c r="AZ207" s="401">
        <v>0</v>
      </c>
      <c r="BA207" s="401">
        <v>12.64198</v>
      </c>
      <c r="BB207" s="401">
        <v>203.63</v>
      </c>
      <c r="BC207" s="401">
        <v>10.081860000000001</v>
      </c>
      <c r="BD207" s="385" t="s">
        <v>167</v>
      </c>
      <c r="BE207" s="439" t="s">
        <v>175</v>
      </c>
      <c r="BF207" s="389"/>
      <c r="BG207" s="521">
        <v>220</v>
      </c>
      <c r="BH207" s="402">
        <f t="shared" si="72"/>
        <v>638.04300000000001</v>
      </c>
      <c r="BI207" s="402">
        <f t="shared" si="73"/>
        <v>2.3926612500000002</v>
      </c>
    </row>
    <row r="208" spans="1:61" s="359" customFormat="1" ht="19.2" x14ac:dyDescent="0.3">
      <c r="A208" s="360" t="s">
        <v>187</v>
      </c>
      <c r="B208" s="579" t="s">
        <v>763</v>
      </c>
      <c r="C208" s="433" t="s">
        <v>654</v>
      </c>
      <c r="D208" s="361">
        <v>0.4</v>
      </c>
      <c r="E208" s="403"/>
      <c r="F208" s="404"/>
      <c r="G208" s="400"/>
      <c r="H208" s="401"/>
      <c r="I208" s="401"/>
      <c r="J208" s="401"/>
      <c r="K208" s="401"/>
      <c r="L208" s="401"/>
      <c r="M208" s="401"/>
      <c r="N208" s="401"/>
      <c r="O208" s="401"/>
      <c r="P208" s="401"/>
      <c r="Q208" s="401"/>
      <c r="R208" s="389"/>
      <c r="S208" s="389"/>
      <c r="T208" s="389"/>
      <c r="U208" s="521"/>
      <c r="V208" s="402"/>
      <c r="W208" s="402"/>
      <c r="X208" s="403"/>
      <c r="Y208" s="404"/>
      <c r="Z208" s="400"/>
      <c r="AA208" s="401"/>
      <c r="AB208" s="401"/>
      <c r="AC208" s="401"/>
      <c r="AD208" s="401"/>
      <c r="AE208" s="401"/>
      <c r="AF208" s="401"/>
      <c r="AG208" s="401"/>
      <c r="AH208" s="401"/>
      <c r="AI208" s="401"/>
      <c r="AJ208" s="401"/>
      <c r="AK208" s="385"/>
      <c r="AL208" s="439"/>
      <c r="AM208" s="389"/>
      <c r="AN208" s="521"/>
      <c r="AO208" s="402"/>
      <c r="AP208" s="402"/>
      <c r="AQ208" s="595">
        <v>760</v>
      </c>
      <c r="AR208" s="587">
        <v>15</v>
      </c>
      <c r="AS208" s="400">
        <v>15</v>
      </c>
      <c r="AT208" s="578">
        <v>674.72634000000005</v>
      </c>
      <c r="AU208" s="401">
        <v>504.83424000000002</v>
      </c>
      <c r="AV208" s="401">
        <v>156.21039999999999</v>
      </c>
      <c r="AW208" s="401">
        <f>39.5162+217.3391+29.63715</f>
        <v>286.49245000000002</v>
      </c>
      <c r="AX208" s="401">
        <v>76.629339999999999</v>
      </c>
      <c r="AY208" s="401">
        <v>0</v>
      </c>
      <c r="AZ208" s="401">
        <v>0</v>
      </c>
      <c r="BA208" s="401">
        <v>45.747689999999999</v>
      </c>
      <c r="BB208" s="401">
        <v>205.54</v>
      </c>
      <c r="BC208" s="401">
        <v>9.8790499999999994</v>
      </c>
      <c r="BD208" s="385" t="s">
        <v>167</v>
      </c>
      <c r="BE208" s="439" t="s">
        <v>175</v>
      </c>
      <c r="BF208" s="389"/>
      <c r="BG208" s="521" t="s">
        <v>1106</v>
      </c>
      <c r="BH208" s="402">
        <f t="shared" si="72"/>
        <v>887.7978157894737</v>
      </c>
      <c r="BI208" s="402">
        <f t="shared" si="73"/>
        <v>44.981756000000004</v>
      </c>
    </row>
    <row r="209" spans="1:61" s="359" customFormat="1" ht="19.2" x14ac:dyDescent="0.3">
      <c r="A209" s="360" t="s">
        <v>190</v>
      </c>
      <c r="B209" s="579" t="s">
        <v>764</v>
      </c>
      <c r="C209" s="433" t="s">
        <v>665</v>
      </c>
      <c r="D209" s="361">
        <v>0.4</v>
      </c>
      <c r="E209" s="403"/>
      <c r="F209" s="404"/>
      <c r="G209" s="400"/>
      <c r="H209" s="401"/>
      <c r="I209" s="401"/>
      <c r="J209" s="401"/>
      <c r="K209" s="401"/>
      <c r="L209" s="401"/>
      <c r="M209" s="401"/>
      <c r="N209" s="401"/>
      <c r="O209" s="401"/>
      <c r="P209" s="401"/>
      <c r="Q209" s="401"/>
      <c r="R209" s="389"/>
      <c r="S209" s="389"/>
      <c r="T209" s="389"/>
      <c r="U209" s="521"/>
      <c r="V209" s="402"/>
      <c r="W209" s="402"/>
      <c r="X209" s="403"/>
      <c r="Y209" s="404"/>
      <c r="Z209" s="400"/>
      <c r="AA209" s="401"/>
      <c r="AB209" s="401"/>
      <c r="AC209" s="401"/>
      <c r="AD209" s="401"/>
      <c r="AE209" s="401"/>
      <c r="AF209" s="401"/>
      <c r="AG209" s="401"/>
      <c r="AH209" s="401"/>
      <c r="AI209" s="401"/>
      <c r="AJ209" s="401"/>
      <c r="AK209" s="385"/>
      <c r="AL209" s="439"/>
      <c r="AM209" s="389"/>
      <c r="AN209" s="521"/>
      <c r="AO209" s="402"/>
      <c r="AP209" s="402"/>
      <c r="AQ209" s="595">
        <v>250</v>
      </c>
      <c r="AR209" s="587">
        <v>15</v>
      </c>
      <c r="AS209" s="400">
        <v>15</v>
      </c>
      <c r="AT209" s="578">
        <v>282.33305000000001</v>
      </c>
      <c r="AU209" s="401">
        <v>213.10551000000001</v>
      </c>
      <c r="AV209" s="401">
        <v>51.384999999999998</v>
      </c>
      <c r="AW209" s="401">
        <f>39.47392+98.6848</f>
        <v>138.15871999999999</v>
      </c>
      <c r="AX209" s="401">
        <v>32.118749999999999</v>
      </c>
      <c r="AY209" s="401">
        <v>0</v>
      </c>
      <c r="AZ209" s="401">
        <v>0</v>
      </c>
      <c r="BA209" s="401">
        <v>18.374510000000001</v>
      </c>
      <c r="BB209" s="401">
        <v>205.54</v>
      </c>
      <c r="BC209" s="401">
        <v>9.8684799999999999</v>
      </c>
      <c r="BD209" s="385" t="s">
        <v>167</v>
      </c>
      <c r="BE209" s="439" t="s">
        <v>175</v>
      </c>
      <c r="BF209" s="389"/>
      <c r="BG209" s="521">
        <v>227</v>
      </c>
      <c r="BH209" s="402">
        <f t="shared" si="72"/>
        <v>1129.3322000000001</v>
      </c>
      <c r="BI209" s="402">
        <f t="shared" si="73"/>
        <v>18.822203333333334</v>
      </c>
    </row>
    <row r="210" spans="1:61" s="359" customFormat="1" ht="19.2" x14ac:dyDescent="0.3">
      <c r="A210" s="360" t="s">
        <v>598</v>
      </c>
      <c r="B210" s="579" t="s">
        <v>765</v>
      </c>
      <c r="C210" s="433" t="s">
        <v>668</v>
      </c>
      <c r="D210" s="361">
        <v>0.4</v>
      </c>
      <c r="E210" s="403"/>
      <c r="F210" s="404"/>
      <c r="G210" s="400"/>
      <c r="H210" s="401"/>
      <c r="I210" s="401"/>
      <c r="J210" s="401"/>
      <c r="K210" s="401"/>
      <c r="L210" s="401"/>
      <c r="M210" s="401"/>
      <c r="N210" s="401"/>
      <c r="O210" s="401"/>
      <c r="P210" s="401"/>
      <c r="Q210" s="401"/>
      <c r="R210" s="389"/>
      <c r="S210" s="389"/>
      <c r="T210" s="389"/>
      <c r="U210" s="521"/>
      <c r="V210" s="402"/>
      <c r="W210" s="402"/>
      <c r="X210" s="403"/>
      <c r="Y210" s="404"/>
      <c r="Z210" s="400"/>
      <c r="AA210" s="401"/>
      <c r="AB210" s="401"/>
      <c r="AC210" s="401"/>
      <c r="AD210" s="401"/>
      <c r="AE210" s="401"/>
      <c r="AF210" s="401"/>
      <c r="AG210" s="401"/>
      <c r="AH210" s="401"/>
      <c r="AI210" s="401"/>
      <c r="AJ210" s="401"/>
      <c r="AK210" s="385"/>
      <c r="AL210" s="439"/>
      <c r="AM210" s="389"/>
      <c r="AN210" s="521"/>
      <c r="AO210" s="402"/>
      <c r="AP210" s="402"/>
      <c r="AQ210" s="595">
        <v>310</v>
      </c>
      <c r="AR210" s="587">
        <v>15</v>
      </c>
      <c r="AS210" s="400">
        <v>15</v>
      </c>
      <c r="AT210" s="578">
        <v>269.09057999999999</v>
      </c>
      <c r="AU210" s="401">
        <v>198.79783</v>
      </c>
      <c r="AV210" s="401">
        <v>63.717399999999998</v>
      </c>
      <c r="AW210" s="401">
        <v>118.42176000000001</v>
      </c>
      <c r="AX210" s="401">
        <v>31.211490000000001</v>
      </c>
      <c r="AY210" s="401">
        <v>0</v>
      </c>
      <c r="AZ210" s="401">
        <v>0</v>
      </c>
      <c r="BA210" s="401">
        <v>19.037559999999999</v>
      </c>
      <c r="BB210" s="401">
        <v>205.54</v>
      </c>
      <c r="BC210" s="401">
        <v>9.8684799999999999</v>
      </c>
      <c r="BD210" s="385" t="s">
        <v>167</v>
      </c>
      <c r="BE210" s="439" t="s">
        <v>175</v>
      </c>
      <c r="BF210" s="389"/>
      <c r="BG210" s="521">
        <v>243</v>
      </c>
      <c r="BH210" s="402">
        <f t="shared" si="72"/>
        <v>868.03412903225808</v>
      </c>
      <c r="BI210" s="402">
        <f t="shared" si="73"/>
        <v>17.939371999999999</v>
      </c>
    </row>
    <row r="211" spans="1:61" s="359" customFormat="1" ht="19.2" x14ac:dyDescent="0.3">
      <c r="A211" s="360" t="s">
        <v>599</v>
      </c>
      <c r="B211" s="579" t="s">
        <v>766</v>
      </c>
      <c r="C211" s="433" t="s">
        <v>669</v>
      </c>
      <c r="D211" s="361">
        <v>0.4</v>
      </c>
      <c r="E211" s="403"/>
      <c r="F211" s="404"/>
      <c r="G211" s="400"/>
      <c r="H211" s="401"/>
      <c r="I211" s="401"/>
      <c r="J211" s="401"/>
      <c r="K211" s="401"/>
      <c r="L211" s="401"/>
      <c r="M211" s="401"/>
      <c r="N211" s="401"/>
      <c r="O211" s="401"/>
      <c r="P211" s="401"/>
      <c r="Q211" s="401"/>
      <c r="R211" s="389"/>
      <c r="S211" s="389"/>
      <c r="T211" s="389"/>
      <c r="U211" s="521"/>
      <c r="V211" s="402"/>
      <c r="W211" s="402"/>
      <c r="X211" s="403"/>
      <c r="Y211" s="404"/>
      <c r="Z211" s="400"/>
      <c r="AA211" s="401"/>
      <c r="AB211" s="401"/>
      <c r="AC211" s="401"/>
      <c r="AD211" s="401"/>
      <c r="AE211" s="401"/>
      <c r="AF211" s="401"/>
      <c r="AG211" s="401"/>
      <c r="AH211" s="401"/>
      <c r="AI211" s="401"/>
      <c r="AJ211" s="401"/>
      <c r="AK211" s="385"/>
      <c r="AL211" s="439"/>
      <c r="AM211" s="389"/>
      <c r="AN211" s="521"/>
      <c r="AO211" s="402"/>
      <c r="AP211" s="402"/>
      <c r="AQ211" s="595">
        <v>500</v>
      </c>
      <c r="AR211" s="587">
        <v>15</v>
      </c>
      <c r="AS211" s="400">
        <v>15</v>
      </c>
      <c r="AT211" s="578">
        <v>424.44402000000002</v>
      </c>
      <c r="AU211" s="401">
        <v>315.71537999999998</v>
      </c>
      <c r="AV211" s="401">
        <v>102.77</v>
      </c>
      <c r="AW211" s="401">
        <f>118.36056+59.18028</f>
        <v>177.54084</v>
      </c>
      <c r="AX211" s="401">
        <v>49.179900000000004</v>
      </c>
      <c r="AY211" s="401">
        <v>0</v>
      </c>
      <c r="AZ211" s="401">
        <v>0</v>
      </c>
      <c r="BA211" s="401">
        <v>29.11692</v>
      </c>
      <c r="BB211" s="401">
        <v>205.54</v>
      </c>
      <c r="BC211" s="401">
        <v>9.8633799999999994</v>
      </c>
      <c r="BD211" s="385" t="s">
        <v>167</v>
      </c>
      <c r="BE211" s="439" t="s">
        <v>175</v>
      </c>
      <c r="BF211" s="389"/>
      <c r="BG211" s="521">
        <v>248</v>
      </c>
      <c r="BH211" s="402">
        <f t="shared" si="72"/>
        <v>848.88804000000005</v>
      </c>
      <c r="BI211" s="402">
        <f t="shared" si="73"/>
        <v>28.296268000000001</v>
      </c>
    </row>
    <row r="212" spans="1:61" s="359" customFormat="1" ht="19.2" x14ac:dyDescent="0.3">
      <c r="A212" s="360" t="s">
        <v>600</v>
      </c>
      <c r="B212" s="579" t="s">
        <v>767</v>
      </c>
      <c r="C212" s="433" t="s">
        <v>670</v>
      </c>
      <c r="D212" s="361">
        <v>0.4</v>
      </c>
      <c r="E212" s="403"/>
      <c r="F212" s="404"/>
      <c r="G212" s="400"/>
      <c r="H212" s="401"/>
      <c r="I212" s="401"/>
      <c r="J212" s="401"/>
      <c r="K212" s="401"/>
      <c r="L212" s="401"/>
      <c r="M212" s="401"/>
      <c r="N212" s="401"/>
      <c r="O212" s="401"/>
      <c r="P212" s="401"/>
      <c r="Q212" s="401"/>
      <c r="R212" s="389"/>
      <c r="S212" s="389"/>
      <c r="T212" s="389"/>
      <c r="U212" s="521"/>
      <c r="V212" s="402"/>
      <c r="W212" s="402"/>
      <c r="X212" s="403"/>
      <c r="Y212" s="404"/>
      <c r="Z212" s="400"/>
      <c r="AA212" s="401"/>
      <c r="AB212" s="401"/>
      <c r="AC212" s="401"/>
      <c r="AD212" s="401"/>
      <c r="AE212" s="401"/>
      <c r="AF212" s="401"/>
      <c r="AG212" s="401"/>
      <c r="AH212" s="401"/>
      <c r="AI212" s="401"/>
      <c r="AJ212" s="401"/>
      <c r="AK212" s="385"/>
      <c r="AL212" s="439"/>
      <c r="AM212" s="389"/>
      <c r="AN212" s="521"/>
      <c r="AO212" s="402"/>
      <c r="AP212" s="402"/>
      <c r="AQ212" s="595">
        <v>306</v>
      </c>
      <c r="AR212" s="587">
        <v>15</v>
      </c>
      <c r="AS212" s="400">
        <v>15</v>
      </c>
      <c r="AT212" s="578">
        <v>351.03877999999997</v>
      </c>
      <c r="AU212" s="401">
        <v>262.76884999999999</v>
      </c>
      <c r="AV212" s="401">
        <v>62.895240000000001</v>
      </c>
      <c r="AW212" s="401">
        <f>39.45352+118.36056</f>
        <v>157.81407999999999</v>
      </c>
      <c r="AX212" s="401">
        <v>40.87424</v>
      </c>
      <c r="AY212" s="401">
        <v>0</v>
      </c>
      <c r="AZ212" s="401">
        <v>0</v>
      </c>
      <c r="BA212" s="401">
        <v>23.249089999999999</v>
      </c>
      <c r="BB212" s="401">
        <v>205.54</v>
      </c>
      <c r="BC212" s="401">
        <v>9.8633799999999994</v>
      </c>
      <c r="BD212" s="385" t="s">
        <v>167</v>
      </c>
      <c r="BE212" s="439" t="s">
        <v>175</v>
      </c>
      <c r="BF212" s="389"/>
      <c r="BG212" s="521">
        <v>252</v>
      </c>
      <c r="BH212" s="402">
        <f t="shared" si="72"/>
        <v>1147.1855555555555</v>
      </c>
      <c r="BI212" s="402">
        <f t="shared" si="73"/>
        <v>23.402585333333331</v>
      </c>
    </row>
    <row r="213" spans="1:61" s="359" customFormat="1" ht="19.2" x14ac:dyDescent="0.3">
      <c r="A213" s="360" t="s">
        <v>601</v>
      </c>
      <c r="B213" s="579" t="s">
        <v>716</v>
      </c>
      <c r="C213" s="433" t="s">
        <v>677</v>
      </c>
      <c r="D213" s="361">
        <v>0.4</v>
      </c>
      <c r="E213" s="403"/>
      <c r="F213" s="404"/>
      <c r="G213" s="400"/>
      <c r="H213" s="401"/>
      <c r="I213" s="401"/>
      <c r="J213" s="401"/>
      <c r="K213" s="401"/>
      <c r="L213" s="401"/>
      <c r="M213" s="401"/>
      <c r="N213" s="401"/>
      <c r="O213" s="401"/>
      <c r="P213" s="401"/>
      <c r="Q213" s="401"/>
      <c r="R213" s="389"/>
      <c r="S213" s="389"/>
      <c r="T213" s="389"/>
      <c r="U213" s="521"/>
      <c r="V213" s="402"/>
      <c r="W213" s="402"/>
      <c r="X213" s="403"/>
      <c r="Y213" s="404"/>
      <c r="Z213" s="400"/>
      <c r="AA213" s="401"/>
      <c r="AB213" s="401"/>
      <c r="AC213" s="401"/>
      <c r="AD213" s="401"/>
      <c r="AE213" s="401"/>
      <c r="AF213" s="401"/>
      <c r="AG213" s="401"/>
      <c r="AH213" s="401"/>
      <c r="AI213" s="401"/>
      <c r="AJ213" s="401"/>
      <c r="AK213" s="385"/>
      <c r="AL213" s="439"/>
      <c r="AM213" s="389"/>
      <c r="AN213" s="521"/>
      <c r="AO213" s="402"/>
      <c r="AP213" s="402"/>
      <c r="AQ213" s="595">
        <v>160</v>
      </c>
      <c r="AR213" s="587">
        <v>15</v>
      </c>
      <c r="AS213" s="400">
        <v>15</v>
      </c>
      <c r="AT213" s="578">
        <v>141.52011999999999</v>
      </c>
      <c r="AU213" s="401">
        <v>105.70689</v>
      </c>
      <c r="AV213" s="401">
        <v>32.887999999999998</v>
      </c>
      <c r="AW213" s="401">
        <f>39.4538+19.7269</f>
        <v>59.180700000000002</v>
      </c>
      <c r="AX213" s="401">
        <v>16.210509999999999</v>
      </c>
      <c r="AY213" s="401">
        <v>0</v>
      </c>
      <c r="AZ213" s="401">
        <v>0</v>
      </c>
      <c r="BA213" s="401">
        <v>9.5832499999999996</v>
      </c>
      <c r="BB213" s="401">
        <v>205.55</v>
      </c>
      <c r="BC213" s="401">
        <v>9.8634500000000003</v>
      </c>
      <c r="BD213" s="385" t="s">
        <v>167</v>
      </c>
      <c r="BE213" s="439" t="s">
        <v>175</v>
      </c>
      <c r="BF213" s="389"/>
      <c r="BG213" s="521">
        <v>20</v>
      </c>
      <c r="BH213" s="402">
        <f t="shared" si="72"/>
        <v>884.50074999999993</v>
      </c>
      <c r="BI213" s="402">
        <f t="shared" si="73"/>
        <v>9.4346746666666661</v>
      </c>
    </row>
    <row r="214" spans="1:61" s="359" customFormat="1" ht="19.2" x14ac:dyDescent="0.3">
      <c r="A214" s="360" t="s">
        <v>602</v>
      </c>
      <c r="B214" s="579" t="s">
        <v>749</v>
      </c>
      <c r="C214" s="433" t="s">
        <v>678</v>
      </c>
      <c r="D214" s="361">
        <v>0.4</v>
      </c>
      <c r="E214" s="403"/>
      <c r="F214" s="404"/>
      <c r="G214" s="400"/>
      <c r="H214" s="401"/>
      <c r="I214" s="401"/>
      <c r="J214" s="401"/>
      <c r="K214" s="401"/>
      <c r="L214" s="401"/>
      <c r="M214" s="401"/>
      <c r="N214" s="401"/>
      <c r="O214" s="401"/>
      <c r="P214" s="401"/>
      <c r="Q214" s="401"/>
      <c r="R214" s="389"/>
      <c r="S214" s="389"/>
      <c r="T214" s="389"/>
      <c r="U214" s="521"/>
      <c r="V214" s="402"/>
      <c r="W214" s="402"/>
      <c r="X214" s="403"/>
      <c r="Y214" s="404"/>
      <c r="Z214" s="400"/>
      <c r="AA214" s="401"/>
      <c r="AB214" s="401"/>
      <c r="AC214" s="401"/>
      <c r="AD214" s="401"/>
      <c r="AE214" s="401"/>
      <c r="AF214" s="401"/>
      <c r="AG214" s="401"/>
      <c r="AH214" s="401"/>
      <c r="AI214" s="401"/>
      <c r="AJ214" s="401"/>
      <c r="AK214" s="385"/>
      <c r="AL214" s="439"/>
      <c r="AM214" s="389"/>
      <c r="AN214" s="521"/>
      <c r="AO214" s="402"/>
      <c r="AP214" s="402"/>
      <c r="AQ214" s="595">
        <v>175</v>
      </c>
      <c r="AR214" s="587">
        <v>15</v>
      </c>
      <c r="AS214" s="400">
        <v>15</v>
      </c>
      <c r="AT214" s="578">
        <v>248.87592000000001</v>
      </c>
      <c r="AU214" s="401">
        <v>182.20779999999999</v>
      </c>
      <c r="AV214" s="401">
        <v>35.97475</v>
      </c>
      <c r="AW214" s="401">
        <f>69.05108+49.3222</f>
        <v>118.37327999999999</v>
      </c>
      <c r="AX214" s="401">
        <v>30.654630000000001</v>
      </c>
      <c r="AY214" s="401">
        <v>0</v>
      </c>
      <c r="AZ214" s="401">
        <v>0</v>
      </c>
      <c r="BA214" s="401">
        <v>17.589490000000001</v>
      </c>
      <c r="BB214" s="401">
        <v>205.57</v>
      </c>
      <c r="BC214" s="401">
        <v>9.8644400000000001</v>
      </c>
      <c r="BD214" s="385" t="s">
        <v>167</v>
      </c>
      <c r="BE214" s="439" t="s">
        <v>175</v>
      </c>
      <c r="BF214" s="389"/>
      <c r="BG214" s="521">
        <v>158</v>
      </c>
      <c r="BH214" s="402">
        <f t="shared" si="72"/>
        <v>1422.1481142857144</v>
      </c>
      <c r="BI214" s="402">
        <f t="shared" si="73"/>
        <v>16.591728</v>
      </c>
    </row>
    <row r="215" spans="1:61" s="359" customFormat="1" ht="19.2" x14ac:dyDescent="0.3">
      <c r="A215" s="360" t="s">
        <v>603</v>
      </c>
      <c r="B215" s="579" t="s">
        <v>768</v>
      </c>
      <c r="C215" s="433" t="s">
        <v>679</v>
      </c>
      <c r="D215" s="361">
        <v>0.4</v>
      </c>
      <c r="E215" s="403"/>
      <c r="F215" s="404"/>
      <c r="G215" s="400"/>
      <c r="H215" s="401"/>
      <c r="I215" s="401"/>
      <c r="J215" s="401"/>
      <c r="K215" s="401"/>
      <c r="L215" s="401"/>
      <c r="M215" s="401"/>
      <c r="N215" s="401"/>
      <c r="O215" s="401"/>
      <c r="P215" s="401"/>
      <c r="Q215" s="401"/>
      <c r="R215" s="389"/>
      <c r="S215" s="389"/>
      <c r="T215" s="389"/>
      <c r="U215" s="521"/>
      <c r="V215" s="402"/>
      <c r="W215" s="402"/>
      <c r="X215" s="403"/>
      <c r="Y215" s="404"/>
      <c r="Z215" s="400"/>
      <c r="AA215" s="401"/>
      <c r="AB215" s="401"/>
      <c r="AC215" s="401"/>
      <c r="AD215" s="401"/>
      <c r="AE215" s="401"/>
      <c r="AF215" s="401"/>
      <c r="AG215" s="401"/>
      <c r="AH215" s="401"/>
      <c r="AI215" s="401"/>
      <c r="AJ215" s="401"/>
      <c r="AK215" s="385"/>
      <c r="AL215" s="439"/>
      <c r="AM215" s="389"/>
      <c r="AN215" s="521"/>
      <c r="AO215" s="402"/>
      <c r="AP215" s="402"/>
      <c r="AQ215" s="595">
        <v>130</v>
      </c>
      <c r="AR215" s="587">
        <v>100</v>
      </c>
      <c r="AS215" s="400">
        <v>100</v>
      </c>
      <c r="AT215" s="578">
        <v>159.26045999999999</v>
      </c>
      <c r="AU215" s="401">
        <v>116.9345</v>
      </c>
      <c r="AV215" s="401">
        <v>26.721499999999999</v>
      </c>
      <c r="AW215" s="401">
        <f>59.18664+19.72888</f>
        <v>78.915520000000001</v>
      </c>
      <c r="AX215" s="401">
        <v>19.23368</v>
      </c>
      <c r="AY215" s="401">
        <v>0</v>
      </c>
      <c r="AZ215" s="401">
        <v>0</v>
      </c>
      <c r="BA215" s="401">
        <v>11.25694</v>
      </c>
      <c r="BB215" s="401">
        <v>205.55</v>
      </c>
      <c r="BC215" s="401">
        <v>9.8644400000000001</v>
      </c>
      <c r="BD215" s="385" t="s">
        <v>167</v>
      </c>
      <c r="BE215" s="439" t="s">
        <v>175</v>
      </c>
      <c r="BF215" s="389"/>
      <c r="BG215" s="521">
        <v>256</v>
      </c>
      <c r="BH215" s="402">
        <f t="shared" si="72"/>
        <v>1225.0804615384613</v>
      </c>
      <c r="BI215" s="402">
        <f t="shared" si="73"/>
        <v>1.5926046</v>
      </c>
    </row>
    <row r="216" spans="1:61" s="359" customFormat="1" ht="19.2" x14ac:dyDescent="0.3">
      <c r="A216" s="360" t="s">
        <v>604</v>
      </c>
      <c r="B216" s="579" t="s">
        <v>769</v>
      </c>
      <c r="C216" s="433" t="s">
        <v>684</v>
      </c>
      <c r="D216" s="361">
        <v>0.4</v>
      </c>
      <c r="E216" s="403"/>
      <c r="F216" s="404"/>
      <c r="G216" s="400"/>
      <c r="H216" s="401"/>
      <c r="I216" s="401"/>
      <c r="J216" s="401"/>
      <c r="K216" s="401"/>
      <c r="L216" s="401"/>
      <c r="M216" s="401"/>
      <c r="N216" s="401"/>
      <c r="O216" s="401"/>
      <c r="P216" s="401"/>
      <c r="Q216" s="401"/>
      <c r="R216" s="389"/>
      <c r="S216" s="389"/>
      <c r="T216" s="389"/>
      <c r="U216" s="521"/>
      <c r="V216" s="402"/>
      <c r="W216" s="402"/>
      <c r="X216" s="403"/>
      <c r="Y216" s="404"/>
      <c r="Z216" s="400"/>
      <c r="AA216" s="401"/>
      <c r="AB216" s="401"/>
      <c r="AC216" s="401"/>
      <c r="AD216" s="401"/>
      <c r="AE216" s="401"/>
      <c r="AF216" s="401"/>
      <c r="AG216" s="401"/>
      <c r="AH216" s="401"/>
      <c r="AI216" s="401"/>
      <c r="AJ216" s="401"/>
      <c r="AK216" s="385"/>
      <c r="AL216" s="439"/>
      <c r="AM216" s="389"/>
      <c r="AN216" s="521"/>
      <c r="AO216" s="402"/>
      <c r="AP216" s="402"/>
      <c r="AQ216" s="595">
        <v>300</v>
      </c>
      <c r="AR216" s="587">
        <v>15</v>
      </c>
      <c r="AS216" s="400">
        <v>15</v>
      </c>
      <c r="AT216" s="578">
        <v>316.39456000000001</v>
      </c>
      <c r="AU216" s="401">
        <v>232.73438999999999</v>
      </c>
      <c r="AV216" s="401">
        <v>61.670999999999999</v>
      </c>
      <c r="AW216" s="401">
        <f>29.58966+118.35864</f>
        <v>147.94829999999999</v>
      </c>
      <c r="AX216" s="401">
        <v>38.78687</v>
      </c>
      <c r="AY216" s="401">
        <v>0</v>
      </c>
      <c r="AZ216" s="401">
        <v>0</v>
      </c>
      <c r="BA216" s="401">
        <v>22.026720000000001</v>
      </c>
      <c r="BB216" s="401">
        <v>205.57</v>
      </c>
      <c r="BC216" s="401">
        <v>9.8632200000000001</v>
      </c>
      <c r="BD216" s="385" t="s">
        <v>167</v>
      </c>
      <c r="BE216" s="439" t="s">
        <v>175</v>
      </c>
      <c r="BF216" s="389"/>
      <c r="BG216" s="521">
        <v>264</v>
      </c>
      <c r="BH216" s="402">
        <f t="shared" si="72"/>
        <v>1054.6485333333333</v>
      </c>
      <c r="BI216" s="402">
        <f t="shared" si="73"/>
        <v>21.092970666666666</v>
      </c>
    </row>
    <row r="217" spans="1:61" s="359" customFormat="1" ht="19.2" x14ac:dyDescent="0.3">
      <c r="A217" s="360" t="s">
        <v>605</v>
      </c>
      <c r="B217" s="579" t="s">
        <v>770</v>
      </c>
      <c r="C217" s="433" t="s">
        <v>685</v>
      </c>
      <c r="D217" s="361">
        <v>0.4</v>
      </c>
      <c r="E217" s="403"/>
      <c r="F217" s="404"/>
      <c r="G217" s="400"/>
      <c r="H217" s="401"/>
      <c r="I217" s="401"/>
      <c r="J217" s="401"/>
      <c r="K217" s="401"/>
      <c r="L217" s="401"/>
      <c r="M217" s="401"/>
      <c r="N217" s="401"/>
      <c r="O217" s="401"/>
      <c r="P217" s="401"/>
      <c r="Q217" s="401"/>
      <c r="R217" s="389"/>
      <c r="S217" s="389"/>
      <c r="T217" s="389"/>
      <c r="U217" s="521"/>
      <c r="V217" s="402"/>
      <c r="W217" s="402"/>
      <c r="X217" s="403"/>
      <c r="Y217" s="404"/>
      <c r="Z217" s="400"/>
      <c r="AA217" s="401"/>
      <c r="AB217" s="401"/>
      <c r="AC217" s="401"/>
      <c r="AD217" s="401"/>
      <c r="AE217" s="401"/>
      <c r="AF217" s="401"/>
      <c r="AG217" s="401"/>
      <c r="AH217" s="401"/>
      <c r="AI217" s="401"/>
      <c r="AJ217" s="401"/>
      <c r="AK217" s="385"/>
      <c r="AL217" s="439"/>
      <c r="AM217" s="389"/>
      <c r="AN217" s="521"/>
      <c r="AO217" s="402"/>
      <c r="AP217" s="402"/>
      <c r="AQ217" s="595">
        <v>220</v>
      </c>
      <c r="AR217" s="587">
        <v>100</v>
      </c>
      <c r="AS217" s="400">
        <v>100</v>
      </c>
      <c r="AT217" s="578">
        <v>194.06281999999999</v>
      </c>
      <c r="AU217" s="401">
        <v>145.93665999999999</v>
      </c>
      <c r="AV217" s="401">
        <v>45.2254</v>
      </c>
      <c r="AW217" s="401">
        <f>59.17932+19.72644</f>
        <v>78.905760000000001</v>
      </c>
      <c r="AX217" s="401">
        <v>21.701329999999999</v>
      </c>
      <c r="AY217" s="401">
        <v>0</v>
      </c>
      <c r="AZ217" s="401">
        <v>0</v>
      </c>
      <c r="BA217" s="401">
        <v>12.90916</v>
      </c>
      <c r="BB217" s="401">
        <v>205.57</v>
      </c>
      <c r="BC217" s="401">
        <v>9.8632200000000001</v>
      </c>
      <c r="BD217" s="385" t="s">
        <v>167</v>
      </c>
      <c r="BE217" s="439" t="s">
        <v>175</v>
      </c>
      <c r="BF217" s="389"/>
      <c r="BG217" s="521">
        <v>268</v>
      </c>
      <c r="BH217" s="402">
        <f t="shared" si="72"/>
        <v>882.10372727272727</v>
      </c>
      <c r="BI217" s="402">
        <f t="shared" si="73"/>
        <v>1.9406281999999999</v>
      </c>
    </row>
    <row r="218" spans="1:61" s="359" customFormat="1" ht="19.2" x14ac:dyDescent="0.3">
      <c r="A218" s="360" t="s">
        <v>606</v>
      </c>
      <c r="B218" s="579" t="s">
        <v>716</v>
      </c>
      <c r="C218" s="433" t="s">
        <v>689</v>
      </c>
      <c r="D218" s="361">
        <v>0.4</v>
      </c>
      <c r="E218" s="403"/>
      <c r="F218" s="404"/>
      <c r="G218" s="400"/>
      <c r="H218" s="401"/>
      <c r="I218" s="401"/>
      <c r="J218" s="401"/>
      <c r="K218" s="401"/>
      <c r="L218" s="401"/>
      <c r="M218" s="401"/>
      <c r="N218" s="401"/>
      <c r="O218" s="401"/>
      <c r="P218" s="401"/>
      <c r="Q218" s="401"/>
      <c r="R218" s="389"/>
      <c r="S218" s="389"/>
      <c r="T218" s="389"/>
      <c r="U218" s="521"/>
      <c r="V218" s="402"/>
      <c r="W218" s="402"/>
      <c r="X218" s="403"/>
      <c r="Y218" s="404"/>
      <c r="Z218" s="400"/>
      <c r="AA218" s="401"/>
      <c r="AB218" s="401"/>
      <c r="AC218" s="401"/>
      <c r="AD218" s="401"/>
      <c r="AE218" s="401"/>
      <c r="AF218" s="401"/>
      <c r="AG218" s="401"/>
      <c r="AH218" s="401"/>
      <c r="AI218" s="401"/>
      <c r="AJ218" s="401"/>
      <c r="AK218" s="385"/>
      <c r="AL218" s="439"/>
      <c r="AM218" s="389"/>
      <c r="AN218" s="521"/>
      <c r="AO218" s="402"/>
      <c r="AP218" s="402"/>
      <c r="AQ218" s="595">
        <v>160</v>
      </c>
      <c r="AR218" s="587">
        <v>15</v>
      </c>
      <c r="AS218" s="400">
        <v>15</v>
      </c>
      <c r="AT218" s="578">
        <v>137.7544</v>
      </c>
      <c r="AU218" s="401">
        <v>101.94117</v>
      </c>
      <c r="AV218" s="401">
        <v>32.887999999999998</v>
      </c>
      <c r="AW218" s="401">
        <v>59.180700000000002</v>
      </c>
      <c r="AX218" s="401">
        <v>16.210509999999999</v>
      </c>
      <c r="AY218" s="401">
        <v>0</v>
      </c>
      <c r="AZ218" s="401">
        <v>0</v>
      </c>
      <c r="BA218" s="401">
        <v>9.5832499999999996</v>
      </c>
      <c r="BB218" s="401">
        <v>205.55</v>
      </c>
      <c r="BC218" s="401">
        <v>9.8632200000000001</v>
      </c>
      <c r="BD218" s="385" t="s">
        <v>167</v>
      </c>
      <c r="BE218" s="439" t="s">
        <v>175</v>
      </c>
      <c r="BF218" s="389"/>
      <c r="BG218" s="521">
        <v>8</v>
      </c>
      <c r="BH218" s="402">
        <f t="shared" si="72"/>
        <v>860.96500000000003</v>
      </c>
      <c r="BI218" s="402">
        <f t="shared" si="73"/>
        <v>9.183626666666667</v>
      </c>
    </row>
    <row r="219" spans="1:61" s="359" customFormat="1" ht="19.2" x14ac:dyDescent="0.3">
      <c r="A219" s="360" t="s">
        <v>607</v>
      </c>
      <c r="B219" s="579" t="s">
        <v>768</v>
      </c>
      <c r="C219" s="433" t="s">
        <v>690</v>
      </c>
      <c r="D219" s="361">
        <v>0.4</v>
      </c>
      <c r="E219" s="403"/>
      <c r="F219" s="404"/>
      <c r="G219" s="400"/>
      <c r="H219" s="401"/>
      <c r="I219" s="401"/>
      <c r="J219" s="401"/>
      <c r="K219" s="401"/>
      <c r="L219" s="401"/>
      <c r="M219" s="401"/>
      <c r="N219" s="401"/>
      <c r="O219" s="401"/>
      <c r="P219" s="401"/>
      <c r="Q219" s="401"/>
      <c r="R219" s="389"/>
      <c r="S219" s="389"/>
      <c r="T219" s="389"/>
      <c r="U219" s="521"/>
      <c r="V219" s="402"/>
      <c r="W219" s="402"/>
      <c r="X219" s="403"/>
      <c r="Y219" s="404"/>
      <c r="Z219" s="400"/>
      <c r="AA219" s="401"/>
      <c r="AB219" s="401"/>
      <c r="AC219" s="401"/>
      <c r="AD219" s="401"/>
      <c r="AE219" s="401"/>
      <c r="AF219" s="401"/>
      <c r="AG219" s="401"/>
      <c r="AH219" s="401"/>
      <c r="AI219" s="401"/>
      <c r="AJ219" s="401"/>
      <c r="AK219" s="385"/>
      <c r="AL219" s="439"/>
      <c r="AM219" s="389"/>
      <c r="AN219" s="521"/>
      <c r="AO219" s="402"/>
      <c r="AP219" s="402"/>
      <c r="AQ219" s="595">
        <v>130</v>
      </c>
      <c r="AR219" s="587">
        <v>100</v>
      </c>
      <c r="AS219" s="400">
        <v>100</v>
      </c>
      <c r="AT219" s="578">
        <v>57.610309999999998</v>
      </c>
      <c r="AU219" s="401">
        <v>45.009160000000001</v>
      </c>
      <c r="AV219" s="401">
        <v>26.721499999999999</v>
      </c>
      <c r="AW219" s="401">
        <v>9.8634500000000003</v>
      </c>
      <c r="AX219" s="401">
        <v>5.4872500000000004</v>
      </c>
      <c r="AY219" s="401">
        <v>0</v>
      </c>
      <c r="AZ219" s="401">
        <v>0</v>
      </c>
      <c r="BA219" s="401">
        <v>3.4987599999999999</v>
      </c>
      <c r="BB219" s="401">
        <v>205.55</v>
      </c>
      <c r="BC219" s="401">
        <v>9.8634500000000003</v>
      </c>
      <c r="BD219" s="385" t="s">
        <v>167</v>
      </c>
      <c r="BE219" s="439" t="s">
        <v>175</v>
      </c>
      <c r="BF219" s="389"/>
      <c r="BG219" s="521">
        <v>259</v>
      </c>
      <c r="BH219" s="402">
        <f t="shared" si="72"/>
        <v>443.15623076923077</v>
      </c>
      <c r="BI219" s="402">
        <f t="shared" si="73"/>
        <v>0.57610309999999998</v>
      </c>
    </row>
    <row r="220" spans="1:61" s="359" customFormat="1" ht="19.2" x14ac:dyDescent="0.3">
      <c r="A220" s="360" t="s">
        <v>608</v>
      </c>
      <c r="B220" s="579" t="s">
        <v>718</v>
      </c>
      <c r="C220" s="433" t="s">
        <v>691</v>
      </c>
      <c r="D220" s="361">
        <v>0.4</v>
      </c>
      <c r="E220" s="403"/>
      <c r="F220" s="404"/>
      <c r="G220" s="400"/>
      <c r="H220" s="401"/>
      <c r="I220" s="401"/>
      <c r="J220" s="401"/>
      <c r="K220" s="401"/>
      <c r="L220" s="401"/>
      <c r="M220" s="401"/>
      <c r="N220" s="401"/>
      <c r="O220" s="401"/>
      <c r="P220" s="401"/>
      <c r="Q220" s="401"/>
      <c r="R220" s="389"/>
      <c r="S220" s="389"/>
      <c r="T220" s="389"/>
      <c r="U220" s="521"/>
      <c r="V220" s="402"/>
      <c r="W220" s="402"/>
      <c r="X220" s="403"/>
      <c r="Y220" s="404"/>
      <c r="Z220" s="400"/>
      <c r="AA220" s="401"/>
      <c r="AB220" s="401"/>
      <c r="AC220" s="401"/>
      <c r="AD220" s="401"/>
      <c r="AE220" s="401"/>
      <c r="AF220" s="401"/>
      <c r="AG220" s="401"/>
      <c r="AH220" s="401"/>
      <c r="AI220" s="401"/>
      <c r="AJ220" s="401"/>
      <c r="AK220" s="385"/>
      <c r="AL220" s="439"/>
      <c r="AM220" s="389"/>
      <c r="AN220" s="521"/>
      <c r="AO220" s="402"/>
      <c r="AP220" s="402"/>
      <c r="AQ220" s="595">
        <v>350</v>
      </c>
      <c r="AR220" s="587">
        <v>15</v>
      </c>
      <c r="AS220" s="400">
        <v>15</v>
      </c>
      <c r="AT220" s="578">
        <v>343.03242999999998</v>
      </c>
      <c r="AU220" s="401">
        <v>252.25358</v>
      </c>
      <c r="AV220" s="401">
        <v>71.942499999999995</v>
      </c>
      <c r="AW220" s="401">
        <f>78.90696+78.90696</f>
        <v>157.81392</v>
      </c>
      <c r="AX220" s="401">
        <v>41.507829999999998</v>
      </c>
      <c r="AY220" s="401">
        <v>0</v>
      </c>
      <c r="AZ220" s="401">
        <v>0</v>
      </c>
      <c r="BA220" s="401">
        <v>24.111470000000001</v>
      </c>
      <c r="BB220" s="401">
        <v>205.55</v>
      </c>
      <c r="BC220" s="401">
        <v>9.8633699999999997</v>
      </c>
      <c r="BD220" s="385" t="s">
        <v>167</v>
      </c>
      <c r="BE220" s="439" t="s">
        <v>175</v>
      </c>
      <c r="BF220" s="389"/>
      <c r="BG220" s="521">
        <v>14</v>
      </c>
      <c r="BH220" s="402">
        <f t="shared" si="72"/>
        <v>980.09265714285709</v>
      </c>
      <c r="BI220" s="402">
        <f t="shared" si="73"/>
        <v>22.868828666666666</v>
      </c>
    </row>
    <row r="221" spans="1:61" s="359" customFormat="1" ht="19.2" x14ac:dyDescent="0.3">
      <c r="A221" s="360" t="s">
        <v>1107</v>
      </c>
      <c r="B221" s="579" t="s">
        <v>771</v>
      </c>
      <c r="C221" s="433" t="s">
        <v>700</v>
      </c>
      <c r="D221" s="361">
        <v>0.4</v>
      </c>
      <c r="E221" s="403"/>
      <c r="F221" s="404"/>
      <c r="G221" s="400"/>
      <c r="H221" s="401"/>
      <c r="I221" s="401"/>
      <c r="J221" s="401"/>
      <c r="K221" s="401"/>
      <c r="L221" s="401"/>
      <c r="M221" s="401"/>
      <c r="N221" s="401"/>
      <c r="O221" s="401"/>
      <c r="P221" s="401"/>
      <c r="Q221" s="401"/>
      <c r="R221" s="389"/>
      <c r="S221" s="389"/>
      <c r="T221" s="389"/>
      <c r="U221" s="521"/>
      <c r="V221" s="402"/>
      <c r="W221" s="402"/>
      <c r="X221" s="403"/>
      <c r="Y221" s="404"/>
      <c r="Z221" s="400"/>
      <c r="AA221" s="401"/>
      <c r="AB221" s="401"/>
      <c r="AC221" s="401"/>
      <c r="AD221" s="401"/>
      <c r="AE221" s="401"/>
      <c r="AF221" s="401"/>
      <c r="AG221" s="401"/>
      <c r="AH221" s="401"/>
      <c r="AI221" s="401"/>
      <c r="AJ221" s="401"/>
      <c r="AK221" s="385"/>
      <c r="AL221" s="439"/>
      <c r="AM221" s="389"/>
      <c r="AN221" s="521"/>
      <c r="AO221" s="402"/>
      <c r="AP221" s="402"/>
      <c r="AQ221" s="595">
        <v>220</v>
      </c>
      <c r="AR221" s="587">
        <v>15</v>
      </c>
      <c r="AS221" s="400">
        <v>15</v>
      </c>
      <c r="AT221" s="578">
        <v>262.74333000000001</v>
      </c>
      <c r="AU221" s="401">
        <v>193.01176000000001</v>
      </c>
      <c r="AV221" s="401">
        <v>45.218800000000002</v>
      </c>
      <c r="AW221" s="401">
        <f>49.31095+78.89752</f>
        <v>128.20847000000001</v>
      </c>
      <c r="AX221" s="401">
        <v>32.174860000000002</v>
      </c>
      <c r="AY221" s="401">
        <v>0</v>
      </c>
      <c r="AZ221" s="401">
        <v>0</v>
      </c>
      <c r="BA221" s="401">
        <v>18.388280000000002</v>
      </c>
      <c r="BB221" s="401">
        <v>205.54</v>
      </c>
      <c r="BC221" s="401">
        <v>9.86219</v>
      </c>
      <c r="BD221" s="385" t="s">
        <v>167</v>
      </c>
      <c r="BE221" s="439" t="s">
        <v>175</v>
      </c>
      <c r="BF221" s="389"/>
      <c r="BG221" s="521">
        <v>272</v>
      </c>
      <c r="BH221" s="402">
        <f t="shared" si="72"/>
        <v>1194.2878636363637</v>
      </c>
      <c r="BI221" s="402">
        <f t="shared" si="73"/>
        <v>17.516222000000003</v>
      </c>
    </row>
    <row r="222" spans="1:61" s="359" customFormat="1" ht="19.2" x14ac:dyDescent="0.3">
      <c r="A222" s="360" t="s">
        <v>1108</v>
      </c>
      <c r="B222" s="579" t="s">
        <v>772</v>
      </c>
      <c r="C222" s="433" t="s">
        <v>701</v>
      </c>
      <c r="D222" s="361">
        <v>0.4</v>
      </c>
      <c r="E222" s="403"/>
      <c r="F222" s="404"/>
      <c r="G222" s="400"/>
      <c r="H222" s="401"/>
      <c r="I222" s="401"/>
      <c r="J222" s="401"/>
      <c r="K222" s="401"/>
      <c r="L222" s="401"/>
      <c r="M222" s="401"/>
      <c r="N222" s="401"/>
      <c r="O222" s="401"/>
      <c r="P222" s="401"/>
      <c r="Q222" s="401"/>
      <c r="R222" s="389"/>
      <c r="S222" s="389"/>
      <c r="T222" s="389"/>
      <c r="U222" s="521"/>
      <c r="V222" s="402"/>
      <c r="W222" s="402"/>
      <c r="X222" s="403"/>
      <c r="Y222" s="404"/>
      <c r="Z222" s="400"/>
      <c r="AA222" s="401"/>
      <c r="AB222" s="401"/>
      <c r="AC222" s="401"/>
      <c r="AD222" s="401"/>
      <c r="AE222" s="401"/>
      <c r="AF222" s="401"/>
      <c r="AG222" s="401"/>
      <c r="AH222" s="401"/>
      <c r="AI222" s="401"/>
      <c r="AJ222" s="401"/>
      <c r="AK222" s="385"/>
      <c r="AL222" s="439"/>
      <c r="AM222" s="389"/>
      <c r="AN222" s="521"/>
      <c r="AO222" s="402"/>
      <c r="AP222" s="402"/>
      <c r="AQ222" s="595">
        <v>130</v>
      </c>
      <c r="AR222" s="587">
        <v>15</v>
      </c>
      <c r="AS222" s="400">
        <v>15</v>
      </c>
      <c r="AT222" s="578">
        <v>144.13552000000001</v>
      </c>
      <c r="AU222" s="401">
        <v>105.86926</v>
      </c>
      <c r="AV222" s="401">
        <v>26.720199999999998</v>
      </c>
      <c r="AW222" s="401">
        <f>29.58657+39.44876</f>
        <v>69.035330000000002</v>
      </c>
      <c r="AX222" s="401">
        <v>17.59723</v>
      </c>
      <c r="AY222" s="401">
        <v>0</v>
      </c>
      <c r="AZ222" s="401">
        <v>0</v>
      </c>
      <c r="BA222" s="401">
        <v>10.11741</v>
      </c>
      <c r="BB222" s="401">
        <v>205.54</v>
      </c>
      <c r="BC222" s="401">
        <v>9.86219</v>
      </c>
      <c r="BD222" s="385" t="s">
        <v>167</v>
      </c>
      <c r="BE222" s="439" t="s">
        <v>175</v>
      </c>
      <c r="BF222" s="389"/>
      <c r="BG222" s="521">
        <v>276</v>
      </c>
      <c r="BH222" s="402">
        <f t="shared" si="72"/>
        <v>1108.7347692307694</v>
      </c>
      <c r="BI222" s="402">
        <f t="shared" si="73"/>
        <v>9.6090346666666679</v>
      </c>
    </row>
    <row r="223" spans="1:61" s="359" customFormat="1" x14ac:dyDescent="0.3">
      <c r="A223" s="360"/>
      <c r="B223" s="382"/>
      <c r="C223" s="433"/>
      <c r="D223" s="361">
        <v>0.4</v>
      </c>
      <c r="E223" s="403"/>
      <c r="F223" s="404"/>
      <c r="G223" s="400"/>
      <c r="H223" s="401"/>
      <c r="I223" s="401"/>
      <c r="J223" s="401"/>
      <c r="K223" s="401"/>
      <c r="L223" s="401"/>
      <c r="M223" s="401"/>
      <c r="N223" s="401"/>
      <c r="O223" s="401"/>
      <c r="P223" s="401"/>
      <c r="Q223" s="401"/>
      <c r="R223" s="389"/>
      <c r="S223" s="389"/>
      <c r="T223" s="389"/>
      <c r="U223" s="521"/>
      <c r="V223" s="402"/>
      <c r="W223" s="402"/>
      <c r="X223" s="403"/>
      <c r="Y223" s="404"/>
      <c r="Z223" s="400"/>
      <c r="AA223" s="401"/>
      <c r="AB223" s="401"/>
      <c r="AC223" s="401"/>
      <c r="AD223" s="401"/>
      <c r="AE223" s="401"/>
      <c r="AF223" s="401"/>
      <c r="AG223" s="401"/>
      <c r="AH223" s="401"/>
      <c r="AI223" s="401"/>
      <c r="AJ223" s="401"/>
      <c r="AK223" s="385"/>
      <c r="AL223" s="439"/>
      <c r="AM223" s="389"/>
      <c r="AN223" s="521"/>
      <c r="AO223" s="402"/>
      <c r="AP223" s="402"/>
      <c r="AQ223" s="595"/>
      <c r="AR223" s="587"/>
      <c r="AS223" s="400"/>
      <c r="AT223" s="401"/>
      <c r="AU223" s="401"/>
      <c r="AV223" s="401"/>
      <c r="AW223" s="401"/>
      <c r="AX223" s="401"/>
      <c r="AY223" s="401"/>
      <c r="AZ223" s="401"/>
      <c r="BA223" s="401"/>
      <c r="BB223" s="401"/>
      <c r="BC223" s="401"/>
      <c r="BD223" s="385"/>
      <c r="BE223" s="439"/>
      <c r="BF223" s="389"/>
      <c r="BG223" s="521"/>
      <c r="BH223" s="402" t="e">
        <f t="shared" ref="BH223" si="76">AT223/AQ223*1000</f>
        <v>#DIV/0!</v>
      </c>
      <c r="BI223" s="402" t="e">
        <f t="shared" ref="BI223" si="77">AT223/AR223</f>
        <v>#DIV/0!</v>
      </c>
    </row>
    <row r="224" spans="1:61" s="359" customFormat="1" x14ac:dyDescent="0.3">
      <c r="A224" s="360"/>
      <c r="B224" s="382"/>
      <c r="C224" s="433"/>
      <c r="D224" s="361"/>
      <c r="E224" s="403"/>
      <c r="F224" s="404"/>
      <c r="G224" s="400"/>
      <c r="H224" s="401"/>
      <c r="I224" s="401"/>
      <c r="J224" s="401"/>
      <c r="K224" s="401"/>
      <c r="L224" s="401"/>
      <c r="M224" s="401"/>
      <c r="N224" s="401"/>
      <c r="O224" s="401"/>
      <c r="P224" s="401"/>
      <c r="Q224" s="401"/>
      <c r="R224" s="389"/>
      <c r="S224" s="389"/>
      <c r="T224" s="389"/>
      <c r="U224" s="521"/>
      <c r="V224" s="402" t="e">
        <f t="shared" ref="V224:V239" si="78">H224/E224*1000</f>
        <v>#DIV/0!</v>
      </c>
      <c r="W224" s="402" t="e">
        <f t="shared" ref="W224:W239" si="79">H224/F224</f>
        <v>#DIV/0!</v>
      </c>
      <c r="X224" s="403"/>
      <c r="Y224" s="404"/>
      <c r="Z224" s="400"/>
      <c r="AA224" s="401"/>
      <c r="AB224" s="401"/>
      <c r="AC224" s="401"/>
      <c r="AD224" s="401"/>
      <c r="AE224" s="401"/>
      <c r="AF224" s="401"/>
      <c r="AG224" s="401"/>
      <c r="AH224" s="401"/>
      <c r="AI224" s="401"/>
      <c r="AJ224" s="401"/>
      <c r="AK224" s="389"/>
      <c r="AL224" s="389"/>
      <c r="AM224" s="389"/>
      <c r="AN224" s="521"/>
      <c r="AO224" s="402" t="e">
        <f t="shared" ref="AO224:AO239" si="80">AA224/X224*1000</f>
        <v>#DIV/0!</v>
      </c>
      <c r="AP224" s="402" t="e">
        <f t="shared" ref="AP224:AP239" si="81">AA224/Y224</f>
        <v>#DIV/0!</v>
      </c>
      <c r="AQ224" s="595"/>
      <c r="AR224" s="587"/>
      <c r="AS224" s="400"/>
      <c r="AT224" s="401"/>
      <c r="AU224" s="401"/>
      <c r="AV224" s="401"/>
      <c r="AW224" s="401"/>
      <c r="AX224" s="401"/>
      <c r="AY224" s="401"/>
      <c r="AZ224" s="401"/>
      <c r="BA224" s="401"/>
      <c r="BB224" s="401"/>
      <c r="BC224" s="401"/>
      <c r="BD224" s="389"/>
      <c r="BE224" s="389"/>
      <c r="BF224" s="389"/>
      <c r="BG224" s="521"/>
      <c r="BH224" s="402" t="e">
        <f t="shared" ref="BH224:BH253" si="82">AT224/AQ224*1000</f>
        <v>#DIV/0!</v>
      </c>
      <c r="BI224" s="402" t="e">
        <f t="shared" ref="BI224:BI253" si="83">AT224/AR224</f>
        <v>#DIV/0!</v>
      </c>
    </row>
    <row r="225" spans="1:61" s="359" customFormat="1" ht="24.75" customHeight="1" x14ac:dyDescent="0.3">
      <c r="A225" s="355" t="s">
        <v>183</v>
      </c>
      <c r="B225" s="356" t="s">
        <v>218</v>
      </c>
      <c r="C225" s="432"/>
      <c r="D225" s="357">
        <v>0.4</v>
      </c>
      <c r="E225" s="396">
        <f t="shared" ref="E225:Q225" si="84">SUM(E226:E257)</f>
        <v>1473</v>
      </c>
      <c r="F225" s="396">
        <f t="shared" si="84"/>
        <v>450</v>
      </c>
      <c r="G225" s="396">
        <f t="shared" si="84"/>
        <v>450</v>
      </c>
      <c r="H225" s="397">
        <f t="shared" si="84"/>
        <v>1031.0073199999999</v>
      </c>
      <c r="I225" s="397">
        <f t="shared" si="84"/>
        <v>752.56207000000006</v>
      </c>
      <c r="J225" s="397">
        <f t="shared" si="84"/>
        <v>267.32049000000001</v>
      </c>
      <c r="K225" s="397">
        <f t="shared" si="84"/>
        <v>418.39604000000003</v>
      </c>
      <c r="L225" s="397">
        <f t="shared" si="84"/>
        <v>130.29241999999999</v>
      </c>
      <c r="M225" s="397">
        <f t="shared" si="84"/>
        <v>0</v>
      </c>
      <c r="N225" s="397">
        <f t="shared" si="84"/>
        <v>0</v>
      </c>
      <c r="O225" s="397">
        <f t="shared" si="84"/>
        <v>65.452820000000003</v>
      </c>
      <c r="P225" s="397">
        <f t="shared" si="84"/>
        <v>1095.79</v>
      </c>
      <c r="Q225" s="397">
        <f t="shared" si="84"/>
        <v>54.582650000000001</v>
      </c>
      <c r="R225" s="398"/>
      <c r="S225" s="398"/>
      <c r="T225" s="398"/>
      <c r="U225" s="520"/>
      <c r="V225" s="399">
        <f t="shared" si="78"/>
        <v>699.93708078750853</v>
      </c>
      <c r="W225" s="399">
        <f t="shared" si="79"/>
        <v>2.2911273777777774</v>
      </c>
      <c r="X225" s="396">
        <f t="shared" ref="X225:AJ225" si="85">SUM(X226:X257)</f>
        <v>2437</v>
      </c>
      <c r="Y225" s="396">
        <f t="shared" si="85"/>
        <v>765</v>
      </c>
      <c r="Z225" s="396">
        <f t="shared" si="85"/>
        <v>765</v>
      </c>
      <c r="AA225" s="397">
        <f t="shared" si="85"/>
        <v>1981.65002</v>
      </c>
      <c r="AB225" s="397">
        <f t="shared" si="85"/>
        <v>1495.8444999999999</v>
      </c>
      <c r="AC225" s="397">
        <f t="shared" si="85"/>
        <v>638.73222999999996</v>
      </c>
      <c r="AD225" s="397">
        <f t="shared" si="85"/>
        <v>716.73262999999997</v>
      </c>
      <c r="AE225" s="397">
        <f t="shared" si="85"/>
        <v>198.51211999999998</v>
      </c>
      <c r="AF225" s="397">
        <f t="shared" si="85"/>
        <v>0</v>
      </c>
      <c r="AG225" s="397">
        <f t="shared" si="85"/>
        <v>0</v>
      </c>
      <c r="AH225" s="397">
        <f t="shared" si="85"/>
        <v>132.61706000000001</v>
      </c>
      <c r="AI225" s="397">
        <f t="shared" si="85"/>
        <v>2130.9000000000005</v>
      </c>
      <c r="AJ225" s="397">
        <f t="shared" si="85"/>
        <v>79.40182999999999</v>
      </c>
      <c r="AK225" s="398"/>
      <c r="AL225" s="398"/>
      <c r="AM225" s="398"/>
      <c r="AN225" s="520"/>
      <c r="AO225" s="399">
        <f t="shared" si="80"/>
        <v>813.15142388182198</v>
      </c>
      <c r="AP225" s="399">
        <f t="shared" si="81"/>
        <v>2.5903921830065362</v>
      </c>
      <c r="AQ225" s="396">
        <f t="shared" ref="AQ225:BC225" si="86">SUM(AQ226:AQ257)</f>
        <v>5202</v>
      </c>
      <c r="AR225" s="396">
        <f t="shared" si="86"/>
        <v>1340</v>
      </c>
      <c r="AS225" s="396">
        <f t="shared" si="86"/>
        <v>1340</v>
      </c>
      <c r="AT225" s="397">
        <f t="shared" si="86"/>
        <v>4418.7821199999998</v>
      </c>
      <c r="AU225" s="397">
        <f t="shared" si="86"/>
        <v>3385.0463399999999</v>
      </c>
      <c r="AV225" s="397">
        <f t="shared" si="86"/>
        <v>1438.6877199999999</v>
      </c>
      <c r="AW225" s="397">
        <f t="shared" si="86"/>
        <v>1504.27999</v>
      </c>
      <c r="AX225" s="397">
        <f t="shared" si="86"/>
        <v>460.91552000000001</v>
      </c>
      <c r="AY225" s="397">
        <f t="shared" si="86"/>
        <v>0</v>
      </c>
      <c r="AZ225" s="397">
        <f t="shared" si="86"/>
        <v>0</v>
      </c>
      <c r="BA225" s="397">
        <f t="shared" si="86"/>
        <v>279.88799999999998</v>
      </c>
      <c r="BB225" s="397">
        <f t="shared" si="86"/>
        <v>4477.4699999999993</v>
      </c>
      <c r="BC225" s="397">
        <f t="shared" si="86"/>
        <v>158.20275000000001</v>
      </c>
      <c r="BD225" s="398"/>
      <c r="BE225" s="398"/>
      <c r="BF225" s="398"/>
      <c r="BG225" s="520"/>
      <c r="BH225" s="399">
        <f t="shared" si="82"/>
        <v>849.43908496732024</v>
      </c>
      <c r="BI225" s="399">
        <f t="shared" si="83"/>
        <v>3.2975985970149253</v>
      </c>
    </row>
    <row r="226" spans="1:61" s="359" customFormat="1" ht="19.2" x14ac:dyDescent="0.3">
      <c r="A226" s="360" t="s">
        <v>179</v>
      </c>
      <c r="B226" s="513" t="s">
        <v>254</v>
      </c>
      <c r="C226" s="435" t="s">
        <v>271</v>
      </c>
      <c r="D226" s="361">
        <v>0.4</v>
      </c>
      <c r="E226" s="403">
        <v>380</v>
      </c>
      <c r="F226" s="404">
        <v>200</v>
      </c>
      <c r="G226" s="400">
        <v>200</v>
      </c>
      <c r="H226" s="419">
        <v>326.97395999999998</v>
      </c>
      <c r="I226" s="401">
        <v>232.61469</v>
      </c>
      <c r="J226" s="401">
        <v>60.271799999999999</v>
      </c>
      <c r="K226" s="401">
        <f>102.66619+37.33316</f>
        <v>139.99934999999999</v>
      </c>
      <c r="L226" s="401">
        <v>44.193170000000002</v>
      </c>
      <c r="M226" s="401">
        <v>0</v>
      </c>
      <c r="N226" s="401">
        <v>0</v>
      </c>
      <c r="O226" s="401">
        <v>21.568919999999999</v>
      </c>
      <c r="P226" s="401">
        <v>158.61000000000001</v>
      </c>
      <c r="Q226" s="401">
        <v>9.3332899999999999</v>
      </c>
      <c r="R226" s="385" t="s">
        <v>167</v>
      </c>
      <c r="S226" s="439" t="s">
        <v>175</v>
      </c>
      <c r="T226" s="389"/>
      <c r="U226" s="521">
        <v>39</v>
      </c>
      <c r="V226" s="402">
        <f t="shared" si="78"/>
        <v>860.4577894736841</v>
      </c>
      <c r="W226" s="402">
        <f t="shared" si="79"/>
        <v>1.6348697999999999</v>
      </c>
      <c r="X226" s="403"/>
      <c r="Y226" s="404"/>
      <c r="Z226" s="400"/>
      <c r="AA226" s="419"/>
      <c r="AB226" s="401"/>
      <c r="AC226" s="401"/>
      <c r="AD226" s="401"/>
      <c r="AE226" s="401"/>
      <c r="AF226" s="401"/>
      <c r="AG226" s="401"/>
      <c r="AH226" s="401"/>
      <c r="AI226" s="401"/>
      <c r="AJ226" s="401"/>
      <c r="AK226" s="385"/>
      <c r="AL226" s="439"/>
      <c r="AM226" s="389"/>
      <c r="AN226" s="521"/>
      <c r="AO226" s="402" t="e">
        <f t="shared" si="80"/>
        <v>#DIV/0!</v>
      </c>
      <c r="AP226" s="402" t="e">
        <f t="shared" si="81"/>
        <v>#DIV/0!</v>
      </c>
      <c r="AQ226" s="595"/>
      <c r="AR226" s="587"/>
      <c r="AS226" s="400"/>
      <c r="AT226" s="419"/>
      <c r="AU226" s="401"/>
      <c r="AV226" s="401"/>
      <c r="AW226" s="401"/>
      <c r="AX226" s="401"/>
      <c r="AY226" s="401"/>
      <c r="AZ226" s="401"/>
      <c r="BA226" s="401"/>
      <c r="BB226" s="401"/>
      <c r="BC226" s="401"/>
      <c r="BD226" s="385"/>
      <c r="BE226" s="439"/>
      <c r="BF226" s="389"/>
      <c r="BG226" s="521"/>
      <c r="BH226" s="402" t="e">
        <f t="shared" si="82"/>
        <v>#DIV/0!</v>
      </c>
      <c r="BI226" s="402" t="e">
        <f t="shared" si="83"/>
        <v>#DIV/0!</v>
      </c>
    </row>
    <row r="227" spans="1:61" s="359" customFormat="1" ht="19.2" x14ac:dyDescent="0.3">
      <c r="A227" s="360" t="s">
        <v>183</v>
      </c>
      <c r="B227" s="513" t="s">
        <v>290</v>
      </c>
      <c r="C227" s="434" t="s">
        <v>291</v>
      </c>
      <c r="D227" s="361">
        <v>0.4</v>
      </c>
      <c r="E227" s="403">
        <v>237</v>
      </c>
      <c r="F227" s="404">
        <v>15</v>
      </c>
      <c r="G227" s="400">
        <v>15</v>
      </c>
      <c r="H227" s="419">
        <v>237.37899999999999</v>
      </c>
      <c r="I227" s="401">
        <v>171.71729999999999</v>
      </c>
      <c r="J227" s="401">
        <v>46.686630000000001</v>
      </c>
      <c r="K227" s="401">
        <f>71.78864+35.89432</f>
        <v>107.68296000000001</v>
      </c>
      <c r="L227" s="401">
        <v>30.3</v>
      </c>
      <c r="M227" s="401">
        <v>0</v>
      </c>
      <c r="N227" s="401">
        <v>0</v>
      </c>
      <c r="O227" s="401">
        <v>15.638999999999999</v>
      </c>
      <c r="P227" s="401">
        <v>196.99</v>
      </c>
      <c r="Q227" s="401">
        <v>8.9735800000000001</v>
      </c>
      <c r="R227" s="385" t="s">
        <v>167</v>
      </c>
      <c r="S227" s="439" t="s">
        <v>175</v>
      </c>
      <c r="T227" s="389"/>
      <c r="U227" s="521">
        <v>91</v>
      </c>
      <c r="V227" s="402">
        <f t="shared" si="78"/>
        <v>1001.5991561181435</v>
      </c>
      <c r="W227" s="402">
        <f t="shared" si="79"/>
        <v>15.825266666666666</v>
      </c>
      <c r="X227" s="403"/>
      <c r="Y227" s="404"/>
      <c r="Z227" s="400"/>
      <c r="AA227" s="419"/>
      <c r="AB227" s="401"/>
      <c r="AC227" s="401"/>
      <c r="AD227" s="401"/>
      <c r="AE227" s="401"/>
      <c r="AF227" s="401"/>
      <c r="AG227" s="401"/>
      <c r="AH227" s="401"/>
      <c r="AI227" s="401"/>
      <c r="AJ227" s="401"/>
      <c r="AK227" s="385"/>
      <c r="AL227" s="439"/>
      <c r="AM227" s="389"/>
      <c r="AN227" s="521"/>
      <c r="AO227" s="402" t="e">
        <f t="shared" si="80"/>
        <v>#DIV/0!</v>
      </c>
      <c r="AP227" s="402" t="e">
        <f t="shared" si="81"/>
        <v>#DIV/0!</v>
      </c>
      <c r="AQ227" s="595"/>
      <c r="AR227" s="587"/>
      <c r="AS227" s="400"/>
      <c r="AT227" s="419"/>
      <c r="AU227" s="401"/>
      <c r="AV227" s="401"/>
      <c r="AW227" s="401"/>
      <c r="AX227" s="401"/>
      <c r="AY227" s="401"/>
      <c r="AZ227" s="401"/>
      <c r="BA227" s="401"/>
      <c r="BB227" s="401"/>
      <c r="BC227" s="401"/>
      <c r="BD227" s="385"/>
      <c r="BE227" s="439"/>
      <c r="BF227" s="389"/>
      <c r="BG227" s="521"/>
      <c r="BH227" s="402" t="e">
        <f t="shared" si="82"/>
        <v>#DIV/0!</v>
      </c>
      <c r="BI227" s="402" t="e">
        <f t="shared" si="83"/>
        <v>#DIV/0!</v>
      </c>
    </row>
    <row r="228" spans="1:61" s="359" customFormat="1" ht="19.2" x14ac:dyDescent="0.3">
      <c r="A228" s="360" t="s">
        <v>185</v>
      </c>
      <c r="B228" s="513" t="s">
        <v>315</v>
      </c>
      <c r="C228" s="434" t="s">
        <v>316</v>
      </c>
      <c r="D228" s="361">
        <v>0.4</v>
      </c>
      <c r="E228" s="403">
        <v>181</v>
      </c>
      <c r="F228" s="404">
        <v>15</v>
      </c>
      <c r="G228" s="400">
        <v>15</v>
      </c>
      <c r="H228" s="419">
        <v>125.035</v>
      </c>
      <c r="I228" s="401">
        <v>93.46</v>
      </c>
      <c r="J228" s="401">
        <v>28.708410000000001</v>
      </c>
      <c r="K228" s="401">
        <v>64.751999999999995</v>
      </c>
      <c r="L228" s="401">
        <v>15.845000000000001</v>
      </c>
      <c r="M228" s="401">
        <v>0</v>
      </c>
      <c r="N228" s="401">
        <v>0</v>
      </c>
      <c r="O228" s="401">
        <v>7.165</v>
      </c>
      <c r="P228" s="401">
        <v>158.61000000000001</v>
      </c>
      <c r="Q228" s="401">
        <v>9.3332899999999999</v>
      </c>
      <c r="R228" s="385" t="s">
        <v>167</v>
      </c>
      <c r="S228" s="439" t="s">
        <v>175</v>
      </c>
      <c r="T228" s="389"/>
      <c r="U228" s="521">
        <v>157</v>
      </c>
      <c r="V228" s="402">
        <f t="shared" si="78"/>
        <v>690.8011049723757</v>
      </c>
      <c r="W228" s="402">
        <f t="shared" si="79"/>
        <v>8.3356666666666666</v>
      </c>
      <c r="X228" s="403"/>
      <c r="Y228" s="404"/>
      <c r="Z228" s="400"/>
      <c r="AA228" s="419"/>
      <c r="AB228" s="401"/>
      <c r="AC228" s="401"/>
      <c r="AD228" s="401"/>
      <c r="AE228" s="401"/>
      <c r="AF228" s="401"/>
      <c r="AG228" s="401"/>
      <c r="AH228" s="401"/>
      <c r="AI228" s="401"/>
      <c r="AJ228" s="401"/>
      <c r="AK228" s="385"/>
      <c r="AL228" s="439"/>
      <c r="AM228" s="389"/>
      <c r="AN228" s="521"/>
      <c r="AO228" s="402" t="e">
        <f t="shared" si="80"/>
        <v>#DIV/0!</v>
      </c>
      <c r="AP228" s="402" t="e">
        <f t="shared" si="81"/>
        <v>#DIV/0!</v>
      </c>
      <c r="AQ228" s="595"/>
      <c r="AR228" s="587"/>
      <c r="AS228" s="400"/>
      <c r="AT228" s="419"/>
      <c r="AU228" s="401"/>
      <c r="AV228" s="401"/>
      <c r="AW228" s="401"/>
      <c r="AX228" s="401"/>
      <c r="AY228" s="401"/>
      <c r="AZ228" s="401"/>
      <c r="BA228" s="401"/>
      <c r="BB228" s="401"/>
      <c r="BC228" s="401"/>
      <c r="BD228" s="385"/>
      <c r="BE228" s="439"/>
      <c r="BF228" s="389"/>
      <c r="BG228" s="521"/>
      <c r="BH228" s="402" t="e">
        <f t="shared" si="82"/>
        <v>#DIV/0!</v>
      </c>
      <c r="BI228" s="402" t="e">
        <f t="shared" si="83"/>
        <v>#DIV/0!</v>
      </c>
    </row>
    <row r="229" spans="1:61" s="359" customFormat="1" ht="19.2" x14ac:dyDescent="0.3">
      <c r="A229" s="360" t="s">
        <v>187</v>
      </c>
      <c r="B229" s="513" t="s">
        <v>364</v>
      </c>
      <c r="C229" s="433" t="s">
        <v>365</v>
      </c>
      <c r="D229" s="361">
        <v>0.4</v>
      </c>
      <c r="E229" s="403">
        <v>115</v>
      </c>
      <c r="F229" s="404">
        <v>30</v>
      </c>
      <c r="G229" s="400">
        <v>30</v>
      </c>
      <c r="H229" s="419">
        <v>31.431999999999999</v>
      </c>
      <c r="I229" s="401">
        <v>24.872</v>
      </c>
      <c r="J229" s="401">
        <v>22.653849999999998</v>
      </c>
      <c r="K229" s="401">
        <v>2.218</v>
      </c>
      <c r="L229" s="401">
        <v>2.9420000000000002</v>
      </c>
      <c r="M229" s="401">
        <v>0</v>
      </c>
      <c r="N229" s="401">
        <v>0</v>
      </c>
      <c r="O229" s="401">
        <v>1.675</v>
      </c>
      <c r="P229" s="401">
        <v>196.99</v>
      </c>
      <c r="Q229" s="401">
        <v>8.9794300000000007</v>
      </c>
      <c r="R229" s="385" t="s">
        <v>167</v>
      </c>
      <c r="S229" s="439" t="s">
        <v>175</v>
      </c>
      <c r="T229" s="389"/>
      <c r="U229" s="521">
        <v>255</v>
      </c>
      <c r="V229" s="402">
        <f t="shared" si="78"/>
        <v>273.32173913043476</v>
      </c>
      <c r="W229" s="402">
        <f t="shared" si="79"/>
        <v>1.0477333333333332</v>
      </c>
      <c r="X229" s="403"/>
      <c r="Y229" s="404"/>
      <c r="Z229" s="400"/>
      <c r="AA229" s="419"/>
      <c r="AB229" s="401"/>
      <c r="AC229" s="401"/>
      <c r="AD229" s="401"/>
      <c r="AE229" s="401"/>
      <c r="AF229" s="401"/>
      <c r="AG229" s="401"/>
      <c r="AH229" s="401"/>
      <c r="AI229" s="401"/>
      <c r="AJ229" s="401"/>
      <c r="AK229" s="385"/>
      <c r="AL229" s="439"/>
      <c r="AM229" s="389"/>
      <c r="AN229" s="521"/>
      <c r="AO229" s="402" t="e">
        <f t="shared" si="80"/>
        <v>#DIV/0!</v>
      </c>
      <c r="AP229" s="402" t="e">
        <f t="shared" si="81"/>
        <v>#DIV/0!</v>
      </c>
      <c r="AQ229" s="595"/>
      <c r="AR229" s="587"/>
      <c r="AS229" s="400"/>
      <c r="AT229" s="419"/>
      <c r="AU229" s="401"/>
      <c r="AV229" s="401"/>
      <c r="AW229" s="401"/>
      <c r="AX229" s="401"/>
      <c r="AY229" s="401"/>
      <c r="AZ229" s="401"/>
      <c r="BA229" s="401"/>
      <c r="BB229" s="401"/>
      <c r="BC229" s="401"/>
      <c r="BD229" s="385"/>
      <c r="BE229" s="439"/>
      <c r="BF229" s="389"/>
      <c r="BG229" s="521"/>
      <c r="BH229" s="402" t="e">
        <f t="shared" si="82"/>
        <v>#DIV/0!</v>
      </c>
      <c r="BI229" s="402" t="e">
        <f t="shared" si="83"/>
        <v>#DIV/0!</v>
      </c>
    </row>
    <row r="230" spans="1:61" s="359" customFormat="1" ht="19.2" x14ac:dyDescent="0.3">
      <c r="A230" s="360" t="s">
        <v>190</v>
      </c>
      <c r="B230" s="513" t="s">
        <v>366</v>
      </c>
      <c r="C230" s="435" t="s">
        <v>367</v>
      </c>
      <c r="D230" s="361">
        <v>0.4</v>
      </c>
      <c r="E230" s="403">
        <v>420</v>
      </c>
      <c r="F230" s="404">
        <v>150</v>
      </c>
      <c r="G230" s="400">
        <v>150</v>
      </c>
      <c r="H230" s="419">
        <v>270.96735999999999</v>
      </c>
      <c r="I230" s="401">
        <v>198.66408000000001</v>
      </c>
      <c r="J230" s="401">
        <v>82.735799999999998</v>
      </c>
      <c r="K230" s="401">
        <f>44.89715+53.87658</f>
        <v>98.77373</v>
      </c>
      <c r="L230" s="401">
        <v>33.430250000000001</v>
      </c>
      <c r="M230" s="401">
        <v>0</v>
      </c>
      <c r="N230" s="401">
        <v>0</v>
      </c>
      <c r="O230" s="401">
        <v>17.3659</v>
      </c>
      <c r="P230" s="401">
        <v>196.99</v>
      </c>
      <c r="Q230" s="401">
        <v>8.9794300000000007</v>
      </c>
      <c r="R230" s="385" t="s">
        <v>167</v>
      </c>
      <c r="S230" s="439" t="s">
        <v>175</v>
      </c>
      <c r="T230" s="389"/>
      <c r="U230" s="521">
        <v>259</v>
      </c>
      <c r="V230" s="402">
        <f t="shared" si="78"/>
        <v>645.16038095238093</v>
      </c>
      <c r="W230" s="402">
        <f t="shared" si="79"/>
        <v>1.8064490666666666</v>
      </c>
      <c r="X230" s="403"/>
      <c r="Y230" s="404"/>
      <c r="Z230" s="400"/>
      <c r="AA230" s="419"/>
      <c r="AB230" s="401"/>
      <c r="AC230" s="401"/>
      <c r="AD230" s="401"/>
      <c r="AE230" s="401"/>
      <c r="AF230" s="401"/>
      <c r="AG230" s="401"/>
      <c r="AH230" s="401"/>
      <c r="AI230" s="401"/>
      <c r="AJ230" s="401"/>
      <c r="AK230" s="385"/>
      <c r="AL230" s="439"/>
      <c r="AM230" s="389"/>
      <c r="AN230" s="521"/>
      <c r="AO230" s="402" t="e">
        <f t="shared" si="80"/>
        <v>#DIV/0!</v>
      </c>
      <c r="AP230" s="402" t="e">
        <f t="shared" si="81"/>
        <v>#DIV/0!</v>
      </c>
      <c r="AQ230" s="595"/>
      <c r="AR230" s="587"/>
      <c r="AS230" s="400"/>
      <c r="AT230" s="419"/>
      <c r="AU230" s="401"/>
      <c r="AV230" s="401"/>
      <c r="AW230" s="401"/>
      <c r="AX230" s="401"/>
      <c r="AY230" s="401"/>
      <c r="AZ230" s="401"/>
      <c r="BA230" s="401"/>
      <c r="BB230" s="401"/>
      <c r="BC230" s="401"/>
      <c r="BD230" s="385"/>
      <c r="BE230" s="439"/>
      <c r="BF230" s="389"/>
      <c r="BG230" s="521"/>
      <c r="BH230" s="402" t="e">
        <f t="shared" si="82"/>
        <v>#DIV/0!</v>
      </c>
      <c r="BI230" s="402" t="e">
        <f t="shared" si="83"/>
        <v>#DIV/0!</v>
      </c>
    </row>
    <row r="231" spans="1:61" s="359" customFormat="1" ht="19.2" x14ac:dyDescent="0.3">
      <c r="A231" s="360" t="s">
        <v>598</v>
      </c>
      <c r="B231" s="513" t="s">
        <v>380</v>
      </c>
      <c r="C231" s="433" t="s">
        <v>381</v>
      </c>
      <c r="D231" s="361">
        <v>0.4</v>
      </c>
      <c r="E231" s="403">
        <v>140</v>
      </c>
      <c r="F231" s="404">
        <v>40</v>
      </c>
      <c r="G231" s="400">
        <v>40</v>
      </c>
      <c r="H231" s="419">
        <v>39.22</v>
      </c>
      <c r="I231" s="401">
        <v>31.234000000000002</v>
      </c>
      <c r="J231" s="401">
        <v>26.263999999999999</v>
      </c>
      <c r="K231" s="401">
        <v>4.97</v>
      </c>
      <c r="L231" s="401">
        <v>3.5819999999999999</v>
      </c>
      <c r="M231" s="401">
        <v>0</v>
      </c>
      <c r="N231" s="401">
        <v>0</v>
      </c>
      <c r="O231" s="401">
        <v>2.0390000000000001</v>
      </c>
      <c r="P231" s="401">
        <v>187.6</v>
      </c>
      <c r="Q231" s="401">
        <v>8.9836299999999998</v>
      </c>
      <c r="R231" s="385" t="s">
        <v>167</v>
      </c>
      <c r="S231" s="439" t="s">
        <v>175</v>
      </c>
      <c r="T231" s="389"/>
      <c r="U231" s="521">
        <v>305</v>
      </c>
      <c r="V231" s="402">
        <f t="shared" si="78"/>
        <v>280.14285714285711</v>
      </c>
      <c r="W231" s="402">
        <f t="shared" si="79"/>
        <v>0.98049999999999993</v>
      </c>
      <c r="X231" s="403"/>
      <c r="Y231" s="404"/>
      <c r="Z231" s="400"/>
      <c r="AA231" s="419"/>
      <c r="AB231" s="401"/>
      <c r="AC231" s="401"/>
      <c r="AD231" s="401"/>
      <c r="AE231" s="401"/>
      <c r="AF231" s="401"/>
      <c r="AG231" s="401"/>
      <c r="AH231" s="401"/>
      <c r="AI231" s="401"/>
      <c r="AJ231" s="401"/>
      <c r="AK231" s="385"/>
      <c r="AL231" s="439"/>
      <c r="AM231" s="389"/>
      <c r="AN231" s="521"/>
      <c r="AO231" s="402" t="e">
        <f t="shared" si="80"/>
        <v>#DIV/0!</v>
      </c>
      <c r="AP231" s="402" t="e">
        <f t="shared" si="81"/>
        <v>#DIV/0!</v>
      </c>
      <c r="AQ231" s="595"/>
      <c r="AR231" s="587"/>
      <c r="AS231" s="400"/>
      <c r="AT231" s="419"/>
      <c r="AU231" s="401"/>
      <c r="AV231" s="401"/>
      <c r="AW231" s="401"/>
      <c r="AX231" s="401"/>
      <c r="AY231" s="401"/>
      <c r="AZ231" s="401"/>
      <c r="BA231" s="401"/>
      <c r="BB231" s="401"/>
      <c r="BC231" s="401"/>
      <c r="BD231" s="385"/>
      <c r="BE231" s="439"/>
      <c r="BF231" s="389"/>
      <c r="BG231" s="521"/>
      <c r="BH231" s="402" t="e">
        <f t="shared" si="82"/>
        <v>#DIV/0!</v>
      </c>
      <c r="BI231" s="402" t="e">
        <f t="shared" si="83"/>
        <v>#DIV/0!</v>
      </c>
    </row>
    <row r="232" spans="1:61" s="359" customFormat="1" ht="19.2" x14ac:dyDescent="0.3">
      <c r="A232" s="360" t="s">
        <v>179</v>
      </c>
      <c r="B232" s="543" t="s">
        <v>556</v>
      </c>
      <c r="C232" s="435" t="s">
        <v>404</v>
      </c>
      <c r="D232" s="361">
        <v>0.4</v>
      </c>
      <c r="E232" s="403"/>
      <c r="F232" s="404"/>
      <c r="G232" s="400"/>
      <c r="H232" s="401"/>
      <c r="I232" s="401"/>
      <c r="J232" s="401"/>
      <c r="K232" s="401"/>
      <c r="L232" s="401"/>
      <c r="M232" s="401"/>
      <c r="N232" s="401"/>
      <c r="O232" s="401"/>
      <c r="P232" s="401"/>
      <c r="Q232" s="401"/>
      <c r="R232" s="389"/>
      <c r="S232" s="389"/>
      <c r="T232" s="389"/>
      <c r="U232" s="521"/>
      <c r="V232" s="402" t="e">
        <f t="shared" si="78"/>
        <v>#DIV/0!</v>
      </c>
      <c r="W232" s="402" t="e">
        <f t="shared" si="79"/>
        <v>#DIV/0!</v>
      </c>
      <c r="X232" s="403">
        <v>437</v>
      </c>
      <c r="Y232" s="404">
        <v>15</v>
      </c>
      <c r="Z232" s="400">
        <v>15</v>
      </c>
      <c r="AA232" s="545">
        <v>340.34384999999997</v>
      </c>
      <c r="AB232" s="401">
        <v>241.49186</v>
      </c>
      <c r="AC232" s="369">
        <v>86.084630000000004</v>
      </c>
      <c r="AD232" s="401">
        <f>56.84262+43.78506+7.29751+18.94754</f>
        <v>126.87273</v>
      </c>
      <c r="AE232" s="401">
        <v>43.044589999999999</v>
      </c>
      <c r="AF232" s="401">
        <v>0</v>
      </c>
      <c r="AG232" s="401">
        <v>0</v>
      </c>
      <c r="AH232" s="401">
        <v>26.906420000000001</v>
      </c>
      <c r="AI232" s="401">
        <v>196.99</v>
      </c>
      <c r="AJ232" s="401">
        <v>9.47377</v>
      </c>
      <c r="AK232" s="385" t="s">
        <v>167</v>
      </c>
      <c r="AL232" s="439" t="s">
        <v>175</v>
      </c>
      <c r="AM232" s="389"/>
      <c r="AN232" s="521">
        <v>4</v>
      </c>
      <c r="AO232" s="402">
        <f t="shared" si="80"/>
        <v>778.81887871853542</v>
      </c>
      <c r="AP232" s="402">
        <f t="shared" si="81"/>
        <v>22.689589999999999</v>
      </c>
      <c r="AQ232" s="595"/>
      <c r="AR232" s="587"/>
      <c r="AS232" s="400"/>
      <c r="AT232" s="545"/>
      <c r="AU232" s="401"/>
      <c r="AV232" s="369"/>
      <c r="AW232" s="401"/>
      <c r="AX232" s="401"/>
      <c r="AY232" s="401"/>
      <c r="AZ232" s="401"/>
      <c r="BA232" s="401"/>
      <c r="BB232" s="401"/>
      <c r="BC232" s="401"/>
      <c r="BD232" s="385"/>
      <c r="BE232" s="439"/>
      <c r="BF232" s="389"/>
      <c r="BG232" s="521"/>
      <c r="BH232" s="402" t="e">
        <f t="shared" si="82"/>
        <v>#DIV/0!</v>
      </c>
      <c r="BI232" s="402" t="e">
        <f t="shared" si="83"/>
        <v>#DIV/0!</v>
      </c>
    </row>
    <row r="233" spans="1:61" s="359" customFormat="1" ht="19.2" x14ac:dyDescent="0.3">
      <c r="A233" s="360" t="s">
        <v>183</v>
      </c>
      <c r="B233" s="543" t="s">
        <v>546</v>
      </c>
      <c r="C233" s="435" t="s">
        <v>428</v>
      </c>
      <c r="D233" s="361">
        <v>0.4</v>
      </c>
      <c r="E233" s="403"/>
      <c r="F233" s="404"/>
      <c r="G233" s="400"/>
      <c r="H233" s="401"/>
      <c r="I233" s="401"/>
      <c r="J233" s="401"/>
      <c r="K233" s="401"/>
      <c r="L233" s="401"/>
      <c r="M233" s="401"/>
      <c r="N233" s="401"/>
      <c r="O233" s="401"/>
      <c r="P233" s="401"/>
      <c r="Q233" s="401"/>
      <c r="R233" s="389"/>
      <c r="S233" s="389"/>
      <c r="T233" s="389"/>
      <c r="U233" s="521"/>
      <c r="V233" s="402" t="e">
        <f t="shared" si="78"/>
        <v>#DIV/0!</v>
      </c>
      <c r="W233" s="402" t="e">
        <f t="shared" si="79"/>
        <v>#DIV/0!</v>
      </c>
      <c r="X233" s="403">
        <v>120</v>
      </c>
      <c r="Y233" s="404">
        <v>150</v>
      </c>
      <c r="Z233" s="400">
        <v>150</v>
      </c>
      <c r="AA233" s="545">
        <v>46.59919</v>
      </c>
      <c r="AB233" s="401">
        <v>39.030169999999998</v>
      </c>
      <c r="AC233" s="401">
        <v>33.117600000000003</v>
      </c>
      <c r="AD233" s="401">
        <v>19.863679999999999</v>
      </c>
      <c r="AE233" s="401">
        <v>3.4799600000000002</v>
      </c>
      <c r="AF233" s="401">
        <v>0</v>
      </c>
      <c r="AG233" s="401">
        <v>0</v>
      </c>
      <c r="AH233" s="401">
        <v>2.06203</v>
      </c>
      <c r="AI233" s="401">
        <v>275.98</v>
      </c>
      <c r="AJ233" s="401">
        <v>9.9318399999999993</v>
      </c>
      <c r="AK233" s="385" t="s">
        <v>167</v>
      </c>
      <c r="AL233" s="439" t="s">
        <v>175</v>
      </c>
      <c r="AM233" s="389"/>
      <c r="AN233" s="521">
        <v>145</v>
      </c>
      <c r="AO233" s="402">
        <f t="shared" si="80"/>
        <v>388.3265833333333</v>
      </c>
      <c r="AP233" s="402">
        <f t="shared" si="81"/>
        <v>0.31066126666666666</v>
      </c>
      <c r="AQ233" s="595"/>
      <c r="AR233" s="587"/>
      <c r="AS233" s="400"/>
      <c r="AT233" s="545"/>
      <c r="AU233" s="401"/>
      <c r="AV233" s="401"/>
      <c r="AW233" s="401"/>
      <c r="AX233" s="401"/>
      <c r="AY233" s="401"/>
      <c r="AZ233" s="401"/>
      <c r="BA233" s="401"/>
      <c r="BB233" s="401"/>
      <c r="BC233" s="401"/>
      <c r="BD233" s="385"/>
      <c r="BE233" s="439"/>
      <c r="BF233" s="389"/>
      <c r="BG233" s="521"/>
      <c r="BH233" s="402" t="e">
        <f t="shared" si="82"/>
        <v>#DIV/0!</v>
      </c>
      <c r="BI233" s="402" t="e">
        <f t="shared" si="83"/>
        <v>#DIV/0!</v>
      </c>
    </row>
    <row r="234" spans="1:61" s="359" customFormat="1" ht="19.2" x14ac:dyDescent="0.3">
      <c r="A234" s="360" t="s">
        <v>185</v>
      </c>
      <c r="B234" s="543" t="s">
        <v>515</v>
      </c>
      <c r="C234" s="435" t="s">
        <v>437</v>
      </c>
      <c r="D234" s="361">
        <v>0.4</v>
      </c>
      <c r="E234" s="403"/>
      <c r="F234" s="404"/>
      <c r="G234" s="400"/>
      <c r="H234" s="401"/>
      <c r="I234" s="401"/>
      <c r="J234" s="401"/>
      <c r="K234" s="401"/>
      <c r="L234" s="401"/>
      <c r="M234" s="401"/>
      <c r="N234" s="401"/>
      <c r="O234" s="401"/>
      <c r="P234" s="401"/>
      <c r="Q234" s="401"/>
      <c r="R234" s="389"/>
      <c r="S234" s="389"/>
      <c r="T234" s="389"/>
      <c r="U234" s="521"/>
      <c r="V234" s="402" t="e">
        <f t="shared" si="78"/>
        <v>#DIV/0!</v>
      </c>
      <c r="W234" s="402" t="e">
        <f t="shared" si="79"/>
        <v>#DIV/0!</v>
      </c>
      <c r="X234" s="403">
        <v>260</v>
      </c>
      <c r="Y234" s="404">
        <v>150</v>
      </c>
      <c r="Z234" s="400">
        <v>150</v>
      </c>
      <c r="AA234" s="545">
        <v>110.36051999999999</v>
      </c>
      <c r="AB234" s="401">
        <v>90.013409999999993</v>
      </c>
      <c r="AC234" s="401">
        <v>71.754800000000003</v>
      </c>
      <c r="AD234" s="401">
        <v>9.9962199999999992</v>
      </c>
      <c r="AE234" s="401">
        <v>8.9538200000000003</v>
      </c>
      <c r="AF234" s="401">
        <v>0</v>
      </c>
      <c r="AG234" s="401">
        <v>0</v>
      </c>
      <c r="AH234" s="401">
        <v>5.8781800000000004</v>
      </c>
      <c r="AI234" s="401">
        <v>275.98</v>
      </c>
      <c r="AJ234" s="401">
        <v>9.9962199999999992</v>
      </c>
      <c r="AK234" s="385" t="s">
        <v>167</v>
      </c>
      <c r="AL234" s="439" t="s">
        <v>175</v>
      </c>
      <c r="AM234" s="389"/>
      <c r="AN234" s="521">
        <v>187</v>
      </c>
      <c r="AO234" s="402">
        <f t="shared" si="80"/>
        <v>424.46353846153846</v>
      </c>
      <c r="AP234" s="402">
        <f t="shared" si="81"/>
        <v>0.73573679999999997</v>
      </c>
      <c r="AQ234" s="595"/>
      <c r="AR234" s="587"/>
      <c r="AS234" s="400"/>
      <c r="AT234" s="545"/>
      <c r="AU234" s="401"/>
      <c r="AV234" s="401"/>
      <c r="AW234" s="401"/>
      <c r="AX234" s="401"/>
      <c r="AY234" s="401"/>
      <c r="AZ234" s="401"/>
      <c r="BA234" s="401"/>
      <c r="BB234" s="401"/>
      <c r="BC234" s="401"/>
      <c r="BD234" s="385"/>
      <c r="BE234" s="439"/>
      <c r="BF234" s="389"/>
      <c r="BG234" s="521"/>
      <c r="BH234" s="402" t="e">
        <f t="shared" si="82"/>
        <v>#DIV/0!</v>
      </c>
      <c r="BI234" s="402" t="e">
        <f t="shared" si="83"/>
        <v>#DIV/0!</v>
      </c>
    </row>
    <row r="235" spans="1:61" s="359" customFormat="1" ht="19.2" x14ac:dyDescent="0.3">
      <c r="A235" s="360" t="s">
        <v>187</v>
      </c>
      <c r="B235" s="543" t="s">
        <v>557</v>
      </c>
      <c r="C235" s="435" t="s">
        <v>449</v>
      </c>
      <c r="D235" s="361">
        <v>0.4</v>
      </c>
      <c r="E235" s="403"/>
      <c r="F235" s="404"/>
      <c r="G235" s="400"/>
      <c r="H235" s="401"/>
      <c r="I235" s="401"/>
      <c r="J235" s="401"/>
      <c r="K235" s="401"/>
      <c r="L235" s="401"/>
      <c r="M235" s="401"/>
      <c r="N235" s="401"/>
      <c r="O235" s="401"/>
      <c r="P235" s="401"/>
      <c r="Q235" s="401"/>
      <c r="R235" s="389"/>
      <c r="S235" s="389"/>
      <c r="T235" s="389"/>
      <c r="U235" s="521"/>
      <c r="V235" s="402" t="e">
        <f t="shared" si="78"/>
        <v>#DIV/0!</v>
      </c>
      <c r="W235" s="402" t="e">
        <f t="shared" si="79"/>
        <v>#DIV/0!</v>
      </c>
      <c r="X235" s="403">
        <v>630</v>
      </c>
      <c r="Y235" s="404">
        <v>200</v>
      </c>
      <c r="Z235" s="400">
        <v>200</v>
      </c>
      <c r="AA235" s="545">
        <v>456.41352999999998</v>
      </c>
      <c r="AB235" s="401">
        <v>351.69551999999999</v>
      </c>
      <c r="AC235" s="401">
        <v>174.13829999999999</v>
      </c>
      <c r="AD235" s="401">
        <f>20+60+60</f>
        <v>140</v>
      </c>
      <c r="AE235" s="401">
        <v>46.518549999999998</v>
      </c>
      <c r="AF235" s="401">
        <v>0</v>
      </c>
      <c r="AG235" s="401">
        <v>0</v>
      </c>
      <c r="AH235" s="401">
        <v>28.414909999999999</v>
      </c>
      <c r="AI235" s="401">
        <v>276.41000000000003</v>
      </c>
      <c r="AJ235" s="401">
        <v>10</v>
      </c>
      <c r="AK235" s="385" t="s">
        <v>167</v>
      </c>
      <c r="AL235" s="439" t="s">
        <v>175</v>
      </c>
      <c r="AM235" s="389"/>
      <c r="AN235" s="521">
        <v>238</v>
      </c>
      <c r="AO235" s="402">
        <f t="shared" si="80"/>
        <v>724.46592063492062</v>
      </c>
      <c r="AP235" s="402">
        <f t="shared" si="81"/>
        <v>2.2820676500000001</v>
      </c>
      <c r="AQ235" s="595"/>
      <c r="AR235" s="587"/>
      <c r="AS235" s="400"/>
      <c r="AT235" s="545"/>
      <c r="AU235" s="401"/>
      <c r="AV235" s="401"/>
      <c r="AW235" s="401"/>
      <c r="AX235" s="401"/>
      <c r="AY235" s="401"/>
      <c r="AZ235" s="401"/>
      <c r="BA235" s="401"/>
      <c r="BB235" s="401"/>
      <c r="BC235" s="401"/>
      <c r="BD235" s="385"/>
      <c r="BE235" s="439"/>
      <c r="BF235" s="389"/>
      <c r="BG235" s="521"/>
      <c r="BH235" s="402" t="e">
        <f t="shared" si="82"/>
        <v>#DIV/0!</v>
      </c>
      <c r="BI235" s="402" t="e">
        <f t="shared" si="83"/>
        <v>#DIV/0!</v>
      </c>
    </row>
    <row r="236" spans="1:61" s="359" customFormat="1" ht="19.2" x14ac:dyDescent="0.3">
      <c r="A236" s="360" t="s">
        <v>190</v>
      </c>
      <c r="B236" s="543" t="s">
        <v>558</v>
      </c>
      <c r="C236" s="435" t="s">
        <v>455</v>
      </c>
      <c r="D236" s="361">
        <v>0.4</v>
      </c>
      <c r="E236" s="403"/>
      <c r="F236" s="404"/>
      <c r="G236" s="400"/>
      <c r="H236" s="401"/>
      <c r="I236" s="401"/>
      <c r="J236" s="401"/>
      <c r="K236" s="401"/>
      <c r="L236" s="401"/>
      <c r="M236" s="401"/>
      <c r="N236" s="401"/>
      <c r="O236" s="401"/>
      <c r="P236" s="401"/>
      <c r="Q236" s="401"/>
      <c r="R236" s="389"/>
      <c r="S236" s="389"/>
      <c r="T236" s="389"/>
      <c r="U236" s="521"/>
      <c r="V236" s="402" t="e">
        <f t="shared" si="78"/>
        <v>#DIV/0!</v>
      </c>
      <c r="W236" s="402" t="e">
        <f t="shared" si="79"/>
        <v>#DIV/0!</v>
      </c>
      <c r="X236" s="403">
        <v>270</v>
      </c>
      <c r="Y236" s="404">
        <v>70</v>
      </c>
      <c r="Z236" s="400">
        <v>70</v>
      </c>
      <c r="AA236" s="545">
        <v>180.97210000000001</v>
      </c>
      <c r="AB236" s="401">
        <v>142.04891000000001</v>
      </c>
      <c r="AC236" s="401">
        <v>74.630700000000004</v>
      </c>
      <c r="AD236" s="401">
        <v>50</v>
      </c>
      <c r="AE236" s="401">
        <v>16.83625</v>
      </c>
      <c r="AF236" s="401">
        <v>0</v>
      </c>
      <c r="AG236" s="401">
        <v>0</v>
      </c>
      <c r="AH236" s="401">
        <v>10.748810000000001</v>
      </c>
      <c r="AI236" s="401">
        <v>276.41000000000003</v>
      </c>
      <c r="AJ236" s="401">
        <v>10</v>
      </c>
      <c r="AK236" s="385" t="s">
        <v>167</v>
      </c>
      <c r="AL236" s="439" t="s">
        <v>175</v>
      </c>
      <c r="AM236" s="389"/>
      <c r="AN236" s="521">
        <v>263</v>
      </c>
      <c r="AO236" s="402">
        <f t="shared" si="80"/>
        <v>670.26703703703708</v>
      </c>
      <c r="AP236" s="402">
        <f t="shared" si="81"/>
        <v>2.5853157142857146</v>
      </c>
      <c r="AQ236" s="595"/>
      <c r="AR236" s="587"/>
      <c r="AS236" s="400"/>
      <c r="AT236" s="545"/>
      <c r="AU236" s="401"/>
      <c r="AV236" s="401"/>
      <c r="AW236" s="401"/>
      <c r="AX236" s="401"/>
      <c r="AY236" s="401"/>
      <c r="AZ236" s="401"/>
      <c r="BA236" s="401"/>
      <c r="BB236" s="401"/>
      <c r="BC236" s="401"/>
      <c r="BD236" s="385"/>
      <c r="BE236" s="439"/>
      <c r="BF236" s="389"/>
      <c r="BG236" s="521"/>
      <c r="BH236" s="402" t="e">
        <f t="shared" si="82"/>
        <v>#DIV/0!</v>
      </c>
      <c r="BI236" s="402" t="e">
        <f t="shared" si="83"/>
        <v>#DIV/0!</v>
      </c>
    </row>
    <row r="237" spans="1:61" s="359" customFormat="1" ht="19.2" x14ac:dyDescent="0.3">
      <c r="A237" s="360" t="s">
        <v>598</v>
      </c>
      <c r="B237" s="543" t="s">
        <v>521</v>
      </c>
      <c r="C237" s="435" t="s">
        <v>457</v>
      </c>
      <c r="D237" s="361">
        <v>0.4</v>
      </c>
      <c r="E237" s="403"/>
      <c r="F237" s="404"/>
      <c r="G237" s="400"/>
      <c r="H237" s="401"/>
      <c r="I237" s="401"/>
      <c r="J237" s="401"/>
      <c r="K237" s="401"/>
      <c r="L237" s="401"/>
      <c r="M237" s="401"/>
      <c r="N237" s="401"/>
      <c r="O237" s="401"/>
      <c r="P237" s="401"/>
      <c r="Q237" s="401"/>
      <c r="R237" s="389"/>
      <c r="S237" s="389"/>
      <c r="T237" s="389"/>
      <c r="U237" s="521"/>
      <c r="V237" s="402" t="e">
        <f t="shared" si="78"/>
        <v>#DIV/0!</v>
      </c>
      <c r="W237" s="402" t="e">
        <f t="shared" si="79"/>
        <v>#DIV/0!</v>
      </c>
      <c r="X237" s="403">
        <v>330</v>
      </c>
      <c r="Y237" s="404">
        <v>15</v>
      </c>
      <c r="Z237" s="400">
        <v>15</v>
      </c>
      <c r="AA237" s="545">
        <v>353.24525999999997</v>
      </c>
      <c r="AB237" s="401">
        <v>264.91836000000001</v>
      </c>
      <c r="AC237" s="401">
        <v>91.215299999999999</v>
      </c>
      <c r="AD237" s="401">
        <f>80+40+30</f>
        <v>150</v>
      </c>
      <c r="AE237" s="401">
        <v>39.075429999999997</v>
      </c>
      <c r="AF237" s="401">
        <v>0</v>
      </c>
      <c r="AG237" s="401">
        <v>0</v>
      </c>
      <c r="AH237" s="401">
        <v>23.892610000000001</v>
      </c>
      <c r="AI237" s="401">
        <v>276.41000000000003</v>
      </c>
      <c r="AJ237" s="401">
        <v>10</v>
      </c>
      <c r="AK237" s="385" t="s">
        <v>167</v>
      </c>
      <c r="AL237" s="439" t="s">
        <v>175</v>
      </c>
      <c r="AM237" s="389"/>
      <c r="AN237" s="521">
        <v>280</v>
      </c>
      <c r="AO237" s="402">
        <f t="shared" si="80"/>
        <v>1070.4401818181816</v>
      </c>
      <c r="AP237" s="402">
        <f t="shared" si="81"/>
        <v>23.549683999999999</v>
      </c>
      <c r="AQ237" s="595"/>
      <c r="AR237" s="587"/>
      <c r="AS237" s="400"/>
      <c r="AT237" s="545"/>
      <c r="AU237" s="401"/>
      <c r="AV237" s="401"/>
      <c r="AW237" s="401"/>
      <c r="AX237" s="401"/>
      <c r="AY237" s="401"/>
      <c r="AZ237" s="401"/>
      <c r="BA237" s="401"/>
      <c r="BB237" s="401"/>
      <c r="BC237" s="401"/>
      <c r="BD237" s="385"/>
      <c r="BE237" s="439"/>
      <c r="BF237" s="389"/>
      <c r="BG237" s="521"/>
      <c r="BH237" s="402" t="e">
        <f t="shared" si="82"/>
        <v>#DIV/0!</v>
      </c>
      <c r="BI237" s="402" t="e">
        <f t="shared" si="83"/>
        <v>#DIV/0!</v>
      </c>
    </row>
    <row r="238" spans="1:61" s="359" customFormat="1" ht="19.2" x14ac:dyDescent="0.3">
      <c r="A238" s="360" t="s">
        <v>599</v>
      </c>
      <c r="B238" s="543" t="s">
        <v>559</v>
      </c>
      <c r="C238" s="435" t="s">
        <v>458</v>
      </c>
      <c r="D238" s="361">
        <v>0.4</v>
      </c>
      <c r="E238" s="403"/>
      <c r="F238" s="404"/>
      <c r="G238" s="400"/>
      <c r="H238" s="401"/>
      <c r="I238" s="401"/>
      <c r="J238" s="401"/>
      <c r="K238" s="401"/>
      <c r="L238" s="401"/>
      <c r="M238" s="401"/>
      <c r="N238" s="401"/>
      <c r="O238" s="401"/>
      <c r="P238" s="401"/>
      <c r="Q238" s="401"/>
      <c r="R238" s="389"/>
      <c r="S238" s="389"/>
      <c r="T238" s="389"/>
      <c r="U238" s="521"/>
      <c r="V238" s="402" t="e">
        <f t="shared" si="78"/>
        <v>#DIV/0!</v>
      </c>
      <c r="W238" s="402" t="e">
        <f t="shared" si="79"/>
        <v>#DIV/0!</v>
      </c>
      <c r="X238" s="403">
        <v>300</v>
      </c>
      <c r="Y238" s="404">
        <v>15</v>
      </c>
      <c r="Z238" s="400">
        <v>15</v>
      </c>
      <c r="AA238" s="545">
        <v>368.42045000000002</v>
      </c>
      <c r="AB238" s="401">
        <v>275.21843000000001</v>
      </c>
      <c r="AC238" s="401">
        <v>82.923000000000002</v>
      </c>
      <c r="AD238" s="401">
        <f>90+40+30</f>
        <v>160</v>
      </c>
      <c r="AE238" s="401">
        <v>40.603520000000003</v>
      </c>
      <c r="AF238" s="401">
        <v>0</v>
      </c>
      <c r="AG238" s="401">
        <v>0</v>
      </c>
      <c r="AH238" s="401">
        <v>25.481760000000001</v>
      </c>
      <c r="AI238" s="401">
        <v>276.41000000000003</v>
      </c>
      <c r="AJ238" s="401">
        <v>10</v>
      </c>
      <c r="AK238" s="385" t="s">
        <v>167</v>
      </c>
      <c r="AL238" s="439" t="s">
        <v>175</v>
      </c>
      <c r="AM238" s="389"/>
      <c r="AN238" s="521">
        <v>286</v>
      </c>
      <c r="AO238" s="402">
        <f t="shared" si="80"/>
        <v>1228.0681666666667</v>
      </c>
      <c r="AP238" s="402">
        <f t="shared" si="81"/>
        <v>24.561363333333336</v>
      </c>
      <c r="AQ238" s="595"/>
      <c r="AR238" s="587"/>
      <c r="AS238" s="400"/>
      <c r="AT238" s="545"/>
      <c r="AU238" s="401"/>
      <c r="AV238" s="401"/>
      <c r="AW238" s="401"/>
      <c r="AX238" s="401"/>
      <c r="AY238" s="401"/>
      <c r="AZ238" s="401"/>
      <c r="BA238" s="401"/>
      <c r="BB238" s="401"/>
      <c r="BC238" s="401"/>
      <c r="BD238" s="385"/>
      <c r="BE238" s="439"/>
      <c r="BF238" s="389"/>
      <c r="BG238" s="521"/>
      <c r="BH238" s="402" t="e">
        <f t="shared" si="82"/>
        <v>#DIV/0!</v>
      </c>
      <c r="BI238" s="402" t="e">
        <f t="shared" si="83"/>
        <v>#DIV/0!</v>
      </c>
    </row>
    <row r="239" spans="1:61" s="359" customFormat="1" ht="19.2" x14ac:dyDescent="0.3">
      <c r="A239" s="360" t="s">
        <v>600</v>
      </c>
      <c r="B239" s="543" t="s">
        <v>560</v>
      </c>
      <c r="C239" s="435" t="s">
        <v>463</v>
      </c>
      <c r="D239" s="361">
        <v>0.4</v>
      </c>
      <c r="E239" s="403"/>
      <c r="F239" s="404"/>
      <c r="G239" s="400"/>
      <c r="H239" s="401"/>
      <c r="I239" s="401"/>
      <c r="J239" s="401"/>
      <c r="K239" s="401"/>
      <c r="L239" s="401"/>
      <c r="M239" s="401"/>
      <c r="N239" s="401"/>
      <c r="O239" s="401"/>
      <c r="P239" s="401"/>
      <c r="Q239" s="401"/>
      <c r="R239" s="389"/>
      <c r="S239" s="389"/>
      <c r="T239" s="389"/>
      <c r="U239" s="521"/>
      <c r="V239" s="402" t="e">
        <f t="shared" si="78"/>
        <v>#DIV/0!</v>
      </c>
      <c r="W239" s="402" t="e">
        <f t="shared" si="79"/>
        <v>#DIV/0!</v>
      </c>
      <c r="X239" s="403">
        <v>90</v>
      </c>
      <c r="Y239" s="404">
        <v>150</v>
      </c>
      <c r="Z239" s="400">
        <v>150</v>
      </c>
      <c r="AA239" s="545">
        <v>125.29512</v>
      </c>
      <c r="AB239" s="401">
        <v>91.427840000000003</v>
      </c>
      <c r="AC239" s="401">
        <v>24.867899999999999</v>
      </c>
      <c r="AD239" s="401">
        <f>20+40</f>
        <v>60</v>
      </c>
      <c r="AE239" s="401" t="s">
        <v>464</v>
      </c>
      <c r="AF239" s="401">
        <v>0</v>
      </c>
      <c r="AG239" s="401">
        <v>0</v>
      </c>
      <c r="AH239" s="401">
        <v>9.2323400000000007</v>
      </c>
      <c r="AI239" s="401">
        <v>276.31</v>
      </c>
      <c r="AJ239" s="401">
        <v>10</v>
      </c>
      <c r="AK239" s="385" t="s">
        <v>167</v>
      </c>
      <c r="AL239" s="439" t="s">
        <v>175</v>
      </c>
      <c r="AM239" s="389"/>
      <c r="AN239" s="521">
        <v>312</v>
      </c>
      <c r="AO239" s="402">
        <f t="shared" si="80"/>
        <v>1392.1680000000001</v>
      </c>
      <c r="AP239" s="402">
        <f t="shared" si="81"/>
        <v>0.83530079999999995</v>
      </c>
      <c r="AQ239" s="595"/>
      <c r="AR239" s="587"/>
      <c r="AS239" s="400"/>
      <c r="AT239" s="545"/>
      <c r="AU239" s="401"/>
      <c r="AV239" s="401"/>
      <c r="AW239" s="401"/>
      <c r="AX239" s="401"/>
      <c r="AY239" s="401"/>
      <c r="AZ239" s="401"/>
      <c r="BA239" s="401"/>
      <c r="BB239" s="401"/>
      <c r="BC239" s="401"/>
      <c r="BD239" s="385"/>
      <c r="BE239" s="439"/>
      <c r="BF239" s="389"/>
      <c r="BG239" s="521"/>
      <c r="BH239" s="402" t="e">
        <f t="shared" si="82"/>
        <v>#DIV/0!</v>
      </c>
      <c r="BI239" s="402" t="e">
        <f t="shared" si="83"/>
        <v>#DIV/0!</v>
      </c>
    </row>
    <row r="240" spans="1:61" s="359" customFormat="1" ht="19.2" x14ac:dyDescent="0.3">
      <c r="A240" s="360" t="s">
        <v>179</v>
      </c>
      <c r="B240" s="579" t="s">
        <v>773</v>
      </c>
      <c r="C240" s="435" t="s">
        <v>633</v>
      </c>
      <c r="D240" s="361">
        <v>0.4</v>
      </c>
      <c r="E240" s="403"/>
      <c r="F240" s="404"/>
      <c r="G240" s="400"/>
      <c r="H240" s="401"/>
      <c r="I240" s="401"/>
      <c r="J240" s="401"/>
      <c r="K240" s="401"/>
      <c r="L240" s="401"/>
      <c r="M240" s="401"/>
      <c r="N240" s="401"/>
      <c r="O240" s="401"/>
      <c r="P240" s="401"/>
      <c r="Q240" s="401"/>
      <c r="R240" s="389"/>
      <c r="S240" s="389"/>
      <c r="T240" s="389"/>
      <c r="U240" s="521"/>
      <c r="V240" s="402"/>
      <c r="W240" s="402"/>
      <c r="X240" s="403"/>
      <c r="Y240" s="404"/>
      <c r="Z240" s="400"/>
      <c r="AA240" s="401"/>
      <c r="AB240" s="401"/>
      <c r="AC240" s="401"/>
      <c r="AD240" s="401"/>
      <c r="AE240" s="401"/>
      <c r="AF240" s="401"/>
      <c r="AG240" s="401"/>
      <c r="AH240" s="401"/>
      <c r="AI240" s="401"/>
      <c r="AJ240" s="401"/>
      <c r="AK240" s="385"/>
      <c r="AL240" s="439"/>
      <c r="AM240" s="389"/>
      <c r="AN240" s="521"/>
      <c r="AO240" s="402"/>
      <c r="AP240" s="402"/>
      <c r="AQ240" s="595">
        <v>282</v>
      </c>
      <c r="AR240" s="587">
        <v>150</v>
      </c>
      <c r="AS240" s="400">
        <v>150</v>
      </c>
      <c r="AT240" s="578">
        <v>303.17410000000001</v>
      </c>
      <c r="AU240" s="401">
        <v>228.06681</v>
      </c>
      <c r="AV240" s="401">
        <v>79.168679999999995</v>
      </c>
      <c r="AW240" s="401">
        <f>19.81368+79.25472+29.72052</f>
        <v>128.78892000000002</v>
      </c>
      <c r="AX240" s="401">
        <v>35.31955</v>
      </c>
      <c r="AY240" s="401">
        <v>0</v>
      </c>
      <c r="AZ240" s="401">
        <v>0</v>
      </c>
      <c r="BA240" s="401">
        <v>19.740210000000001</v>
      </c>
      <c r="BB240" s="401">
        <v>280.74</v>
      </c>
      <c r="BC240" s="401">
        <v>9.9068400000000008</v>
      </c>
      <c r="BD240" s="385" t="s">
        <v>167</v>
      </c>
      <c r="BE240" s="439" t="s">
        <v>175</v>
      </c>
      <c r="BF240" s="389"/>
      <c r="BG240" s="521">
        <v>280</v>
      </c>
      <c r="BH240" s="402">
        <f t="shared" si="82"/>
        <v>1075.0854609929079</v>
      </c>
      <c r="BI240" s="402">
        <f t="shared" si="83"/>
        <v>2.0211606666666668</v>
      </c>
    </row>
    <row r="241" spans="1:61" s="359" customFormat="1" ht="19.2" x14ac:dyDescent="0.3">
      <c r="A241" s="360" t="s">
        <v>183</v>
      </c>
      <c r="B241" s="579" t="s">
        <v>774</v>
      </c>
      <c r="C241" s="435" t="s">
        <v>636</v>
      </c>
      <c r="D241" s="361">
        <v>0.4</v>
      </c>
      <c r="E241" s="403"/>
      <c r="F241" s="404"/>
      <c r="G241" s="400"/>
      <c r="H241" s="401"/>
      <c r="I241" s="401"/>
      <c r="J241" s="401"/>
      <c r="K241" s="401"/>
      <c r="L241" s="401"/>
      <c r="M241" s="401"/>
      <c r="N241" s="401"/>
      <c r="O241" s="401"/>
      <c r="P241" s="401"/>
      <c r="Q241" s="401"/>
      <c r="R241" s="389"/>
      <c r="S241" s="389"/>
      <c r="T241" s="389"/>
      <c r="U241" s="521"/>
      <c r="V241" s="402"/>
      <c r="W241" s="402"/>
      <c r="X241" s="403"/>
      <c r="Y241" s="404"/>
      <c r="Z241" s="400"/>
      <c r="AA241" s="401"/>
      <c r="AB241" s="401"/>
      <c r="AC241" s="401"/>
      <c r="AD241" s="401"/>
      <c r="AE241" s="401"/>
      <c r="AF241" s="401"/>
      <c r="AG241" s="401"/>
      <c r="AH241" s="401"/>
      <c r="AI241" s="401"/>
      <c r="AJ241" s="401"/>
      <c r="AK241" s="385"/>
      <c r="AL241" s="439"/>
      <c r="AM241" s="389"/>
      <c r="AN241" s="521"/>
      <c r="AO241" s="402"/>
      <c r="AP241" s="402"/>
      <c r="AQ241" s="595">
        <v>570</v>
      </c>
      <c r="AR241" s="587">
        <v>15</v>
      </c>
      <c r="AS241" s="400">
        <v>15</v>
      </c>
      <c r="AT241" s="578">
        <v>601.64049999999997</v>
      </c>
      <c r="AU241" s="401">
        <v>449.90285999999998</v>
      </c>
      <c r="AV241" s="401">
        <v>160.02180000000001</v>
      </c>
      <c r="AW241" s="401">
        <f>109.21196+109.21196+9.90684+29.72052</f>
        <v>258.05128000000002</v>
      </c>
      <c r="AX241" s="401">
        <v>70.526409999999998</v>
      </c>
      <c r="AY241" s="401">
        <v>0</v>
      </c>
      <c r="AZ241" s="401">
        <v>0</v>
      </c>
      <c r="BA241" s="401">
        <v>40.169240000000002</v>
      </c>
      <c r="BB241" s="401">
        <v>280.74</v>
      </c>
      <c r="BC241" s="401">
        <v>9.9283599999999996</v>
      </c>
      <c r="BD241" s="385" t="s">
        <v>167</v>
      </c>
      <c r="BE241" s="439" t="s">
        <v>175</v>
      </c>
      <c r="BF241" s="389"/>
      <c r="BG241" s="521">
        <v>284</v>
      </c>
      <c r="BH241" s="402">
        <f t="shared" si="82"/>
        <v>1055.5096491228069</v>
      </c>
      <c r="BI241" s="402">
        <f t="shared" si="83"/>
        <v>40.109366666666666</v>
      </c>
    </row>
    <row r="242" spans="1:61" s="359" customFormat="1" ht="19.2" x14ac:dyDescent="0.3">
      <c r="A242" s="360" t="s">
        <v>185</v>
      </c>
      <c r="B242" s="579" t="s">
        <v>775</v>
      </c>
      <c r="C242" s="435" t="s">
        <v>637</v>
      </c>
      <c r="D242" s="361">
        <v>0.4</v>
      </c>
      <c r="E242" s="403"/>
      <c r="F242" s="404"/>
      <c r="G242" s="400"/>
      <c r="H242" s="401"/>
      <c r="I242" s="401"/>
      <c r="J242" s="401"/>
      <c r="K242" s="401"/>
      <c r="L242" s="401"/>
      <c r="M242" s="401"/>
      <c r="N242" s="401"/>
      <c r="O242" s="401"/>
      <c r="P242" s="401"/>
      <c r="Q242" s="401"/>
      <c r="R242" s="389"/>
      <c r="S242" s="389"/>
      <c r="T242" s="389"/>
      <c r="U242" s="521"/>
      <c r="V242" s="402"/>
      <c r="W242" s="402"/>
      <c r="X242" s="403"/>
      <c r="Y242" s="404"/>
      <c r="Z242" s="400"/>
      <c r="AA242" s="401"/>
      <c r="AB242" s="401"/>
      <c r="AC242" s="401"/>
      <c r="AD242" s="401"/>
      <c r="AE242" s="401"/>
      <c r="AF242" s="401"/>
      <c r="AG242" s="401"/>
      <c r="AH242" s="401"/>
      <c r="AI242" s="401"/>
      <c r="AJ242" s="401"/>
      <c r="AK242" s="385"/>
      <c r="AL242" s="439"/>
      <c r="AM242" s="389"/>
      <c r="AN242" s="521"/>
      <c r="AO242" s="402"/>
      <c r="AP242" s="402"/>
      <c r="AQ242" s="595">
        <v>390</v>
      </c>
      <c r="AR242" s="587">
        <v>15</v>
      </c>
      <c r="AS242" s="400">
        <v>15</v>
      </c>
      <c r="AT242" s="578">
        <v>213.05171000000001</v>
      </c>
      <c r="AU242" s="401">
        <v>161.16646</v>
      </c>
      <c r="AV242" s="401">
        <v>106.2204</v>
      </c>
      <c r="AW242" s="401">
        <f>9.92836+9.89615</f>
        <v>19.82451</v>
      </c>
      <c r="AX242" s="401">
        <v>21.17727</v>
      </c>
      <c r="AY242" s="401">
        <v>0</v>
      </c>
      <c r="AZ242" s="401">
        <v>0</v>
      </c>
      <c r="BA242" s="401">
        <v>14.738670000000001</v>
      </c>
      <c r="BB242" s="401">
        <v>272.36</v>
      </c>
      <c r="BC242" s="401">
        <v>9.8961500000000004</v>
      </c>
      <c r="BD242" s="385" t="s">
        <v>167</v>
      </c>
      <c r="BE242" s="439" t="s">
        <v>175</v>
      </c>
      <c r="BF242" s="389"/>
      <c r="BG242" s="521">
        <v>289</v>
      </c>
      <c r="BH242" s="402">
        <f t="shared" si="82"/>
        <v>546.28643589743592</v>
      </c>
      <c r="BI242" s="402">
        <f t="shared" si="83"/>
        <v>14.203447333333335</v>
      </c>
    </row>
    <row r="243" spans="1:61" s="359" customFormat="1" ht="19.2" x14ac:dyDescent="0.3">
      <c r="A243" s="360" t="s">
        <v>187</v>
      </c>
      <c r="B243" s="579" t="s">
        <v>776</v>
      </c>
      <c r="C243" s="435" t="s">
        <v>638</v>
      </c>
      <c r="D243" s="361">
        <v>0.4</v>
      </c>
      <c r="E243" s="403"/>
      <c r="F243" s="404"/>
      <c r="G243" s="400"/>
      <c r="H243" s="401"/>
      <c r="I243" s="401"/>
      <c r="J243" s="401"/>
      <c r="K243" s="401"/>
      <c r="L243" s="401"/>
      <c r="M243" s="401"/>
      <c r="N243" s="401"/>
      <c r="O243" s="401"/>
      <c r="P243" s="401"/>
      <c r="Q243" s="401"/>
      <c r="R243" s="389"/>
      <c r="S243" s="389"/>
      <c r="T243" s="389"/>
      <c r="U243" s="521"/>
      <c r="V243" s="402"/>
      <c r="W243" s="402"/>
      <c r="X243" s="403"/>
      <c r="Y243" s="404"/>
      <c r="Z243" s="400"/>
      <c r="AA243" s="401"/>
      <c r="AB243" s="401"/>
      <c r="AC243" s="401"/>
      <c r="AD243" s="401"/>
      <c r="AE243" s="401"/>
      <c r="AF243" s="401"/>
      <c r="AG243" s="401"/>
      <c r="AH243" s="401"/>
      <c r="AI243" s="401"/>
      <c r="AJ243" s="401"/>
      <c r="AK243" s="385"/>
      <c r="AL243" s="439"/>
      <c r="AM243" s="389"/>
      <c r="AN243" s="521"/>
      <c r="AO243" s="402"/>
      <c r="AP243" s="402"/>
      <c r="AQ243" s="595">
        <v>630</v>
      </c>
      <c r="AR243" s="587">
        <v>150</v>
      </c>
      <c r="AS243" s="400">
        <v>150</v>
      </c>
      <c r="AT243" s="578">
        <v>458.15751</v>
      </c>
      <c r="AU243" s="401">
        <v>351.36106000000001</v>
      </c>
      <c r="AV243" s="401">
        <v>174.13829999999999</v>
      </c>
      <c r="AW243" s="401">
        <f>20+60+60</f>
        <v>140</v>
      </c>
      <c r="AX243" s="401">
        <v>46.518549999999998</v>
      </c>
      <c r="AY243" s="401">
        <v>0</v>
      </c>
      <c r="AZ243" s="401">
        <v>0</v>
      </c>
      <c r="BA243" s="401">
        <v>29.217479999999998</v>
      </c>
      <c r="BB243" s="401">
        <v>276.41000000000003</v>
      </c>
      <c r="BC243" s="401">
        <v>10</v>
      </c>
      <c r="BD243" s="385" t="s">
        <v>167</v>
      </c>
      <c r="BE243" s="439" t="s">
        <v>175</v>
      </c>
      <c r="BF243" s="389"/>
      <c r="BG243" s="521">
        <v>294</v>
      </c>
      <c r="BH243" s="402">
        <f t="shared" si="82"/>
        <v>727.23414285714284</v>
      </c>
      <c r="BI243" s="402">
        <f t="shared" si="83"/>
        <v>3.0543833999999999</v>
      </c>
    </row>
    <row r="244" spans="1:61" s="359" customFormat="1" ht="19.2" x14ac:dyDescent="0.3">
      <c r="A244" s="360" t="s">
        <v>190</v>
      </c>
      <c r="B244" s="579" t="s">
        <v>777</v>
      </c>
      <c r="C244" s="435" t="s">
        <v>639</v>
      </c>
      <c r="D244" s="361">
        <v>0.4</v>
      </c>
      <c r="E244" s="403"/>
      <c r="F244" s="404"/>
      <c r="G244" s="400"/>
      <c r="H244" s="401"/>
      <c r="I244" s="401"/>
      <c r="J244" s="401"/>
      <c r="K244" s="401"/>
      <c r="L244" s="401"/>
      <c r="M244" s="401"/>
      <c r="N244" s="401"/>
      <c r="O244" s="401"/>
      <c r="P244" s="401"/>
      <c r="Q244" s="401"/>
      <c r="R244" s="389"/>
      <c r="S244" s="389"/>
      <c r="T244" s="389"/>
      <c r="U244" s="521"/>
      <c r="V244" s="402"/>
      <c r="W244" s="402"/>
      <c r="X244" s="403"/>
      <c r="Y244" s="404"/>
      <c r="Z244" s="400"/>
      <c r="AA244" s="401"/>
      <c r="AB244" s="401"/>
      <c r="AC244" s="401"/>
      <c r="AD244" s="401"/>
      <c r="AE244" s="401"/>
      <c r="AF244" s="401"/>
      <c r="AG244" s="401"/>
      <c r="AH244" s="401"/>
      <c r="AI244" s="401"/>
      <c r="AJ244" s="401"/>
      <c r="AK244" s="385"/>
      <c r="AL244" s="439"/>
      <c r="AM244" s="389"/>
      <c r="AN244" s="521"/>
      <c r="AO244" s="402"/>
      <c r="AP244" s="402"/>
      <c r="AQ244" s="595">
        <v>380</v>
      </c>
      <c r="AR244" s="587">
        <v>150</v>
      </c>
      <c r="AS244" s="400">
        <v>150</v>
      </c>
      <c r="AT244" s="578">
        <v>176.52185</v>
      </c>
      <c r="AU244" s="401">
        <v>142.30332999999999</v>
      </c>
      <c r="AV244" s="401">
        <v>107.0004</v>
      </c>
      <c r="AW244" s="401">
        <v>19.780819999999999</v>
      </c>
      <c r="AX244" s="401">
        <v>14.24511</v>
      </c>
      <c r="AY244" s="401">
        <v>0</v>
      </c>
      <c r="AZ244" s="401">
        <v>0</v>
      </c>
      <c r="BA244" s="401">
        <v>9.7222899999999992</v>
      </c>
      <c r="BB244" s="401">
        <v>281.58</v>
      </c>
      <c r="BC244" s="401">
        <v>9.8904099999999993</v>
      </c>
      <c r="BD244" s="385" t="s">
        <v>167</v>
      </c>
      <c r="BE244" s="439" t="s">
        <v>175</v>
      </c>
      <c r="BF244" s="389"/>
      <c r="BG244" s="521">
        <v>299</v>
      </c>
      <c r="BH244" s="402">
        <f t="shared" si="82"/>
        <v>464.53118421052631</v>
      </c>
      <c r="BI244" s="402">
        <f t="shared" si="83"/>
        <v>1.1768123333333333</v>
      </c>
    </row>
    <row r="245" spans="1:61" s="359" customFormat="1" ht="19.2" x14ac:dyDescent="0.3">
      <c r="A245" s="360" t="s">
        <v>598</v>
      </c>
      <c r="B245" s="579" t="s">
        <v>778</v>
      </c>
      <c r="C245" s="435" t="s">
        <v>646</v>
      </c>
      <c r="D245" s="361">
        <v>0.4</v>
      </c>
      <c r="E245" s="403"/>
      <c r="F245" s="404"/>
      <c r="G245" s="400"/>
      <c r="H245" s="401"/>
      <c r="I245" s="401"/>
      <c r="J245" s="401"/>
      <c r="K245" s="401"/>
      <c r="L245" s="401"/>
      <c r="M245" s="401"/>
      <c r="N245" s="401"/>
      <c r="O245" s="401"/>
      <c r="P245" s="401"/>
      <c r="Q245" s="401"/>
      <c r="R245" s="389"/>
      <c r="S245" s="389"/>
      <c r="T245" s="389"/>
      <c r="U245" s="521"/>
      <c r="V245" s="402"/>
      <c r="W245" s="402"/>
      <c r="X245" s="403"/>
      <c r="Y245" s="404"/>
      <c r="Z245" s="400"/>
      <c r="AA245" s="401"/>
      <c r="AB245" s="401"/>
      <c r="AC245" s="401"/>
      <c r="AD245" s="401"/>
      <c r="AE245" s="401"/>
      <c r="AF245" s="401"/>
      <c r="AG245" s="401"/>
      <c r="AH245" s="401"/>
      <c r="AI245" s="401"/>
      <c r="AJ245" s="401"/>
      <c r="AK245" s="385"/>
      <c r="AL245" s="439"/>
      <c r="AM245" s="389"/>
      <c r="AN245" s="521"/>
      <c r="AO245" s="402"/>
      <c r="AP245" s="402"/>
      <c r="AQ245" s="595">
        <v>433</v>
      </c>
      <c r="AR245" s="587">
        <v>15</v>
      </c>
      <c r="AS245" s="400">
        <v>15</v>
      </c>
      <c r="AT245" s="578">
        <v>510.86254000000002</v>
      </c>
      <c r="AU245" s="401">
        <v>387.66570000000002</v>
      </c>
      <c r="AV245" s="401">
        <v>122.19692999999999</v>
      </c>
      <c r="AW245" s="401">
        <f>118.5486+79.0324+29.63715</f>
        <v>227.21814999999998</v>
      </c>
      <c r="AX245" s="401">
        <v>55.058759999999999</v>
      </c>
      <c r="AY245" s="401">
        <v>0</v>
      </c>
      <c r="AZ245" s="401">
        <v>0</v>
      </c>
      <c r="BA245" s="401">
        <v>33.283389999999997</v>
      </c>
      <c r="BB245" s="401">
        <v>282.20999999999998</v>
      </c>
      <c r="BC245" s="401">
        <v>9.8790499999999994</v>
      </c>
      <c r="BD245" s="385" t="s">
        <v>167</v>
      </c>
      <c r="BE245" s="439" t="s">
        <v>175</v>
      </c>
      <c r="BF245" s="389"/>
      <c r="BG245" s="521">
        <v>304</v>
      </c>
      <c r="BH245" s="402">
        <f t="shared" si="82"/>
        <v>1179.8211085450348</v>
      </c>
      <c r="BI245" s="402">
        <f t="shared" si="83"/>
        <v>34.057502666666672</v>
      </c>
    </row>
    <row r="246" spans="1:61" s="359" customFormat="1" ht="19.2" x14ac:dyDescent="0.3">
      <c r="A246" s="360" t="s">
        <v>599</v>
      </c>
      <c r="B246" s="579" t="s">
        <v>779</v>
      </c>
      <c r="C246" s="435" t="s">
        <v>647</v>
      </c>
      <c r="D246" s="361">
        <v>0.4</v>
      </c>
      <c r="E246" s="403"/>
      <c r="F246" s="404"/>
      <c r="G246" s="400"/>
      <c r="H246" s="401"/>
      <c r="I246" s="401"/>
      <c r="J246" s="401"/>
      <c r="K246" s="401"/>
      <c r="L246" s="401"/>
      <c r="M246" s="401"/>
      <c r="N246" s="401"/>
      <c r="O246" s="401"/>
      <c r="P246" s="401"/>
      <c r="Q246" s="401"/>
      <c r="R246" s="389"/>
      <c r="S246" s="389"/>
      <c r="T246" s="389"/>
      <c r="U246" s="521"/>
      <c r="V246" s="402"/>
      <c r="W246" s="402"/>
      <c r="X246" s="403"/>
      <c r="Y246" s="404"/>
      <c r="Z246" s="400"/>
      <c r="AA246" s="401"/>
      <c r="AB246" s="401"/>
      <c r="AC246" s="401"/>
      <c r="AD246" s="401"/>
      <c r="AE246" s="401"/>
      <c r="AF246" s="401"/>
      <c r="AG246" s="401"/>
      <c r="AH246" s="401"/>
      <c r="AI246" s="401"/>
      <c r="AJ246" s="401"/>
      <c r="AK246" s="385"/>
      <c r="AL246" s="439"/>
      <c r="AM246" s="389"/>
      <c r="AN246" s="521"/>
      <c r="AO246" s="402"/>
      <c r="AP246" s="402"/>
      <c r="AQ246" s="595">
        <v>230</v>
      </c>
      <c r="AR246" s="587">
        <v>15</v>
      </c>
      <c r="AS246" s="400">
        <v>15</v>
      </c>
      <c r="AT246" s="578">
        <v>208.42137</v>
      </c>
      <c r="AU246" s="401">
        <v>156.27875</v>
      </c>
      <c r="AV246" s="401">
        <v>48.386000000000003</v>
      </c>
      <c r="AW246" s="401">
        <f>29.63715+59.2743</f>
        <v>88.911450000000002</v>
      </c>
      <c r="AX246" s="401">
        <v>23.337150000000001</v>
      </c>
      <c r="AY246" s="401">
        <v>0</v>
      </c>
      <c r="AZ246" s="401">
        <v>0</v>
      </c>
      <c r="BA246" s="401">
        <v>14.10656</v>
      </c>
      <c r="BB246" s="401">
        <v>282.20999999999998</v>
      </c>
      <c r="BC246" s="401">
        <v>9.8790499999999994</v>
      </c>
      <c r="BD246" s="385" t="s">
        <v>167</v>
      </c>
      <c r="BE246" s="439" t="s">
        <v>175</v>
      </c>
      <c r="BF246" s="389"/>
      <c r="BG246" s="521">
        <v>310</v>
      </c>
      <c r="BH246" s="402">
        <f t="shared" si="82"/>
        <v>906.17986956521736</v>
      </c>
      <c r="BI246" s="402">
        <f t="shared" si="83"/>
        <v>13.894757999999999</v>
      </c>
    </row>
    <row r="247" spans="1:61" s="359" customFormat="1" ht="19.2" x14ac:dyDescent="0.3">
      <c r="A247" s="360" t="s">
        <v>600</v>
      </c>
      <c r="B247" s="579" t="s">
        <v>307</v>
      </c>
      <c r="C247" s="435" t="s">
        <v>651</v>
      </c>
      <c r="D247" s="361">
        <v>0.4</v>
      </c>
      <c r="E247" s="403"/>
      <c r="F247" s="404"/>
      <c r="G247" s="400"/>
      <c r="H247" s="401"/>
      <c r="I247" s="401"/>
      <c r="J247" s="401"/>
      <c r="K247" s="401"/>
      <c r="L247" s="401"/>
      <c r="M247" s="401"/>
      <c r="N247" s="401"/>
      <c r="O247" s="401"/>
      <c r="P247" s="401"/>
      <c r="Q247" s="401"/>
      <c r="R247" s="389"/>
      <c r="S247" s="389"/>
      <c r="T247" s="389"/>
      <c r="U247" s="521"/>
      <c r="V247" s="402"/>
      <c r="W247" s="402"/>
      <c r="X247" s="403"/>
      <c r="Y247" s="404"/>
      <c r="Z247" s="400"/>
      <c r="AA247" s="401"/>
      <c r="AB247" s="401"/>
      <c r="AC247" s="401"/>
      <c r="AD247" s="401"/>
      <c r="AE247" s="401"/>
      <c r="AF247" s="401"/>
      <c r="AG247" s="401"/>
      <c r="AH247" s="401"/>
      <c r="AI247" s="401"/>
      <c r="AJ247" s="401"/>
      <c r="AK247" s="385"/>
      <c r="AL247" s="439"/>
      <c r="AM247" s="389"/>
      <c r="AN247" s="521"/>
      <c r="AO247" s="402"/>
      <c r="AP247" s="402"/>
      <c r="AQ247" s="595">
        <v>320</v>
      </c>
      <c r="AR247" s="587">
        <v>150</v>
      </c>
      <c r="AS247" s="400">
        <v>150</v>
      </c>
      <c r="AT247" s="578">
        <v>224.11785</v>
      </c>
      <c r="AU247" s="401">
        <v>178.64645999999999</v>
      </c>
      <c r="AV247" s="401">
        <v>90.307199999999995</v>
      </c>
      <c r="AW247" s="401">
        <f>19.7581+39.5508</f>
        <v>59.308900000000001</v>
      </c>
      <c r="AX247" s="401">
        <v>20.0974</v>
      </c>
      <c r="AY247" s="401">
        <v>0</v>
      </c>
      <c r="AZ247" s="401">
        <v>0</v>
      </c>
      <c r="BA247" s="401">
        <v>12.46299</v>
      </c>
      <c r="BB247" s="401">
        <v>282.20999999999998</v>
      </c>
      <c r="BC247" s="401">
        <v>9.8877000000000006</v>
      </c>
      <c r="BD247" s="385" t="s">
        <v>167</v>
      </c>
      <c r="BE247" s="439" t="s">
        <v>175</v>
      </c>
      <c r="BF247" s="389"/>
      <c r="BG247" s="521">
        <v>316</v>
      </c>
      <c r="BH247" s="402">
        <f t="shared" si="82"/>
        <v>700.36828125000011</v>
      </c>
      <c r="BI247" s="402">
        <f t="shared" si="83"/>
        <v>1.494119</v>
      </c>
    </row>
    <row r="248" spans="1:61" s="359" customFormat="1" ht="19.2" x14ac:dyDescent="0.3">
      <c r="A248" s="360" t="s">
        <v>601</v>
      </c>
      <c r="B248" s="579" t="s">
        <v>780</v>
      </c>
      <c r="C248" s="435" t="s">
        <v>652</v>
      </c>
      <c r="D248" s="361">
        <v>0.4</v>
      </c>
      <c r="E248" s="403"/>
      <c r="F248" s="404"/>
      <c r="G248" s="400"/>
      <c r="H248" s="401"/>
      <c r="I248" s="401"/>
      <c r="J248" s="401"/>
      <c r="K248" s="401"/>
      <c r="L248" s="401"/>
      <c r="M248" s="401"/>
      <c r="N248" s="401"/>
      <c r="O248" s="401"/>
      <c r="P248" s="401"/>
      <c r="Q248" s="401"/>
      <c r="R248" s="389"/>
      <c r="S248" s="389"/>
      <c r="T248" s="389"/>
      <c r="U248" s="521"/>
      <c r="V248" s="402"/>
      <c r="W248" s="402"/>
      <c r="X248" s="403"/>
      <c r="Y248" s="404"/>
      <c r="Z248" s="400"/>
      <c r="AA248" s="401"/>
      <c r="AB248" s="401"/>
      <c r="AC248" s="401"/>
      <c r="AD248" s="401"/>
      <c r="AE248" s="401"/>
      <c r="AF248" s="401"/>
      <c r="AG248" s="401"/>
      <c r="AH248" s="401"/>
      <c r="AI248" s="401"/>
      <c r="AJ248" s="401"/>
      <c r="AK248" s="385"/>
      <c r="AL248" s="439"/>
      <c r="AM248" s="389"/>
      <c r="AN248" s="521"/>
      <c r="AO248" s="402"/>
      <c r="AP248" s="402"/>
      <c r="AQ248" s="595">
        <v>250</v>
      </c>
      <c r="AR248" s="587">
        <v>150</v>
      </c>
      <c r="AS248" s="400">
        <v>150</v>
      </c>
      <c r="AT248" s="578">
        <v>147.09905000000001</v>
      </c>
      <c r="AU248" s="401">
        <v>118.5401</v>
      </c>
      <c r="AV248" s="401">
        <v>70.552499999999995</v>
      </c>
      <c r="AW248" s="401">
        <f>9.87905+19.7581</f>
        <v>29.637149999999998</v>
      </c>
      <c r="AX248" s="401">
        <v>12.51506</v>
      </c>
      <c r="AY248" s="401">
        <v>0</v>
      </c>
      <c r="AZ248" s="401">
        <v>0</v>
      </c>
      <c r="BA248" s="401">
        <v>7.8957800000000002</v>
      </c>
      <c r="BB248" s="401">
        <v>282.20999999999998</v>
      </c>
      <c r="BC248" s="401">
        <v>9.8790499999999994</v>
      </c>
      <c r="BD248" s="385" t="s">
        <v>167</v>
      </c>
      <c r="BE248" s="439" t="s">
        <v>175</v>
      </c>
      <c r="BF248" s="389"/>
      <c r="BG248" s="521">
        <v>320</v>
      </c>
      <c r="BH248" s="402">
        <f t="shared" si="82"/>
        <v>588.39620000000002</v>
      </c>
      <c r="BI248" s="402">
        <f t="shared" si="83"/>
        <v>0.98066033333333336</v>
      </c>
    </row>
    <row r="249" spans="1:61" s="359" customFormat="1" ht="19.2" x14ac:dyDescent="0.3">
      <c r="A249" s="360" t="s">
        <v>602</v>
      </c>
      <c r="B249" s="579" t="s">
        <v>781</v>
      </c>
      <c r="C249" s="435" t="s">
        <v>653</v>
      </c>
      <c r="D249" s="361">
        <v>0.4</v>
      </c>
      <c r="E249" s="403"/>
      <c r="F249" s="404"/>
      <c r="G249" s="400"/>
      <c r="H249" s="401"/>
      <c r="I249" s="401"/>
      <c r="J249" s="401"/>
      <c r="K249" s="401"/>
      <c r="L249" s="401"/>
      <c r="M249" s="401"/>
      <c r="N249" s="401"/>
      <c r="O249" s="401"/>
      <c r="P249" s="401"/>
      <c r="Q249" s="401"/>
      <c r="R249" s="389"/>
      <c r="S249" s="389"/>
      <c r="T249" s="389"/>
      <c r="U249" s="521"/>
      <c r="V249" s="402"/>
      <c r="W249" s="402"/>
      <c r="X249" s="403"/>
      <c r="Y249" s="404"/>
      <c r="Z249" s="400"/>
      <c r="AA249" s="401"/>
      <c r="AB249" s="401"/>
      <c r="AC249" s="401"/>
      <c r="AD249" s="401"/>
      <c r="AE249" s="401"/>
      <c r="AF249" s="401"/>
      <c r="AG249" s="401"/>
      <c r="AH249" s="401"/>
      <c r="AI249" s="401"/>
      <c r="AJ249" s="401"/>
      <c r="AK249" s="385"/>
      <c r="AL249" s="439"/>
      <c r="AM249" s="389"/>
      <c r="AN249" s="521"/>
      <c r="AO249" s="402"/>
      <c r="AP249" s="402"/>
      <c r="AQ249" s="595">
        <v>650</v>
      </c>
      <c r="AR249" s="587">
        <v>15</v>
      </c>
      <c r="AS249" s="400">
        <v>15</v>
      </c>
      <c r="AT249" s="578">
        <v>565.55001000000004</v>
      </c>
      <c r="AU249" s="401">
        <v>436.91577999999998</v>
      </c>
      <c r="AV249" s="401">
        <v>183.44300000000001</v>
      </c>
      <c r="AW249" s="401">
        <f>69.15335+98.6897</f>
        <v>167.84305000000001</v>
      </c>
      <c r="AX249" s="401">
        <v>56.978589999999997</v>
      </c>
      <c r="AY249" s="401">
        <v>0</v>
      </c>
      <c r="AZ249" s="401">
        <v>0</v>
      </c>
      <c r="BA249" s="401">
        <v>35.050750000000001</v>
      </c>
      <c r="BB249" s="401">
        <v>282.22000000000003</v>
      </c>
      <c r="BC249" s="401">
        <v>9.8790499999999994</v>
      </c>
      <c r="BD249" s="385" t="s">
        <v>167</v>
      </c>
      <c r="BE249" s="439" t="s">
        <v>175</v>
      </c>
      <c r="BF249" s="389"/>
      <c r="BG249" s="521">
        <v>324</v>
      </c>
      <c r="BH249" s="402">
        <f t="shared" si="82"/>
        <v>870.07693846153859</v>
      </c>
      <c r="BI249" s="402">
        <f t="shared" si="83"/>
        <v>37.703334000000005</v>
      </c>
    </row>
    <row r="250" spans="1:61" s="359" customFormat="1" ht="19.2" x14ac:dyDescent="0.3">
      <c r="A250" s="360" t="s">
        <v>603</v>
      </c>
      <c r="B250" s="579" t="s">
        <v>782</v>
      </c>
      <c r="C250" s="435" t="s">
        <v>664</v>
      </c>
      <c r="D250" s="361">
        <v>0.4</v>
      </c>
      <c r="E250" s="403"/>
      <c r="F250" s="404"/>
      <c r="G250" s="400"/>
      <c r="H250" s="401"/>
      <c r="I250" s="401"/>
      <c r="J250" s="401"/>
      <c r="K250" s="401"/>
      <c r="L250" s="401"/>
      <c r="M250" s="401"/>
      <c r="N250" s="401"/>
      <c r="O250" s="401"/>
      <c r="P250" s="401"/>
      <c r="Q250" s="401"/>
      <c r="R250" s="389"/>
      <c r="S250" s="389"/>
      <c r="T250" s="389"/>
      <c r="U250" s="521"/>
      <c r="V250" s="402"/>
      <c r="W250" s="402"/>
      <c r="X250" s="403"/>
      <c r="Y250" s="404"/>
      <c r="Z250" s="400"/>
      <c r="AA250" s="401"/>
      <c r="AB250" s="401"/>
      <c r="AC250" s="401"/>
      <c r="AD250" s="401"/>
      <c r="AE250" s="401"/>
      <c r="AF250" s="401"/>
      <c r="AG250" s="401"/>
      <c r="AH250" s="401"/>
      <c r="AI250" s="401"/>
      <c r="AJ250" s="401"/>
      <c r="AK250" s="385"/>
      <c r="AL250" s="439"/>
      <c r="AM250" s="389"/>
      <c r="AN250" s="521"/>
      <c r="AO250" s="402"/>
      <c r="AP250" s="402"/>
      <c r="AQ250" s="595">
        <v>190</v>
      </c>
      <c r="AR250" s="587">
        <v>50</v>
      </c>
      <c r="AS250" s="400">
        <v>50</v>
      </c>
      <c r="AT250" s="578">
        <v>90.399069999999995</v>
      </c>
      <c r="AU250" s="401">
        <v>74.036950000000004</v>
      </c>
      <c r="AV250" s="401">
        <v>53.623699999999999</v>
      </c>
      <c r="AW250" s="401">
        <v>9.8633799999999994</v>
      </c>
      <c r="AX250" s="401">
        <v>7.2673399999999999</v>
      </c>
      <c r="AY250" s="401">
        <v>0</v>
      </c>
      <c r="AZ250" s="401">
        <v>0</v>
      </c>
      <c r="BA250" s="401">
        <v>4.5631300000000001</v>
      </c>
      <c r="BB250" s="401">
        <v>282.23</v>
      </c>
      <c r="BC250" s="401">
        <v>9.8633799999999994</v>
      </c>
      <c r="BD250" s="385" t="s">
        <v>167</v>
      </c>
      <c r="BE250" s="439" t="s">
        <v>175</v>
      </c>
      <c r="BF250" s="389"/>
      <c r="BG250" s="521">
        <v>327</v>
      </c>
      <c r="BH250" s="402">
        <f t="shared" si="82"/>
        <v>475.7845789473684</v>
      </c>
      <c r="BI250" s="402">
        <f t="shared" si="83"/>
        <v>1.8079813999999998</v>
      </c>
    </row>
    <row r="251" spans="1:61" s="359" customFormat="1" ht="19.2" x14ac:dyDescent="0.3">
      <c r="A251" s="360" t="s">
        <v>604</v>
      </c>
      <c r="B251" s="579" t="s">
        <v>783</v>
      </c>
      <c r="C251" s="435" t="s">
        <v>666</v>
      </c>
      <c r="D251" s="361">
        <v>0.4</v>
      </c>
      <c r="E251" s="403"/>
      <c r="F251" s="404"/>
      <c r="G251" s="400"/>
      <c r="H251" s="401"/>
      <c r="I251" s="401"/>
      <c r="J251" s="401"/>
      <c r="K251" s="401"/>
      <c r="L251" s="401"/>
      <c r="M251" s="401"/>
      <c r="N251" s="401"/>
      <c r="O251" s="401"/>
      <c r="P251" s="401"/>
      <c r="Q251" s="401"/>
      <c r="R251" s="389"/>
      <c r="S251" s="389"/>
      <c r="T251" s="389"/>
      <c r="U251" s="521"/>
      <c r="V251" s="402"/>
      <c r="W251" s="402"/>
      <c r="X251" s="403"/>
      <c r="Y251" s="404"/>
      <c r="Z251" s="400"/>
      <c r="AA251" s="401"/>
      <c r="AB251" s="401"/>
      <c r="AC251" s="401"/>
      <c r="AD251" s="401"/>
      <c r="AE251" s="401"/>
      <c r="AF251" s="401"/>
      <c r="AG251" s="401"/>
      <c r="AH251" s="401"/>
      <c r="AI251" s="401"/>
      <c r="AJ251" s="401"/>
      <c r="AK251" s="385"/>
      <c r="AL251" s="439"/>
      <c r="AM251" s="389"/>
      <c r="AN251" s="521"/>
      <c r="AO251" s="402"/>
      <c r="AP251" s="402"/>
      <c r="AQ251" s="595">
        <v>50</v>
      </c>
      <c r="AR251" s="587">
        <v>150</v>
      </c>
      <c r="AS251" s="400">
        <v>150</v>
      </c>
      <c r="AT251" s="578">
        <v>81.702960000000004</v>
      </c>
      <c r="AU251" s="401">
        <v>59.38156</v>
      </c>
      <c r="AV251" s="401">
        <v>14.111499999999999</v>
      </c>
      <c r="AW251" s="401">
        <v>39.453519999999997</v>
      </c>
      <c r="AX251" s="401">
        <v>9.2497299999999996</v>
      </c>
      <c r="AY251" s="401">
        <v>0</v>
      </c>
      <c r="AZ251" s="401">
        <v>0</v>
      </c>
      <c r="BA251" s="401">
        <v>6.1228400000000001</v>
      </c>
      <c r="BB251" s="401">
        <v>282.23</v>
      </c>
      <c r="BC251" s="401">
        <v>9.8633799999999994</v>
      </c>
      <c r="BD251" s="385" t="s">
        <v>167</v>
      </c>
      <c r="BE251" s="439" t="s">
        <v>175</v>
      </c>
      <c r="BF251" s="389"/>
      <c r="BG251" s="521">
        <v>335</v>
      </c>
      <c r="BH251" s="402">
        <f t="shared" si="82"/>
        <v>1634.0592000000001</v>
      </c>
      <c r="BI251" s="402">
        <f t="shared" si="83"/>
        <v>0.54468640000000001</v>
      </c>
    </row>
    <row r="252" spans="1:61" s="359" customFormat="1" ht="19.2" x14ac:dyDescent="0.3">
      <c r="A252" s="360" t="s">
        <v>605</v>
      </c>
      <c r="B252" s="579" t="s">
        <v>784</v>
      </c>
      <c r="C252" s="435" t="s">
        <v>687</v>
      </c>
      <c r="D252" s="361">
        <v>0.4</v>
      </c>
      <c r="E252" s="403"/>
      <c r="F252" s="404"/>
      <c r="G252" s="400"/>
      <c r="H252" s="401"/>
      <c r="I252" s="401"/>
      <c r="J252" s="401"/>
      <c r="K252" s="401"/>
      <c r="L252" s="401"/>
      <c r="M252" s="401"/>
      <c r="N252" s="401"/>
      <c r="O252" s="401"/>
      <c r="P252" s="401"/>
      <c r="Q252" s="401"/>
      <c r="R252" s="389"/>
      <c r="S252" s="389"/>
      <c r="T252" s="389"/>
      <c r="U252" s="521"/>
      <c r="V252" s="402"/>
      <c r="W252" s="402"/>
      <c r="X252" s="403"/>
      <c r="Y252" s="404"/>
      <c r="Z252" s="400"/>
      <c r="AA252" s="401"/>
      <c r="AB252" s="401"/>
      <c r="AC252" s="401"/>
      <c r="AD252" s="401"/>
      <c r="AE252" s="401"/>
      <c r="AF252" s="401"/>
      <c r="AG252" s="401"/>
      <c r="AH252" s="401"/>
      <c r="AI252" s="401"/>
      <c r="AJ252" s="401"/>
      <c r="AK252" s="385"/>
      <c r="AL252" s="439"/>
      <c r="AM252" s="389"/>
      <c r="AN252" s="521"/>
      <c r="AO252" s="402"/>
      <c r="AP252" s="402"/>
      <c r="AQ252" s="595">
        <v>587</v>
      </c>
      <c r="AR252" s="587">
        <v>15</v>
      </c>
      <c r="AS252" s="400">
        <v>15</v>
      </c>
      <c r="AT252" s="578">
        <v>603.59208999999998</v>
      </c>
      <c r="AU252" s="401">
        <v>458.57715999999999</v>
      </c>
      <c r="AV252" s="401">
        <v>162.91011</v>
      </c>
      <c r="AW252" s="401">
        <f>108.48739+78.89992+59.17494</f>
        <v>246.56225000000001</v>
      </c>
      <c r="AX252" s="401">
        <v>66.661649999999995</v>
      </c>
      <c r="AY252" s="401">
        <v>0</v>
      </c>
      <c r="AZ252" s="401">
        <v>0</v>
      </c>
      <c r="BA252" s="401">
        <v>38.4178</v>
      </c>
      <c r="BB252" s="401">
        <v>277.52999999999997</v>
      </c>
      <c r="BC252" s="401">
        <v>9.8624899999999993</v>
      </c>
      <c r="BD252" s="385" t="s">
        <v>167</v>
      </c>
      <c r="BE252" s="439" t="s">
        <v>175</v>
      </c>
      <c r="BF252" s="389"/>
      <c r="BG252" s="521">
        <v>340</v>
      </c>
      <c r="BH252" s="402">
        <f t="shared" si="82"/>
        <v>1028.2659114139694</v>
      </c>
      <c r="BI252" s="402">
        <f t="shared" si="83"/>
        <v>40.239472666666664</v>
      </c>
    </row>
    <row r="253" spans="1:61" s="359" customFormat="1" ht="19.2" x14ac:dyDescent="0.3">
      <c r="A253" s="360" t="s">
        <v>606</v>
      </c>
      <c r="B253" s="579" t="s">
        <v>785</v>
      </c>
      <c r="C253" s="435" t="s">
        <v>688</v>
      </c>
      <c r="D253" s="361">
        <v>0.4</v>
      </c>
      <c r="E253" s="403"/>
      <c r="F253" s="404"/>
      <c r="G253" s="400"/>
      <c r="H253" s="401"/>
      <c r="I253" s="401"/>
      <c r="J253" s="401"/>
      <c r="K253" s="401"/>
      <c r="L253" s="401"/>
      <c r="M253" s="401"/>
      <c r="N253" s="401"/>
      <c r="O253" s="401"/>
      <c r="P253" s="401"/>
      <c r="Q253" s="401"/>
      <c r="R253" s="389"/>
      <c r="S253" s="389"/>
      <c r="T253" s="389"/>
      <c r="U253" s="521"/>
      <c r="V253" s="402"/>
      <c r="W253" s="402"/>
      <c r="X253" s="403"/>
      <c r="Y253" s="404"/>
      <c r="Z253" s="400"/>
      <c r="AA253" s="401"/>
      <c r="AB253" s="401"/>
      <c r="AC253" s="401"/>
      <c r="AD253" s="401"/>
      <c r="AE253" s="401"/>
      <c r="AF253" s="401"/>
      <c r="AG253" s="401"/>
      <c r="AH253" s="401"/>
      <c r="AI253" s="401"/>
      <c r="AJ253" s="401"/>
      <c r="AK253" s="385"/>
      <c r="AL253" s="439"/>
      <c r="AM253" s="389"/>
      <c r="AN253" s="521"/>
      <c r="AO253" s="402"/>
      <c r="AP253" s="402"/>
      <c r="AQ253" s="595">
        <v>110</v>
      </c>
      <c r="AR253" s="587">
        <v>60</v>
      </c>
      <c r="AS253" s="400">
        <v>60</v>
      </c>
      <c r="AT253" s="578">
        <v>106.81779</v>
      </c>
      <c r="AU253" s="401">
        <v>81.114369999999994</v>
      </c>
      <c r="AV253" s="401">
        <v>30.528300000000002</v>
      </c>
      <c r="AW253" s="401">
        <v>39.44876</v>
      </c>
      <c r="AX253" s="401">
        <v>10.863250000000001</v>
      </c>
      <c r="AY253" s="401">
        <v>0</v>
      </c>
      <c r="AZ253" s="401">
        <v>0</v>
      </c>
      <c r="BA253" s="401">
        <v>7.0526</v>
      </c>
      <c r="BB253" s="401">
        <v>277.52999999999997</v>
      </c>
      <c r="BC253" s="401">
        <v>9.86219</v>
      </c>
      <c r="BD253" s="385" t="s">
        <v>167</v>
      </c>
      <c r="BE253" s="439" t="s">
        <v>175</v>
      </c>
      <c r="BF253" s="389"/>
      <c r="BG253" s="521">
        <v>345</v>
      </c>
      <c r="BH253" s="402">
        <f t="shared" si="82"/>
        <v>971.07081818181814</v>
      </c>
      <c r="BI253" s="402">
        <f t="shared" si="83"/>
        <v>1.7802964999999999</v>
      </c>
    </row>
    <row r="254" spans="1:61" s="359" customFormat="1" ht="19.2" x14ac:dyDescent="0.3">
      <c r="A254" s="360" t="s">
        <v>607</v>
      </c>
      <c r="B254" s="579" t="s">
        <v>786</v>
      </c>
      <c r="C254" s="435" t="s">
        <v>693</v>
      </c>
      <c r="D254" s="361">
        <v>0.4</v>
      </c>
      <c r="E254" s="403"/>
      <c r="F254" s="404"/>
      <c r="G254" s="400"/>
      <c r="H254" s="401"/>
      <c r="I254" s="401"/>
      <c r="J254" s="401"/>
      <c r="K254" s="401"/>
      <c r="L254" s="401"/>
      <c r="M254" s="401"/>
      <c r="N254" s="401"/>
      <c r="O254" s="401"/>
      <c r="P254" s="401"/>
      <c r="Q254" s="401"/>
      <c r="R254" s="389"/>
      <c r="S254" s="389"/>
      <c r="T254" s="389"/>
      <c r="U254" s="521"/>
      <c r="V254" s="402"/>
      <c r="W254" s="402"/>
      <c r="X254" s="403"/>
      <c r="Y254" s="404"/>
      <c r="Z254" s="400"/>
      <c r="AA254" s="401"/>
      <c r="AB254" s="401"/>
      <c r="AC254" s="401"/>
      <c r="AD254" s="401"/>
      <c r="AE254" s="401"/>
      <c r="AF254" s="401"/>
      <c r="AG254" s="401"/>
      <c r="AH254" s="401"/>
      <c r="AI254" s="401"/>
      <c r="AJ254" s="401"/>
      <c r="AK254" s="385"/>
      <c r="AL254" s="439"/>
      <c r="AM254" s="389"/>
      <c r="AN254" s="521"/>
      <c r="AO254" s="402"/>
      <c r="AP254" s="402"/>
      <c r="AQ254" s="595">
        <v>50</v>
      </c>
      <c r="AR254" s="587">
        <v>90</v>
      </c>
      <c r="AS254" s="400">
        <v>90</v>
      </c>
      <c r="AT254" s="578">
        <v>35.625799999999998</v>
      </c>
      <c r="AU254" s="401">
        <v>28.180389999999999</v>
      </c>
      <c r="AV254" s="401">
        <v>13.8765</v>
      </c>
      <c r="AW254" s="401">
        <v>9.8634500000000003</v>
      </c>
      <c r="AX254" s="401">
        <v>3.2937799999999999</v>
      </c>
      <c r="AY254" s="401">
        <v>0</v>
      </c>
      <c r="AZ254" s="401">
        <v>0</v>
      </c>
      <c r="BA254" s="401">
        <v>2.0301200000000001</v>
      </c>
      <c r="BB254" s="401">
        <v>277.52999999999997</v>
      </c>
      <c r="BC254" s="401">
        <v>9.8634500000000003</v>
      </c>
      <c r="BD254" s="385" t="s">
        <v>167</v>
      </c>
      <c r="BE254" s="439" t="s">
        <v>175</v>
      </c>
      <c r="BF254" s="389"/>
      <c r="BG254" s="521">
        <v>349</v>
      </c>
      <c r="BH254" s="402">
        <f t="shared" ref="BH254:BH283" si="87">AT254/AQ254*1000</f>
        <v>712.51599999999996</v>
      </c>
      <c r="BI254" s="402">
        <f t="shared" ref="BI254:BI283" si="88">AT254/AR254</f>
        <v>0.39584222222222221</v>
      </c>
    </row>
    <row r="255" spans="1:61" s="359" customFormat="1" ht="19.2" x14ac:dyDescent="0.3">
      <c r="A255" s="360" t="s">
        <v>608</v>
      </c>
      <c r="B255" s="579" t="s">
        <v>787</v>
      </c>
      <c r="C255" s="435" t="s">
        <v>696</v>
      </c>
      <c r="D255" s="361">
        <v>0.4</v>
      </c>
      <c r="E255" s="403"/>
      <c r="F255" s="404"/>
      <c r="G255" s="400"/>
      <c r="H255" s="401"/>
      <c r="I255" s="401"/>
      <c r="J255" s="401"/>
      <c r="K255" s="401"/>
      <c r="L255" s="401"/>
      <c r="M255" s="401"/>
      <c r="N255" s="401"/>
      <c r="O255" s="401"/>
      <c r="P255" s="401"/>
      <c r="Q255" s="401"/>
      <c r="R255" s="389"/>
      <c r="S255" s="389"/>
      <c r="T255" s="389"/>
      <c r="U255" s="521"/>
      <c r="V255" s="402"/>
      <c r="W255" s="402"/>
      <c r="X255" s="403"/>
      <c r="Y255" s="404"/>
      <c r="Z255" s="400"/>
      <c r="AA255" s="401"/>
      <c r="AB255" s="401"/>
      <c r="AC255" s="401"/>
      <c r="AD255" s="401"/>
      <c r="AE255" s="401"/>
      <c r="AF255" s="401"/>
      <c r="AG255" s="401"/>
      <c r="AH255" s="401"/>
      <c r="AI255" s="401"/>
      <c r="AJ255" s="401"/>
      <c r="AK255" s="385"/>
      <c r="AL255" s="439"/>
      <c r="AM255" s="389"/>
      <c r="AN255" s="521"/>
      <c r="AO255" s="402"/>
      <c r="AP255" s="402"/>
      <c r="AQ255" s="595">
        <v>80</v>
      </c>
      <c r="AR255" s="587">
        <v>150</v>
      </c>
      <c r="AS255" s="400">
        <v>150</v>
      </c>
      <c r="AT255" s="578">
        <v>92.047920000000005</v>
      </c>
      <c r="AU255" s="401">
        <v>72.908600000000007</v>
      </c>
      <c r="AV255" s="401">
        <v>22.202400000000001</v>
      </c>
      <c r="AW255" s="401">
        <v>19.724399999999999</v>
      </c>
      <c r="AX255" s="401">
        <v>7.8059200000000004</v>
      </c>
      <c r="AY255" s="401">
        <v>0</v>
      </c>
      <c r="AZ255" s="401">
        <v>0</v>
      </c>
      <c r="BA255" s="401">
        <v>5.3141499999999997</v>
      </c>
      <c r="BB255" s="401">
        <v>277.52999999999997</v>
      </c>
      <c r="BC255" s="401">
        <v>9.8621999999999996</v>
      </c>
      <c r="BD255" s="385" t="s">
        <v>167</v>
      </c>
      <c r="BE255" s="439" t="s">
        <v>175</v>
      </c>
      <c r="BF255" s="389"/>
      <c r="BG255" s="521">
        <v>364</v>
      </c>
      <c r="BH255" s="402">
        <f t="shared" si="87"/>
        <v>1150.5990000000002</v>
      </c>
      <c r="BI255" s="402">
        <f t="shared" si="88"/>
        <v>0.6136528</v>
      </c>
    </row>
    <row r="256" spans="1:61" s="359" customFormat="1" x14ac:dyDescent="0.3">
      <c r="A256" s="360"/>
      <c r="B256" s="382"/>
      <c r="C256" s="435"/>
      <c r="D256" s="361">
        <v>0.4</v>
      </c>
      <c r="E256" s="403"/>
      <c r="F256" s="404"/>
      <c r="G256" s="400"/>
      <c r="H256" s="401"/>
      <c r="I256" s="401"/>
      <c r="J256" s="401"/>
      <c r="K256" s="401"/>
      <c r="L256" s="401"/>
      <c r="M256" s="401"/>
      <c r="N256" s="401"/>
      <c r="O256" s="401"/>
      <c r="P256" s="401"/>
      <c r="Q256" s="401"/>
      <c r="R256" s="389"/>
      <c r="S256" s="389"/>
      <c r="T256" s="389"/>
      <c r="U256" s="521"/>
      <c r="V256" s="402"/>
      <c r="W256" s="402"/>
      <c r="X256" s="403"/>
      <c r="Y256" s="404"/>
      <c r="Z256" s="400"/>
      <c r="AA256" s="401"/>
      <c r="AB256" s="401"/>
      <c r="AC256" s="401"/>
      <c r="AD256" s="401"/>
      <c r="AE256" s="401"/>
      <c r="AF256" s="401"/>
      <c r="AG256" s="401"/>
      <c r="AH256" s="401"/>
      <c r="AI256" s="401"/>
      <c r="AJ256" s="401"/>
      <c r="AK256" s="385"/>
      <c r="AL256" s="439"/>
      <c r="AM256" s="389"/>
      <c r="AN256" s="521"/>
      <c r="AO256" s="402"/>
      <c r="AP256" s="402"/>
      <c r="AQ256" s="595"/>
      <c r="AR256" s="587"/>
      <c r="AS256" s="400"/>
      <c r="AT256" s="401"/>
      <c r="AU256" s="401"/>
      <c r="AV256" s="401"/>
      <c r="AW256" s="401"/>
      <c r="AX256" s="401"/>
      <c r="AY256" s="401"/>
      <c r="AZ256" s="401"/>
      <c r="BA256" s="401"/>
      <c r="BB256" s="401"/>
      <c r="BC256" s="401"/>
      <c r="BD256" s="385"/>
      <c r="BE256" s="439"/>
      <c r="BF256" s="389"/>
      <c r="BG256" s="521"/>
      <c r="BH256" s="402" t="e">
        <f t="shared" si="87"/>
        <v>#DIV/0!</v>
      </c>
      <c r="BI256" s="402" t="e">
        <f t="shared" si="88"/>
        <v>#DIV/0!</v>
      </c>
    </row>
    <row r="257" spans="1:61" s="359" customFormat="1" x14ac:dyDescent="0.3">
      <c r="A257" s="360"/>
      <c r="B257" s="382"/>
      <c r="C257" s="435"/>
      <c r="D257" s="361"/>
      <c r="E257" s="403"/>
      <c r="F257" s="404"/>
      <c r="G257" s="400"/>
      <c r="H257" s="401"/>
      <c r="I257" s="401"/>
      <c r="J257" s="401"/>
      <c r="K257" s="401"/>
      <c r="L257" s="401"/>
      <c r="M257" s="401"/>
      <c r="N257" s="401"/>
      <c r="O257" s="401"/>
      <c r="P257" s="401"/>
      <c r="Q257" s="401"/>
      <c r="R257" s="389"/>
      <c r="S257" s="389"/>
      <c r="T257" s="389"/>
      <c r="U257" s="521"/>
      <c r="V257" s="402" t="e">
        <f>H257/E257*1000</f>
        <v>#DIV/0!</v>
      </c>
      <c r="W257" s="402" t="e">
        <f>H257/F257</f>
        <v>#DIV/0!</v>
      </c>
      <c r="X257" s="403"/>
      <c r="Y257" s="404"/>
      <c r="Z257" s="400"/>
      <c r="AA257" s="401"/>
      <c r="AB257" s="401"/>
      <c r="AC257" s="401"/>
      <c r="AD257" s="401"/>
      <c r="AE257" s="401"/>
      <c r="AF257" s="401"/>
      <c r="AG257" s="401"/>
      <c r="AH257" s="401"/>
      <c r="AI257" s="401"/>
      <c r="AJ257" s="401"/>
      <c r="AK257" s="389"/>
      <c r="AL257" s="389"/>
      <c r="AM257" s="389"/>
      <c r="AN257" s="521"/>
      <c r="AO257" s="402" t="e">
        <f>AA257/X257*1000</f>
        <v>#DIV/0!</v>
      </c>
      <c r="AP257" s="402" t="e">
        <f>AA257/Y257</f>
        <v>#DIV/0!</v>
      </c>
      <c r="AQ257" s="595"/>
      <c r="AR257" s="587"/>
      <c r="AS257" s="400"/>
      <c r="AT257" s="401"/>
      <c r="AU257" s="401"/>
      <c r="AV257" s="401"/>
      <c r="AW257" s="401"/>
      <c r="AX257" s="401"/>
      <c r="AY257" s="401"/>
      <c r="AZ257" s="401"/>
      <c r="BA257" s="401"/>
      <c r="BB257" s="401"/>
      <c r="BC257" s="401"/>
      <c r="BD257" s="389"/>
      <c r="BE257" s="389"/>
      <c r="BF257" s="389"/>
      <c r="BG257" s="521"/>
      <c r="BH257" s="402" t="e">
        <f t="shared" si="87"/>
        <v>#DIV/0!</v>
      </c>
      <c r="BI257" s="402" t="e">
        <f t="shared" si="88"/>
        <v>#DIV/0!</v>
      </c>
    </row>
    <row r="258" spans="1:61" s="359" customFormat="1" ht="24.75" customHeight="1" x14ac:dyDescent="0.3">
      <c r="A258" s="355" t="s">
        <v>185</v>
      </c>
      <c r="B258" s="356" t="s">
        <v>219</v>
      </c>
      <c r="C258" s="432"/>
      <c r="D258" s="357">
        <v>6</v>
      </c>
      <c r="E258" s="396">
        <f t="shared" ref="E258:Q258" si="89">SUM(E259:E261)</f>
        <v>0</v>
      </c>
      <c r="F258" s="396">
        <f t="shared" si="89"/>
        <v>0</v>
      </c>
      <c r="G258" s="396">
        <f t="shared" si="89"/>
        <v>0</v>
      </c>
      <c r="H258" s="397">
        <f t="shared" si="89"/>
        <v>0</v>
      </c>
      <c r="I258" s="397">
        <f t="shared" si="89"/>
        <v>0</v>
      </c>
      <c r="J258" s="397">
        <f t="shared" si="89"/>
        <v>0</v>
      </c>
      <c r="K258" s="397">
        <f t="shared" si="89"/>
        <v>0</v>
      </c>
      <c r="L258" s="397">
        <f t="shared" si="89"/>
        <v>0</v>
      </c>
      <c r="M258" s="397">
        <f t="shared" si="89"/>
        <v>0</v>
      </c>
      <c r="N258" s="397">
        <f t="shared" si="89"/>
        <v>0</v>
      </c>
      <c r="O258" s="397">
        <f t="shared" si="89"/>
        <v>0</v>
      </c>
      <c r="P258" s="397">
        <f t="shared" si="89"/>
        <v>0</v>
      </c>
      <c r="Q258" s="397">
        <f t="shared" si="89"/>
        <v>0</v>
      </c>
      <c r="R258" s="398"/>
      <c r="S258" s="398"/>
      <c r="T258" s="398"/>
      <c r="U258" s="520"/>
      <c r="V258" s="373" t="e">
        <f>H258/E258*1000</f>
        <v>#DIV/0!</v>
      </c>
      <c r="W258" s="399" t="e">
        <f>H258/F258</f>
        <v>#DIV/0!</v>
      </c>
      <c r="X258" s="396">
        <f t="shared" ref="X258:AJ258" si="90">SUM(X259:X261)</f>
        <v>240</v>
      </c>
      <c r="Y258" s="396">
        <f t="shared" si="90"/>
        <v>255</v>
      </c>
      <c r="Z258" s="396">
        <f t="shared" si="90"/>
        <v>255</v>
      </c>
      <c r="AA258" s="397">
        <f t="shared" si="90"/>
        <v>212.26165</v>
      </c>
      <c r="AB258" s="397">
        <f t="shared" si="90"/>
        <v>175.16890000000001</v>
      </c>
      <c r="AC258" s="397">
        <f t="shared" si="90"/>
        <v>46.549810000000001</v>
      </c>
      <c r="AD258" s="397">
        <f t="shared" si="90"/>
        <v>29.591699999999999</v>
      </c>
      <c r="AE258" s="397">
        <f t="shared" si="90"/>
        <v>12.619759999999999</v>
      </c>
      <c r="AF258" s="397">
        <f t="shared" si="90"/>
        <v>0</v>
      </c>
      <c r="AG258" s="397">
        <f t="shared" si="90"/>
        <v>0</v>
      </c>
      <c r="AH258" s="397">
        <f t="shared" si="90"/>
        <v>10.40992</v>
      </c>
      <c r="AI258" s="397">
        <f t="shared" si="90"/>
        <v>64.03</v>
      </c>
      <c r="AJ258" s="397">
        <f t="shared" si="90"/>
        <v>9.8638999999999992</v>
      </c>
      <c r="AK258" s="398"/>
      <c r="AL258" s="398"/>
      <c r="AM258" s="398"/>
      <c r="AN258" s="520"/>
      <c r="AO258" s="373">
        <f>AA258/X258*1000</f>
        <v>884.42354166666667</v>
      </c>
      <c r="AP258" s="399">
        <f>AA258/Y258</f>
        <v>0.83239862745098037</v>
      </c>
      <c r="AQ258" s="396">
        <f t="shared" ref="AQ258:BC258" si="91">SUM(AQ259:AQ261)</f>
        <v>0</v>
      </c>
      <c r="AR258" s="396">
        <f t="shared" si="91"/>
        <v>0</v>
      </c>
      <c r="AS258" s="396">
        <f t="shared" si="91"/>
        <v>0</v>
      </c>
      <c r="AT258" s="397">
        <f t="shared" si="91"/>
        <v>0</v>
      </c>
      <c r="AU258" s="397">
        <f t="shared" si="91"/>
        <v>0</v>
      </c>
      <c r="AV258" s="397">
        <f t="shared" si="91"/>
        <v>0</v>
      </c>
      <c r="AW258" s="397">
        <f t="shared" si="91"/>
        <v>0</v>
      </c>
      <c r="AX258" s="397">
        <f t="shared" si="91"/>
        <v>0</v>
      </c>
      <c r="AY258" s="397">
        <f t="shared" si="91"/>
        <v>0</v>
      </c>
      <c r="AZ258" s="397">
        <f t="shared" si="91"/>
        <v>0</v>
      </c>
      <c r="BA258" s="397">
        <f t="shared" si="91"/>
        <v>0</v>
      </c>
      <c r="BB258" s="397">
        <f t="shared" si="91"/>
        <v>0</v>
      </c>
      <c r="BC258" s="397">
        <f t="shared" si="91"/>
        <v>0</v>
      </c>
      <c r="BD258" s="398"/>
      <c r="BE258" s="398"/>
      <c r="BF258" s="398"/>
      <c r="BG258" s="520"/>
      <c r="BH258" s="373" t="e">
        <f t="shared" si="87"/>
        <v>#DIV/0!</v>
      </c>
      <c r="BI258" s="399" t="e">
        <f t="shared" si="88"/>
        <v>#DIV/0!</v>
      </c>
    </row>
    <row r="259" spans="1:61" s="359" customFormat="1" ht="19.2" x14ac:dyDescent="0.3">
      <c r="A259" s="360" t="s">
        <v>179</v>
      </c>
      <c r="B259" s="543" t="s">
        <v>561</v>
      </c>
      <c r="C259" s="433" t="s">
        <v>424</v>
      </c>
      <c r="D259" s="361">
        <v>6</v>
      </c>
      <c r="E259" s="403"/>
      <c r="F259" s="404"/>
      <c r="G259" s="400"/>
      <c r="H259" s="401"/>
      <c r="I259" s="401"/>
      <c r="J259" s="401"/>
      <c r="K259" s="401"/>
      <c r="L259" s="401"/>
      <c r="M259" s="401"/>
      <c r="N259" s="401"/>
      <c r="O259" s="401"/>
      <c r="P259" s="401"/>
      <c r="Q259" s="401"/>
      <c r="R259" s="389"/>
      <c r="S259" s="389"/>
      <c r="T259" s="389"/>
      <c r="U259" s="521"/>
      <c r="V259" s="402" t="e">
        <f>H259/E259*1000</f>
        <v>#DIV/0!</v>
      </c>
      <c r="W259" s="402" t="e">
        <f>H259/F259</f>
        <v>#DIV/0!</v>
      </c>
      <c r="X259" s="403">
        <v>240</v>
      </c>
      <c r="Y259" s="404">
        <v>255</v>
      </c>
      <c r="Z259" s="400">
        <v>255</v>
      </c>
      <c r="AA259" s="545">
        <v>212.26165</v>
      </c>
      <c r="AB259" s="401">
        <v>175.16890000000001</v>
      </c>
      <c r="AC259" s="401">
        <v>46.549810000000001</v>
      </c>
      <c r="AD259" s="401">
        <v>29.591699999999999</v>
      </c>
      <c r="AE259" s="401">
        <v>12.619759999999999</v>
      </c>
      <c r="AF259" s="401">
        <v>0</v>
      </c>
      <c r="AG259" s="401">
        <v>0</v>
      </c>
      <c r="AH259" s="401">
        <v>10.40992</v>
      </c>
      <c r="AI259" s="401">
        <v>64.03</v>
      </c>
      <c r="AJ259" s="401">
        <v>9.8638999999999992</v>
      </c>
      <c r="AK259" s="385" t="s">
        <v>167</v>
      </c>
      <c r="AL259" s="439" t="s">
        <v>175</v>
      </c>
      <c r="AM259" s="389"/>
      <c r="AN259" s="521">
        <v>121</v>
      </c>
      <c r="AO259" s="402">
        <f>AA259/X259*1000</f>
        <v>884.42354166666667</v>
      </c>
      <c r="AP259" s="402">
        <f>AA259/Y259</f>
        <v>0.83239862745098037</v>
      </c>
      <c r="AQ259" s="595"/>
      <c r="AR259" s="587"/>
      <c r="AS259" s="400"/>
      <c r="AT259" s="545"/>
      <c r="AU259" s="401"/>
      <c r="AV259" s="401"/>
      <c r="AW259" s="401"/>
      <c r="AX259" s="401"/>
      <c r="AY259" s="401"/>
      <c r="AZ259" s="401"/>
      <c r="BA259" s="401"/>
      <c r="BB259" s="401"/>
      <c r="BC259" s="401"/>
      <c r="BD259" s="385"/>
      <c r="BE259" s="439"/>
      <c r="BF259" s="389"/>
      <c r="BG259" s="521"/>
      <c r="BH259" s="402" t="e">
        <f t="shared" si="87"/>
        <v>#DIV/0!</v>
      </c>
      <c r="BI259" s="402" t="e">
        <f t="shared" si="88"/>
        <v>#DIV/0!</v>
      </c>
    </row>
    <row r="260" spans="1:61" s="359" customFormat="1" x14ac:dyDescent="0.3">
      <c r="A260" s="360"/>
      <c r="B260" s="382"/>
      <c r="C260" s="433"/>
      <c r="D260" s="361">
        <v>6</v>
      </c>
      <c r="E260" s="403"/>
      <c r="F260" s="404"/>
      <c r="G260" s="400"/>
      <c r="H260" s="401"/>
      <c r="I260" s="401"/>
      <c r="J260" s="401"/>
      <c r="K260" s="401"/>
      <c r="L260" s="401"/>
      <c r="M260" s="401"/>
      <c r="N260" s="401"/>
      <c r="O260" s="401"/>
      <c r="P260" s="401"/>
      <c r="Q260" s="401"/>
      <c r="R260" s="389"/>
      <c r="S260" s="389"/>
      <c r="T260" s="389"/>
      <c r="U260" s="521"/>
      <c r="V260" s="402"/>
      <c r="W260" s="402"/>
      <c r="X260" s="403"/>
      <c r="Y260" s="404"/>
      <c r="Z260" s="400"/>
      <c r="AA260" s="401"/>
      <c r="AB260" s="401"/>
      <c r="AC260" s="401"/>
      <c r="AD260" s="401"/>
      <c r="AE260" s="401"/>
      <c r="AF260" s="401"/>
      <c r="AG260" s="401"/>
      <c r="AH260" s="401"/>
      <c r="AI260" s="401"/>
      <c r="AJ260" s="401"/>
      <c r="AK260" s="385"/>
      <c r="AL260" s="439"/>
      <c r="AM260" s="389"/>
      <c r="AN260" s="521"/>
      <c r="AO260" s="402"/>
      <c r="AP260" s="402"/>
      <c r="AQ260" s="595"/>
      <c r="AR260" s="587"/>
      <c r="AS260" s="400"/>
      <c r="AT260" s="401"/>
      <c r="AU260" s="401"/>
      <c r="AV260" s="401"/>
      <c r="AW260" s="401"/>
      <c r="AX260" s="401"/>
      <c r="AY260" s="401"/>
      <c r="AZ260" s="401"/>
      <c r="BA260" s="401"/>
      <c r="BB260" s="401"/>
      <c r="BC260" s="401"/>
      <c r="BD260" s="385"/>
      <c r="BE260" s="439"/>
      <c r="BF260" s="389"/>
      <c r="BG260" s="521"/>
      <c r="BH260" s="402" t="e">
        <f t="shared" si="87"/>
        <v>#DIV/0!</v>
      </c>
      <c r="BI260" s="402" t="e">
        <f t="shared" si="88"/>
        <v>#DIV/0!</v>
      </c>
    </row>
    <row r="261" spans="1:61" s="359" customFormat="1" x14ac:dyDescent="0.3">
      <c r="A261" s="360"/>
      <c r="B261" s="382"/>
      <c r="C261" s="433"/>
      <c r="D261" s="361"/>
      <c r="E261" s="403"/>
      <c r="F261" s="404"/>
      <c r="G261" s="400"/>
      <c r="H261" s="401"/>
      <c r="I261" s="401"/>
      <c r="J261" s="401"/>
      <c r="K261" s="401"/>
      <c r="L261" s="401"/>
      <c r="M261" s="401"/>
      <c r="N261" s="401"/>
      <c r="O261" s="401"/>
      <c r="P261" s="401"/>
      <c r="Q261" s="401"/>
      <c r="R261" s="389"/>
      <c r="S261" s="389"/>
      <c r="T261" s="389"/>
      <c r="U261" s="521"/>
      <c r="V261" s="402" t="e">
        <f t="shared" ref="V261:V268" si="92">H261/E261*1000</f>
        <v>#DIV/0!</v>
      </c>
      <c r="W261" s="402" t="e">
        <f t="shared" ref="W261:W268" si="93">H261/F261</f>
        <v>#DIV/0!</v>
      </c>
      <c r="X261" s="403"/>
      <c r="Y261" s="404"/>
      <c r="Z261" s="400"/>
      <c r="AA261" s="401"/>
      <c r="AB261" s="401"/>
      <c r="AC261" s="401"/>
      <c r="AD261" s="401"/>
      <c r="AE261" s="401"/>
      <c r="AF261" s="401"/>
      <c r="AG261" s="401"/>
      <c r="AH261" s="401"/>
      <c r="AI261" s="401"/>
      <c r="AJ261" s="401"/>
      <c r="AK261" s="389"/>
      <c r="AL261" s="389"/>
      <c r="AM261" s="389"/>
      <c r="AN261" s="521"/>
      <c r="AO261" s="402" t="e">
        <f t="shared" ref="AO261:AO268" si="94">AA261/X261*1000</f>
        <v>#DIV/0!</v>
      </c>
      <c r="AP261" s="402" t="e">
        <f t="shared" ref="AP261:AP268" si="95">AA261/Y261</f>
        <v>#DIV/0!</v>
      </c>
      <c r="AQ261" s="595"/>
      <c r="AR261" s="587"/>
      <c r="AS261" s="400"/>
      <c r="AT261" s="401"/>
      <c r="AU261" s="401"/>
      <c r="AV261" s="401"/>
      <c r="AW261" s="401"/>
      <c r="AX261" s="401"/>
      <c r="AY261" s="401"/>
      <c r="AZ261" s="401"/>
      <c r="BA261" s="401"/>
      <c r="BB261" s="401"/>
      <c r="BC261" s="401"/>
      <c r="BD261" s="389"/>
      <c r="BE261" s="389"/>
      <c r="BF261" s="389"/>
      <c r="BG261" s="521"/>
      <c r="BH261" s="402" t="e">
        <f t="shared" si="87"/>
        <v>#DIV/0!</v>
      </c>
      <c r="BI261" s="402" t="e">
        <f t="shared" si="88"/>
        <v>#DIV/0!</v>
      </c>
    </row>
    <row r="262" spans="1:61" s="359" customFormat="1" ht="24.75" customHeight="1" x14ac:dyDescent="0.3">
      <c r="A262" s="355" t="s">
        <v>187</v>
      </c>
      <c r="B262" s="356" t="s">
        <v>220</v>
      </c>
      <c r="C262" s="432"/>
      <c r="D262" s="357">
        <v>6</v>
      </c>
      <c r="E262" s="396">
        <f t="shared" ref="E262:Q262" si="96">SUM(E263:E278)</f>
        <v>458.33333333333337</v>
      </c>
      <c r="F262" s="396">
        <f t="shared" si="96"/>
        <v>550</v>
      </c>
      <c r="G262" s="396">
        <f t="shared" si="96"/>
        <v>550</v>
      </c>
      <c r="H262" s="397">
        <f t="shared" si="96"/>
        <v>534.63400000000001</v>
      </c>
      <c r="I262" s="397">
        <f t="shared" si="96"/>
        <v>391.32900000000001</v>
      </c>
      <c r="J262" s="397">
        <f t="shared" si="96"/>
        <v>73.004850000000005</v>
      </c>
      <c r="K262" s="397">
        <f t="shared" si="96"/>
        <v>181.66468</v>
      </c>
      <c r="L262" s="397">
        <f t="shared" si="96"/>
        <v>61.478999999999999</v>
      </c>
      <c r="M262" s="397">
        <f t="shared" si="96"/>
        <v>0</v>
      </c>
      <c r="N262" s="397">
        <f t="shared" si="96"/>
        <v>0</v>
      </c>
      <c r="O262" s="397">
        <f t="shared" si="96"/>
        <v>33.817999999999998</v>
      </c>
      <c r="P262" s="397">
        <f t="shared" si="96"/>
        <v>351.47999999999996</v>
      </c>
      <c r="Q262" s="397">
        <f t="shared" si="96"/>
        <v>28.961180000000002</v>
      </c>
      <c r="R262" s="398"/>
      <c r="S262" s="398"/>
      <c r="T262" s="398"/>
      <c r="U262" s="520"/>
      <c r="V262" s="373">
        <f t="shared" si="92"/>
        <v>1166.4741818181819</v>
      </c>
      <c r="W262" s="399">
        <f t="shared" si="93"/>
        <v>0.97206181818181825</v>
      </c>
      <c r="X262" s="396">
        <f t="shared" ref="X262:AJ262" si="97">SUM(X263:X278)</f>
        <v>2394</v>
      </c>
      <c r="Y262" s="396">
        <f t="shared" si="97"/>
        <v>270</v>
      </c>
      <c r="Z262" s="396">
        <f t="shared" si="97"/>
        <v>270</v>
      </c>
      <c r="AA262" s="397">
        <f t="shared" si="97"/>
        <v>3283.6518000000001</v>
      </c>
      <c r="AB262" s="397">
        <f t="shared" si="97"/>
        <v>2606.00378</v>
      </c>
      <c r="AC262" s="397">
        <f t="shared" si="97"/>
        <v>731.50545</v>
      </c>
      <c r="AD262" s="397">
        <f t="shared" si="97"/>
        <v>189.9743</v>
      </c>
      <c r="AE262" s="397">
        <f t="shared" si="97"/>
        <v>279.12673999999998</v>
      </c>
      <c r="AF262" s="397">
        <f t="shared" si="97"/>
        <v>0</v>
      </c>
      <c r="AG262" s="397">
        <f t="shared" si="97"/>
        <v>0</v>
      </c>
      <c r="AH262" s="397">
        <f t="shared" si="97"/>
        <v>183.92758000000001</v>
      </c>
      <c r="AI262" s="397">
        <f t="shared" si="97"/>
        <v>295.10000000000002</v>
      </c>
      <c r="AJ262" s="397">
        <f t="shared" si="97"/>
        <v>17.200400000000002</v>
      </c>
      <c r="AK262" s="398"/>
      <c r="AL262" s="398"/>
      <c r="AM262" s="398"/>
      <c r="AN262" s="520"/>
      <c r="AO262" s="373">
        <f t="shared" si="94"/>
        <v>1371.6172932330828</v>
      </c>
      <c r="AP262" s="399">
        <f t="shared" si="95"/>
        <v>12.161673333333333</v>
      </c>
      <c r="AQ262" s="396">
        <f t="shared" ref="AQ262:BC262" si="98">SUM(AQ263:AQ278)</f>
        <v>2136</v>
      </c>
      <c r="AR262" s="396">
        <f t="shared" si="98"/>
        <v>2080</v>
      </c>
      <c r="AS262" s="396">
        <f t="shared" si="98"/>
        <v>2080</v>
      </c>
      <c r="AT262" s="397">
        <f t="shared" si="98"/>
        <v>2734.4070200000001</v>
      </c>
      <c r="AU262" s="397">
        <f t="shared" si="98"/>
        <v>2237.7471700000001</v>
      </c>
      <c r="AV262" s="397">
        <f t="shared" si="98"/>
        <v>617.01609999999994</v>
      </c>
      <c r="AW262" s="397">
        <f t="shared" si="98"/>
        <v>711.12132999999994</v>
      </c>
      <c r="AX262" s="397">
        <f t="shared" si="98"/>
        <v>181.65823000000003</v>
      </c>
      <c r="AY262" s="397">
        <f t="shared" si="98"/>
        <v>0</v>
      </c>
      <c r="AZ262" s="397">
        <f t="shared" si="98"/>
        <v>0</v>
      </c>
      <c r="BA262" s="397">
        <f t="shared" si="98"/>
        <v>141.66762</v>
      </c>
      <c r="BB262" s="397">
        <f t="shared" si="98"/>
        <v>770.46999999999991</v>
      </c>
      <c r="BC262" s="397">
        <f t="shared" si="98"/>
        <v>79.065969999999993</v>
      </c>
      <c r="BD262" s="398"/>
      <c r="BE262" s="398"/>
      <c r="BF262" s="398"/>
      <c r="BG262" s="520"/>
      <c r="BH262" s="373">
        <f t="shared" si="87"/>
        <v>1280.1530992509365</v>
      </c>
      <c r="BI262" s="399">
        <f t="shared" si="88"/>
        <v>1.3146187596153847</v>
      </c>
    </row>
    <row r="263" spans="1:61" s="359" customFormat="1" ht="19.2" x14ac:dyDescent="0.3">
      <c r="A263" s="360" t="s">
        <v>179</v>
      </c>
      <c r="B263" s="513" t="s">
        <v>265</v>
      </c>
      <c r="C263" s="433" t="s">
        <v>266</v>
      </c>
      <c r="D263" s="361">
        <v>6</v>
      </c>
      <c r="E263" s="403">
        <f>550/3</f>
        <v>183.33333333333334</v>
      </c>
      <c r="F263" s="404">
        <v>15</v>
      </c>
      <c r="G263" s="400">
        <v>15</v>
      </c>
      <c r="H263" s="419">
        <v>366.90499999999997</v>
      </c>
      <c r="I263" s="401">
        <v>255.054</v>
      </c>
      <c r="J263" s="401">
        <v>49.263500000000001</v>
      </c>
      <c r="K263" s="401">
        <f>76.14912+38.07456+28.55592</f>
        <v>142.77960000000002</v>
      </c>
      <c r="L263" s="401">
        <v>50.527000000000001</v>
      </c>
      <c r="M263" s="401">
        <v>0</v>
      </c>
      <c r="N263" s="401">
        <v>0</v>
      </c>
      <c r="O263" s="401">
        <v>26.074000000000002</v>
      </c>
      <c r="P263" s="401">
        <v>89.57</v>
      </c>
      <c r="Q263" s="401">
        <v>9.5186399999999995</v>
      </c>
      <c r="R263" s="385" t="s">
        <v>167</v>
      </c>
      <c r="S263" s="439" t="s">
        <v>175</v>
      </c>
      <c r="T263" s="389"/>
      <c r="U263" s="521">
        <v>24</v>
      </c>
      <c r="V263" s="374">
        <f t="shared" si="92"/>
        <v>2001.2999999999997</v>
      </c>
      <c r="W263" s="402">
        <f t="shared" si="93"/>
        <v>24.460333333333331</v>
      </c>
      <c r="X263" s="403"/>
      <c r="Y263" s="404"/>
      <c r="Z263" s="400"/>
      <c r="AA263" s="419"/>
      <c r="AB263" s="401"/>
      <c r="AC263" s="401"/>
      <c r="AD263" s="401"/>
      <c r="AE263" s="401"/>
      <c r="AF263" s="401"/>
      <c r="AG263" s="401"/>
      <c r="AH263" s="401"/>
      <c r="AI263" s="401"/>
      <c r="AJ263" s="401"/>
      <c r="AK263" s="385"/>
      <c r="AL263" s="439"/>
      <c r="AM263" s="389"/>
      <c r="AN263" s="521"/>
      <c r="AO263" s="374" t="e">
        <f t="shared" si="94"/>
        <v>#DIV/0!</v>
      </c>
      <c r="AP263" s="402" t="e">
        <f t="shared" si="95"/>
        <v>#DIV/0!</v>
      </c>
      <c r="AQ263" s="595"/>
      <c r="AR263" s="587"/>
      <c r="AS263" s="400"/>
      <c r="AT263" s="419"/>
      <c r="AU263" s="401"/>
      <c r="AV263" s="401"/>
      <c r="AW263" s="401"/>
      <c r="AX263" s="401"/>
      <c r="AY263" s="401"/>
      <c r="AZ263" s="401"/>
      <c r="BA263" s="401"/>
      <c r="BB263" s="401"/>
      <c r="BC263" s="401"/>
      <c r="BD263" s="385"/>
      <c r="BE263" s="439"/>
      <c r="BF263" s="389"/>
      <c r="BG263" s="521"/>
      <c r="BH263" s="374" t="e">
        <f t="shared" si="87"/>
        <v>#DIV/0!</v>
      </c>
      <c r="BI263" s="402" t="e">
        <f t="shared" si="88"/>
        <v>#DIV/0!</v>
      </c>
    </row>
    <row r="264" spans="1:61" s="359" customFormat="1" ht="19.2" x14ac:dyDescent="0.3">
      <c r="A264" s="360" t="s">
        <v>183</v>
      </c>
      <c r="B264" s="513" t="s">
        <v>293</v>
      </c>
      <c r="C264" s="433" t="s">
        <v>292</v>
      </c>
      <c r="D264" s="361">
        <v>6</v>
      </c>
      <c r="E264" s="403">
        <v>70</v>
      </c>
      <c r="F264" s="404">
        <v>100</v>
      </c>
      <c r="G264" s="400">
        <v>100</v>
      </c>
      <c r="H264" s="419">
        <v>52.253</v>
      </c>
      <c r="I264" s="401">
        <v>35.402000000000001</v>
      </c>
      <c r="J264" s="401">
        <v>6.1040000000000001</v>
      </c>
      <c r="K264" s="401">
        <v>17.946000000000002</v>
      </c>
      <c r="L264" s="401">
        <v>6.26</v>
      </c>
      <c r="M264" s="401">
        <v>0</v>
      </c>
      <c r="N264" s="401">
        <v>0</v>
      </c>
      <c r="O264" s="401">
        <v>4.3860000000000001</v>
      </c>
      <c r="P264" s="401">
        <v>87.2</v>
      </c>
      <c r="Q264" s="401">
        <v>8.9730000000000008</v>
      </c>
      <c r="R264" s="385" t="s">
        <v>167</v>
      </c>
      <c r="S264" s="439" t="s">
        <v>175</v>
      </c>
      <c r="T264" s="389"/>
      <c r="U264" s="521">
        <v>95</v>
      </c>
      <c r="V264" s="374">
        <f t="shared" si="92"/>
        <v>746.47142857142853</v>
      </c>
      <c r="W264" s="402">
        <f t="shared" si="93"/>
        <v>0.52253000000000005</v>
      </c>
      <c r="X264" s="403"/>
      <c r="Y264" s="404"/>
      <c r="Z264" s="400"/>
      <c r="AA264" s="419"/>
      <c r="AB264" s="401"/>
      <c r="AC264" s="401"/>
      <c r="AD264" s="401"/>
      <c r="AE264" s="401"/>
      <c r="AF264" s="401"/>
      <c r="AG264" s="401"/>
      <c r="AH264" s="401"/>
      <c r="AI264" s="401"/>
      <c r="AJ264" s="401"/>
      <c r="AK264" s="385"/>
      <c r="AL264" s="439"/>
      <c r="AM264" s="389"/>
      <c r="AN264" s="521"/>
      <c r="AO264" s="374" t="e">
        <f t="shared" si="94"/>
        <v>#DIV/0!</v>
      </c>
      <c r="AP264" s="402" t="e">
        <f t="shared" si="95"/>
        <v>#DIV/0!</v>
      </c>
      <c r="AQ264" s="595"/>
      <c r="AR264" s="587"/>
      <c r="AS264" s="400"/>
      <c r="AT264" s="419"/>
      <c r="AU264" s="401"/>
      <c r="AV264" s="401"/>
      <c r="AW264" s="401"/>
      <c r="AX264" s="401"/>
      <c r="AY264" s="401"/>
      <c r="AZ264" s="401"/>
      <c r="BA264" s="401"/>
      <c r="BB264" s="401"/>
      <c r="BC264" s="401"/>
      <c r="BD264" s="385"/>
      <c r="BE264" s="439"/>
      <c r="BF264" s="389"/>
      <c r="BG264" s="521"/>
      <c r="BH264" s="374" t="e">
        <f t="shared" si="87"/>
        <v>#DIV/0!</v>
      </c>
      <c r="BI264" s="402" t="e">
        <f t="shared" si="88"/>
        <v>#DIV/0!</v>
      </c>
    </row>
    <row r="265" spans="1:61" s="359" customFormat="1" ht="19.2" x14ac:dyDescent="0.3">
      <c r="A265" s="360" t="s">
        <v>185</v>
      </c>
      <c r="B265" s="513" t="s">
        <v>339</v>
      </c>
      <c r="C265" s="433" t="s">
        <v>340</v>
      </c>
      <c r="D265" s="361">
        <v>6</v>
      </c>
      <c r="E265" s="403">
        <v>55</v>
      </c>
      <c r="F265" s="404">
        <v>50</v>
      </c>
      <c r="G265" s="400">
        <v>50</v>
      </c>
      <c r="H265" s="419">
        <v>32.762</v>
      </c>
      <c r="I265" s="401">
        <v>27.661999999999999</v>
      </c>
      <c r="J265" s="401">
        <v>4.9263500000000002</v>
      </c>
      <c r="K265" s="401">
        <v>2.9836</v>
      </c>
      <c r="L265" s="401">
        <v>0</v>
      </c>
      <c r="M265" s="401">
        <v>0</v>
      </c>
      <c r="N265" s="401">
        <v>0</v>
      </c>
      <c r="O265" s="401">
        <v>1.1890000000000001</v>
      </c>
      <c r="P265" s="401">
        <v>89.57</v>
      </c>
      <c r="Q265" s="401">
        <v>1.4918</v>
      </c>
      <c r="R265" s="385" t="s">
        <v>167</v>
      </c>
      <c r="S265" s="439" t="s">
        <v>175</v>
      </c>
      <c r="T265" s="389"/>
      <c r="U265" s="521">
        <v>207</v>
      </c>
      <c r="V265" s="374">
        <f t="shared" si="92"/>
        <v>595.67272727272723</v>
      </c>
      <c r="W265" s="402">
        <f t="shared" si="93"/>
        <v>0.65524000000000004</v>
      </c>
      <c r="X265" s="403"/>
      <c r="Y265" s="404"/>
      <c r="Z265" s="400"/>
      <c r="AA265" s="419"/>
      <c r="AB265" s="401"/>
      <c r="AC265" s="401"/>
      <c r="AD265" s="401"/>
      <c r="AE265" s="401"/>
      <c r="AF265" s="401"/>
      <c r="AG265" s="401"/>
      <c r="AH265" s="401"/>
      <c r="AI265" s="401"/>
      <c r="AJ265" s="401"/>
      <c r="AK265" s="385"/>
      <c r="AL265" s="439"/>
      <c r="AM265" s="389"/>
      <c r="AN265" s="521"/>
      <c r="AO265" s="374" t="e">
        <f t="shared" si="94"/>
        <v>#DIV/0!</v>
      </c>
      <c r="AP265" s="402" t="e">
        <f t="shared" si="95"/>
        <v>#DIV/0!</v>
      </c>
      <c r="AQ265" s="595"/>
      <c r="AR265" s="587"/>
      <c r="AS265" s="400"/>
      <c r="AT265" s="419"/>
      <c r="AU265" s="401"/>
      <c r="AV265" s="401"/>
      <c r="AW265" s="401"/>
      <c r="AX265" s="401"/>
      <c r="AY265" s="401"/>
      <c r="AZ265" s="401"/>
      <c r="BA265" s="401"/>
      <c r="BB265" s="401"/>
      <c r="BC265" s="401"/>
      <c r="BD265" s="385"/>
      <c r="BE265" s="439"/>
      <c r="BF265" s="389"/>
      <c r="BG265" s="521"/>
      <c r="BH265" s="374" t="e">
        <f t="shared" si="87"/>
        <v>#DIV/0!</v>
      </c>
      <c r="BI265" s="402" t="e">
        <f t="shared" si="88"/>
        <v>#DIV/0!</v>
      </c>
    </row>
    <row r="266" spans="1:61" s="359" customFormat="1" ht="19.2" x14ac:dyDescent="0.3">
      <c r="A266" s="360" t="s">
        <v>187</v>
      </c>
      <c r="B266" s="513" t="s">
        <v>388</v>
      </c>
      <c r="C266" s="433" t="s">
        <v>389</v>
      </c>
      <c r="D266" s="361">
        <v>6</v>
      </c>
      <c r="E266" s="403">
        <v>150</v>
      </c>
      <c r="F266" s="404">
        <v>385</v>
      </c>
      <c r="G266" s="400">
        <v>385</v>
      </c>
      <c r="H266" s="419">
        <v>82.713999999999999</v>
      </c>
      <c r="I266" s="401">
        <v>73.210999999999999</v>
      </c>
      <c r="J266" s="401">
        <v>12.711</v>
      </c>
      <c r="K266" s="401">
        <v>17.955480000000001</v>
      </c>
      <c r="L266" s="401">
        <v>4.6920000000000002</v>
      </c>
      <c r="M266" s="401">
        <v>0</v>
      </c>
      <c r="N266" s="401">
        <v>0</v>
      </c>
      <c r="O266" s="401">
        <v>2.169</v>
      </c>
      <c r="P266" s="401">
        <v>85.14</v>
      </c>
      <c r="Q266" s="401">
        <v>8.9777400000000007</v>
      </c>
      <c r="R266" s="385" t="s">
        <v>167</v>
      </c>
      <c r="S266" s="439" t="s">
        <v>175</v>
      </c>
      <c r="T266" s="389"/>
      <c r="U266" s="521">
        <v>321</v>
      </c>
      <c r="V266" s="374">
        <f t="shared" si="92"/>
        <v>551.42666666666662</v>
      </c>
      <c r="W266" s="402">
        <f t="shared" si="93"/>
        <v>0.21484155844155844</v>
      </c>
      <c r="X266" s="403"/>
      <c r="Y266" s="404"/>
      <c r="Z266" s="400"/>
      <c r="AA266" s="419"/>
      <c r="AB266" s="401"/>
      <c r="AC266" s="401"/>
      <c r="AD266" s="401"/>
      <c r="AE266" s="401"/>
      <c r="AF266" s="401"/>
      <c r="AG266" s="401"/>
      <c r="AH266" s="401"/>
      <c r="AI266" s="401"/>
      <c r="AJ266" s="401"/>
      <c r="AK266" s="385"/>
      <c r="AL266" s="439"/>
      <c r="AM266" s="389"/>
      <c r="AN266" s="521"/>
      <c r="AO266" s="374" t="e">
        <f t="shared" si="94"/>
        <v>#DIV/0!</v>
      </c>
      <c r="AP266" s="402" t="e">
        <f t="shared" si="95"/>
        <v>#DIV/0!</v>
      </c>
      <c r="AQ266" s="595"/>
      <c r="AR266" s="587"/>
      <c r="AS266" s="400"/>
      <c r="AT266" s="419"/>
      <c r="AU266" s="401"/>
      <c r="AV266" s="401"/>
      <c r="AW266" s="401"/>
      <c r="AX266" s="401"/>
      <c r="AY266" s="401"/>
      <c r="AZ266" s="401"/>
      <c r="BA266" s="401"/>
      <c r="BB266" s="401"/>
      <c r="BC266" s="401"/>
      <c r="BD266" s="385"/>
      <c r="BE266" s="439"/>
      <c r="BF266" s="389"/>
      <c r="BG266" s="521"/>
      <c r="BH266" s="374" t="e">
        <f t="shared" si="87"/>
        <v>#DIV/0!</v>
      </c>
      <c r="BI266" s="402" t="e">
        <f t="shared" si="88"/>
        <v>#DIV/0!</v>
      </c>
    </row>
    <row r="267" spans="1:61" s="359" customFormat="1" ht="19.2" x14ac:dyDescent="0.3">
      <c r="A267" s="360" t="s">
        <v>179</v>
      </c>
      <c r="B267" s="543" t="s">
        <v>562</v>
      </c>
      <c r="C267" s="435" t="s">
        <v>418</v>
      </c>
      <c r="D267" s="361">
        <v>6</v>
      </c>
      <c r="E267" s="407"/>
      <c r="F267" s="400"/>
      <c r="G267" s="400"/>
      <c r="H267" s="401"/>
      <c r="I267" s="401"/>
      <c r="J267" s="401"/>
      <c r="K267" s="401"/>
      <c r="L267" s="401"/>
      <c r="M267" s="401"/>
      <c r="N267" s="401"/>
      <c r="O267" s="401"/>
      <c r="P267" s="401"/>
      <c r="Q267" s="401"/>
      <c r="R267" s="389"/>
      <c r="S267" s="389"/>
      <c r="T267" s="389"/>
      <c r="U267" s="521"/>
      <c r="V267" s="374" t="e">
        <f t="shared" si="92"/>
        <v>#DIV/0!</v>
      </c>
      <c r="W267" s="402" t="e">
        <f t="shared" si="93"/>
        <v>#DIV/0!</v>
      </c>
      <c r="X267" s="403">
        <v>1394</v>
      </c>
      <c r="Y267" s="400">
        <v>15</v>
      </c>
      <c r="Z267" s="400">
        <v>15</v>
      </c>
      <c r="AA267" s="545">
        <v>2844.55546</v>
      </c>
      <c r="AB267" s="401">
        <v>2272.2701999999999</v>
      </c>
      <c r="AC267" s="401">
        <v>616.90655000000004</v>
      </c>
      <c r="AD267" s="401">
        <v>43.596600000000002</v>
      </c>
      <c r="AE267" s="401">
        <v>238.84617</v>
      </c>
      <c r="AF267" s="401">
        <v>0</v>
      </c>
      <c r="AG267" s="401">
        <v>0</v>
      </c>
      <c r="AH267" s="401">
        <v>154.49946</v>
      </c>
      <c r="AI267" s="369">
        <v>147.55000000000001</v>
      </c>
      <c r="AJ267" s="401">
        <v>7.2660999999999998</v>
      </c>
      <c r="AK267" s="385" t="s">
        <v>167</v>
      </c>
      <c r="AL267" s="439" t="s">
        <v>175</v>
      </c>
      <c r="AM267" s="389"/>
      <c r="AN267" s="521">
        <v>89</v>
      </c>
      <c r="AO267" s="374">
        <f t="shared" si="94"/>
        <v>2040.5706312769012</v>
      </c>
      <c r="AP267" s="402">
        <f t="shared" si="95"/>
        <v>189.63703066666667</v>
      </c>
      <c r="AQ267" s="595"/>
      <c r="AR267" s="400"/>
      <c r="AS267" s="400"/>
      <c r="AT267" s="545"/>
      <c r="AU267" s="401"/>
      <c r="AV267" s="401"/>
      <c r="AW267" s="401"/>
      <c r="AX267" s="401"/>
      <c r="AY267" s="401"/>
      <c r="AZ267" s="401"/>
      <c r="BA267" s="401"/>
      <c r="BB267" s="369"/>
      <c r="BC267" s="401"/>
      <c r="BD267" s="385"/>
      <c r="BE267" s="439"/>
      <c r="BF267" s="389"/>
      <c r="BG267" s="521"/>
      <c r="BH267" s="374" t="e">
        <f t="shared" si="87"/>
        <v>#DIV/0!</v>
      </c>
      <c r="BI267" s="402" t="e">
        <f t="shared" si="88"/>
        <v>#DIV/0!</v>
      </c>
    </row>
    <row r="268" spans="1:61" s="359" customFormat="1" ht="19.2" x14ac:dyDescent="0.3">
      <c r="A268" s="360" t="s">
        <v>183</v>
      </c>
      <c r="B268" s="543" t="s">
        <v>561</v>
      </c>
      <c r="C268" s="435" t="s">
        <v>580</v>
      </c>
      <c r="D268" s="361">
        <v>6</v>
      </c>
      <c r="E268" s="407"/>
      <c r="F268" s="400"/>
      <c r="G268" s="400"/>
      <c r="H268" s="401"/>
      <c r="I268" s="401"/>
      <c r="J268" s="401"/>
      <c r="K268" s="401"/>
      <c r="L268" s="401"/>
      <c r="M268" s="401"/>
      <c r="N268" s="401"/>
      <c r="O268" s="401"/>
      <c r="P268" s="401"/>
      <c r="Q268" s="401"/>
      <c r="R268" s="389"/>
      <c r="S268" s="389"/>
      <c r="T268" s="389"/>
      <c r="U268" s="521"/>
      <c r="V268" s="374" t="e">
        <f t="shared" si="92"/>
        <v>#DIV/0!</v>
      </c>
      <c r="W268" s="402" t="e">
        <f t="shared" si="93"/>
        <v>#DIV/0!</v>
      </c>
      <c r="X268" s="403">
        <v>1000</v>
      </c>
      <c r="Y268" s="400">
        <v>255</v>
      </c>
      <c r="Z268" s="400">
        <v>255</v>
      </c>
      <c r="AA268" s="545">
        <v>439.09634</v>
      </c>
      <c r="AB268" s="401">
        <v>333.73358000000002</v>
      </c>
      <c r="AC268" s="401">
        <f>47.6112+66.9877</f>
        <v>114.5989</v>
      </c>
      <c r="AD268" s="401">
        <f>99.343+7.2975+39.7372</f>
        <v>146.3777</v>
      </c>
      <c r="AE268" s="401">
        <v>40.280569999999997</v>
      </c>
      <c r="AF268" s="401">
        <v>0</v>
      </c>
      <c r="AG268" s="401">
        <v>0</v>
      </c>
      <c r="AH268" s="401">
        <v>29.42812</v>
      </c>
      <c r="AI268" s="401">
        <v>147.55000000000001</v>
      </c>
      <c r="AJ268" s="401">
        <v>9.9343000000000004</v>
      </c>
      <c r="AK268" s="385" t="s">
        <v>167</v>
      </c>
      <c r="AL268" s="439" t="s">
        <v>175</v>
      </c>
      <c r="AM268" s="389"/>
      <c r="AN268" s="521">
        <v>496</v>
      </c>
      <c r="AO268" s="374">
        <f t="shared" si="94"/>
        <v>439.09634</v>
      </c>
      <c r="AP268" s="402">
        <f t="shared" si="95"/>
        <v>1.721946431372549</v>
      </c>
      <c r="AQ268" s="595"/>
      <c r="AR268" s="400"/>
      <c r="AS268" s="400"/>
      <c r="AT268" s="545"/>
      <c r="AU268" s="401"/>
      <c r="AV268" s="401"/>
      <c r="AW268" s="401"/>
      <c r="AX268" s="401"/>
      <c r="AY268" s="401"/>
      <c r="AZ268" s="401"/>
      <c r="BA268" s="401"/>
      <c r="BB268" s="401"/>
      <c r="BC268" s="401"/>
      <c r="BD268" s="385"/>
      <c r="BE268" s="439"/>
      <c r="BF268" s="389"/>
      <c r="BG268" s="521"/>
      <c r="BH268" s="374" t="e">
        <f t="shared" si="87"/>
        <v>#DIV/0!</v>
      </c>
      <c r="BI268" s="402" t="e">
        <f t="shared" si="88"/>
        <v>#DIV/0!</v>
      </c>
    </row>
    <row r="269" spans="1:61" s="359" customFormat="1" ht="28.8" x14ac:dyDescent="0.3">
      <c r="A269" s="360" t="s">
        <v>179</v>
      </c>
      <c r="B269" s="579" t="s">
        <v>788</v>
      </c>
      <c r="C269" s="435" t="s">
        <v>625</v>
      </c>
      <c r="D269" s="361">
        <v>6</v>
      </c>
      <c r="E269" s="407"/>
      <c r="F269" s="400"/>
      <c r="G269" s="400"/>
      <c r="H269" s="401"/>
      <c r="I269" s="401"/>
      <c r="J269" s="401"/>
      <c r="K269" s="401"/>
      <c r="L269" s="401"/>
      <c r="M269" s="401"/>
      <c r="N269" s="401"/>
      <c r="O269" s="401"/>
      <c r="P269" s="401"/>
      <c r="Q269" s="401"/>
      <c r="R269" s="389"/>
      <c r="S269" s="389"/>
      <c r="T269" s="389"/>
      <c r="U269" s="521"/>
      <c r="V269" s="374"/>
      <c r="W269" s="402"/>
      <c r="X269" s="403"/>
      <c r="Y269" s="400"/>
      <c r="Z269" s="400"/>
      <c r="AA269" s="401"/>
      <c r="AB269" s="401"/>
      <c r="AC269" s="401"/>
      <c r="AD269" s="401"/>
      <c r="AE269" s="401"/>
      <c r="AF269" s="401"/>
      <c r="AG269" s="401"/>
      <c r="AH269" s="401"/>
      <c r="AI269" s="401"/>
      <c r="AJ269" s="401"/>
      <c r="AK269" s="385"/>
      <c r="AL269" s="439"/>
      <c r="AM269" s="389"/>
      <c r="AN269" s="521"/>
      <c r="AO269" s="374"/>
      <c r="AP269" s="402"/>
      <c r="AQ269" s="595">
        <v>190</v>
      </c>
      <c r="AR269" s="400">
        <v>1205</v>
      </c>
      <c r="AS269" s="400">
        <v>1205</v>
      </c>
      <c r="AT269" s="578">
        <v>199.18700999999999</v>
      </c>
      <c r="AU269" s="401">
        <v>164.56715</v>
      </c>
      <c r="AV269" s="401">
        <v>52.457099999999997</v>
      </c>
      <c r="AW269" s="401">
        <f>29.98131+19.98754</f>
        <v>49.968850000000003</v>
      </c>
      <c r="AX269" s="401">
        <v>12.88889</v>
      </c>
      <c r="AY269" s="401">
        <v>0</v>
      </c>
      <c r="AZ269" s="401">
        <v>0</v>
      </c>
      <c r="BA269" s="401">
        <v>9.7715999999999994</v>
      </c>
      <c r="BB269" s="401">
        <v>92.03</v>
      </c>
      <c r="BC269" s="401">
        <v>9.9937699999999996</v>
      </c>
      <c r="BD269" s="385" t="s">
        <v>167</v>
      </c>
      <c r="BE269" s="439" t="s">
        <v>175</v>
      </c>
      <c r="BF269" s="389"/>
      <c r="BG269" s="521">
        <v>368</v>
      </c>
      <c r="BH269" s="374">
        <f t="shared" si="87"/>
        <v>1048.3526842105261</v>
      </c>
      <c r="BI269" s="402">
        <f t="shared" si="88"/>
        <v>0.1653004232365145</v>
      </c>
    </row>
    <row r="270" spans="1:61" s="359" customFormat="1" ht="19.2" x14ac:dyDescent="0.3">
      <c r="A270" s="360" t="s">
        <v>183</v>
      </c>
      <c r="B270" s="579" t="s">
        <v>789</v>
      </c>
      <c r="C270" s="435" t="s">
        <v>657</v>
      </c>
      <c r="D270" s="361">
        <v>6</v>
      </c>
      <c r="E270" s="407"/>
      <c r="F270" s="400"/>
      <c r="G270" s="400"/>
      <c r="H270" s="401"/>
      <c r="I270" s="401"/>
      <c r="J270" s="401"/>
      <c r="K270" s="401"/>
      <c r="L270" s="401"/>
      <c r="M270" s="401"/>
      <c r="N270" s="401"/>
      <c r="O270" s="401"/>
      <c r="P270" s="401"/>
      <c r="Q270" s="401"/>
      <c r="R270" s="389"/>
      <c r="S270" s="389"/>
      <c r="T270" s="389"/>
      <c r="U270" s="521"/>
      <c r="V270" s="374"/>
      <c r="W270" s="402"/>
      <c r="X270" s="403"/>
      <c r="Y270" s="400"/>
      <c r="Z270" s="400"/>
      <c r="AA270" s="401"/>
      <c r="AB270" s="401"/>
      <c r="AC270" s="401"/>
      <c r="AD270" s="401"/>
      <c r="AE270" s="401"/>
      <c r="AF270" s="401"/>
      <c r="AG270" s="401"/>
      <c r="AH270" s="401"/>
      <c r="AI270" s="401"/>
      <c r="AJ270" s="401"/>
      <c r="AK270" s="385"/>
      <c r="AL270" s="439"/>
      <c r="AM270" s="389"/>
      <c r="AN270" s="521"/>
      <c r="AO270" s="374"/>
      <c r="AP270" s="402"/>
      <c r="AQ270" s="595">
        <v>200</v>
      </c>
      <c r="AR270" s="400">
        <v>75</v>
      </c>
      <c r="AS270" s="400">
        <v>75</v>
      </c>
      <c r="AT270" s="578">
        <v>378.08215000000001</v>
      </c>
      <c r="AU270" s="401">
        <v>280.30639000000002</v>
      </c>
      <c r="AV270" s="401">
        <v>58.152000000000001</v>
      </c>
      <c r="AW270" s="401">
        <v>128.42128</v>
      </c>
      <c r="AX270" s="401">
        <v>25.314820000000001</v>
      </c>
      <c r="AY270" s="401">
        <v>0</v>
      </c>
      <c r="AZ270" s="401">
        <v>0</v>
      </c>
      <c r="BA270" s="401">
        <v>29.384340000000002</v>
      </c>
      <c r="BB270" s="401">
        <v>96.92</v>
      </c>
      <c r="BC270" s="401">
        <v>9.8785600000000002</v>
      </c>
      <c r="BD270" s="385" t="s">
        <v>167</v>
      </c>
      <c r="BE270" s="439" t="s">
        <v>175</v>
      </c>
      <c r="BF270" s="389"/>
      <c r="BG270" s="521">
        <v>377</v>
      </c>
      <c r="BH270" s="374">
        <f t="shared" si="87"/>
        <v>1890.41075</v>
      </c>
      <c r="BI270" s="402">
        <f t="shared" si="88"/>
        <v>5.0410953333333337</v>
      </c>
    </row>
    <row r="271" spans="1:61" s="359" customFormat="1" ht="19.2" x14ac:dyDescent="0.3">
      <c r="A271" s="360" t="s">
        <v>185</v>
      </c>
      <c r="B271" s="579" t="s">
        <v>764</v>
      </c>
      <c r="C271" s="435" t="s">
        <v>665</v>
      </c>
      <c r="D271" s="361">
        <v>6</v>
      </c>
      <c r="E271" s="407"/>
      <c r="F271" s="400"/>
      <c r="G271" s="400"/>
      <c r="H271" s="401"/>
      <c r="I271" s="401"/>
      <c r="J271" s="401"/>
      <c r="K271" s="401"/>
      <c r="L271" s="401"/>
      <c r="M271" s="401"/>
      <c r="N271" s="401"/>
      <c r="O271" s="401"/>
      <c r="P271" s="401"/>
      <c r="Q271" s="401"/>
      <c r="R271" s="389"/>
      <c r="S271" s="389"/>
      <c r="T271" s="389"/>
      <c r="U271" s="521"/>
      <c r="V271" s="374"/>
      <c r="W271" s="402"/>
      <c r="X271" s="403"/>
      <c r="Y271" s="400"/>
      <c r="Z271" s="400"/>
      <c r="AA271" s="401"/>
      <c r="AB271" s="401"/>
      <c r="AC271" s="401"/>
      <c r="AD271" s="401"/>
      <c r="AE271" s="401"/>
      <c r="AF271" s="401"/>
      <c r="AG271" s="401"/>
      <c r="AH271" s="401"/>
      <c r="AI271" s="401"/>
      <c r="AJ271" s="401"/>
      <c r="AK271" s="385"/>
      <c r="AL271" s="439"/>
      <c r="AM271" s="389"/>
      <c r="AN271" s="521"/>
      <c r="AO271" s="374"/>
      <c r="AP271" s="402"/>
      <c r="AQ271" s="595">
        <v>30</v>
      </c>
      <c r="AR271" s="400">
        <v>15</v>
      </c>
      <c r="AS271" s="400">
        <v>15</v>
      </c>
      <c r="AT271" s="578">
        <v>116.37634</v>
      </c>
      <c r="AU271" s="401">
        <v>94.145449999999997</v>
      </c>
      <c r="AV271" s="401">
        <v>8.7227999999999994</v>
      </c>
      <c r="AW271" s="401">
        <f>19.73696+19.73696</f>
        <v>39.47392</v>
      </c>
      <c r="AX271" s="401">
        <v>8.9335799999999992</v>
      </c>
      <c r="AY271" s="401">
        <v>0</v>
      </c>
      <c r="AZ271" s="401">
        <v>0</v>
      </c>
      <c r="BA271" s="401">
        <v>6.1844099999999997</v>
      </c>
      <c r="BB271" s="401">
        <v>96.92</v>
      </c>
      <c r="BC271" s="401">
        <v>9.8684799999999999</v>
      </c>
      <c r="BD271" s="385" t="s">
        <v>167</v>
      </c>
      <c r="BE271" s="439" t="s">
        <v>175</v>
      </c>
      <c r="BF271" s="389"/>
      <c r="BG271" s="521">
        <v>232</v>
      </c>
      <c r="BH271" s="374">
        <f t="shared" si="87"/>
        <v>3879.2113333333332</v>
      </c>
      <c r="BI271" s="402">
        <f t="shared" si="88"/>
        <v>7.7584226666666662</v>
      </c>
    </row>
    <row r="272" spans="1:61" s="359" customFormat="1" ht="19.2" x14ac:dyDescent="0.3">
      <c r="A272" s="360" t="s">
        <v>187</v>
      </c>
      <c r="B272" s="579" t="s">
        <v>790</v>
      </c>
      <c r="C272" s="435" t="s">
        <v>667</v>
      </c>
      <c r="D272" s="361">
        <v>6</v>
      </c>
      <c r="E272" s="407"/>
      <c r="F272" s="400"/>
      <c r="G272" s="400"/>
      <c r="H272" s="401"/>
      <c r="I272" s="401"/>
      <c r="J272" s="401"/>
      <c r="K272" s="401"/>
      <c r="L272" s="401"/>
      <c r="M272" s="401"/>
      <c r="N272" s="401"/>
      <c r="O272" s="401"/>
      <c r="P272" s="401"/>
      <c r="Q272" s="401"/>
      <c r="R272" s="389"/>
      <c r="S272" s="389"/>
      <c r="T272" s="389"/>
      <c r="U272" s="521"/>
      <c r="V272" s="374"/>
      <c r="W272" s="402"/>
      <c r="X272" s="403"/>
      <c r="Y272" s="400"/>
      <c r="Z272" s="400"/>
      <c r="AA272" s="401"/>
      <c r="AB272" s="401"/>
      <c r="AC272" s="401"/>
      <c r="AD272" s="401"/>
      <c r="AE272" s="401"/>
      <c r="AF272" s="401"/>
      <c r="AG272" s="401"/>
      <c r="AH272" s="401"/>
      <c r="AI272" s="401"/>
      <c r="AJ272" s="401"/>
      <c r="AK272" s="385"/>
      <c r="AL272" s="439"/>
      <c r="AM272" s="389"/>
      <c r="AN272" s="521"/>
      <c r="AO272" s="374"/>
      <c r="AP272" s="402"/>
      <c r="AQ272" s="595">
        <v>391</v>
      </c>
      <c r="AR272" s="400">
        <v>500</v>
      </c>
      <c r="AS272" s="400">
        <v>500</v>
      </c>
      <c r="AT272" s="578">
        <v>351.47293000000002</v>
      </c>
      <c r="AU272" s="401">
        <v>290.25779999999997</v>
      </c>
      <c r="AV272" s="401">
        <v>113.881</v>
      </c>
      <c r="AW272" s="401">
        <f>19.7312+39.4624+29.5968</f>
        <v>88.790400000000005</v>
      </c>
      <c r="AX272" s="401">
        <v>21.360800000000001</v>
      </c>
      <c r="AY272" s="401">
        <v>0</v>
      </c>
      <c r="AZ272" s="401">
        <v>0</v>
      </c>
      <c r="BA272" s="401">
        <v>17.92379</v>
      </c>
      <c r="BB272" s="401">
        <v>96.92</v>
      </c>
      <c r="BC272" s="401">
        <v>9.8656000000000006</v>
      </c>
      <c r="BD272" s="385" t="s">
        <v>167</v>
      </c>
      <c r="BE272" s="439" t="s">
        <v>175</v>
      </c>
      <c r="BF272" s="389"/>
      <c r="BG272" s="521">
        <v>384</v>
      </c>
      <c r="BH272" s="374">
        <f t="shared" si="87"/>
        <v>898.90774936061393</v>
      </c>
      <c r="BI272" s="402">
        <f t="shared" si="88"/>
        <v>0.70294586000000003</v>
      </c>
    </row>
    <row r="273" spans="1:61" s="359" customFormat="1" ht="19.2" x14ac:dyDescent="0.3">
      <c r="A273" s="360" t="s">
        <v>190</v>
      </c>
      <c r="B273" s="579" t="s">
        <v>1104</v>
      </c>
      <c r="C273" s="435" t="s">
        <v>673</v>
      </c>
      <c r="D273" s="361">
        <v>6</v>
      </c>
      <c r="E273" s="407"/>
      <c r="F273" s="400"/>
      <c r="G273" s="400"/>
      <c r="H273" s="401"/>
      <c r="I273" s="401"/>
      <c r="J273" s="401"/>
      <c r="K273" s="401"/>
      <c r="L273" s="401"/>
      <c r="M273" s="401"/>
      <c r="N273" s="401"/>
      <c r="O273" s="401"/>
      <c r="P273" s="401"/>
      <c r="Q273" s="401"/>
      <c r="R273" s="389"/>
      <c r="S273" s="389"/>
      <c r="T273" s="389"/>
      <c r="U273" s="521"/>
      <c r="V273" s="374"/>
      <c r="W273" s="402"/>
      <c r="X273" s="403"/>
      <c r="Y273" s="400"/>
      <c r="Z273" s="400"/>
      <c r="AA273" s="401"/>
      <c r="AB273" s="401"/>
      <c r="AC273" s="401"/>
      <c r="AD273" s="401"/>
      <c r="AE273" s="401"/>
      <c r="AF273" s="401"/>
      <c r="AG273" s="401"/>
      <c r="AH273" s="401"/>
      <c r="AI273" s="401"/>
      <c r="AJ273" s="401"/>
      <c r="AK273" s="385"/>
      <c r="AL273" s="439"/>
      <c r="AM273" s="389"/>
      <c r="AN273" s="521"/>
      <c r="AO273" s="374"/>
      <c r="AP273" s="402"/>
      <c r="AQ273" s="595">
        <v>120</v>
      </c>
      <c r="AR273" s="400">
        <v>60</v>
      </c>
      <c r="AS273" s="400">
        <v>60</v>
      </c>
      <c r="AT273" s="578">
        <v>279.22883999999999</v>
      </c>
      <c r="AU273" s="401">
        <v>228.18502000000001</v>
      </c>
      <c r="AV273" s="401">
        <v>33.921999999999997</v>
      </c>
      <c r="AW273" s="401">
        <v>78.924800000000005</v>
      </c>
      <c r="AX273" s="401">
        <v>20.89997</v>
      </c>
      <c r="AY273" s="401">
        <v>0</v>
      </c>
      <c r="AZ273" s="401">
        <v>0</v>
      </c>
      <c r="BA273" s="401">
        <v>14.15255</v>
      </c>
      <c r="BB273" s="401">
        <v>96.92</v>
      </c>
      <c r="BC273" s="401">
        <v>9.8656000000000006</v>
      </c>
      <c r="BD273" s="385" t="s">
        <v>167</v>
      </c>
      <c r="BE273" s="439" t="s">
        <v>175</v>
      </c>
      <c r="BF273" s="389"/>
      <c r="BG273" s="521">
        <v>389</v>
      </c>
      <c r="BH273" s="374">
        <f t="shared" si="87"/>
        <v>2326.9069999999997</v>
      </c>
      <c r="BI273" s="402">
        <f t="shared" si="88"/>
        <v>4.6538139999999997</v>
      </c>
    </row>
    <row r="274" spans="1:61" s="359" customFormat="1" ht="19.2" x14ac:dyDescent="0.3">
      <c r="A274" s="360" t="s">
        <v>598</v>
      </c>
      <c r="B274" s="579" t="s">
        <v>1104</v>
      </c>
      <c r="C274" s="435" t="s">
        <v>673</v>
      </c>
      <c r="D274" s="361">
        <v>6</v>
      </c>
      <c r="E274" s="407"/>
      <c r="F274" s="400"/>
      <c r="G274" s="400"/>
      <c r="H274" s="401"/>
      <c r="I274" s="401"/>
      <c r="J274" s="401"/>
      <c r="K274" s="401"/>
      <c r="L274" s="401"/>
      <c r="M274" s="401"/>
      <c r="N274" s="401"/>
      <c r="O274" s="401"/>
      <c r="P274" s="401"/>
      <c r="Q274" s="401"/>
      <c r="R274" s="389"/>
      <c r="S274" s="389"/>
      <c r="T274" s="389"/>
      <c r="U274" s="521"/>
      <c r="V274" s="374"/>
      <c r="W274" s="402"/>
      <c r="X274" s="403"/>
      <c r="Y274" s="400"/>
      <c r="Z274" s="400"/>
      <c r="AA274" s="401"/>
      <c r="AB274" s="401"/>
      <c r="AC274" s="401"/>
      <c r="AD274" s="401"/>
      <c r="AE274" s="401"/>
      <c r="AF274" s="401"/>
      <c r="AG274" s="401"/>
      <c r="AH274" s="401"/>
      <c r="AI274" s="401"/>
      <c r="AJ274" s="401"/>
      <c r="AK274" s="385"/>
      <c r="AL274" s="439"/>
      <c r="AM274" s="389"/>
      <c r="AN274" s="521"/>
      <c r="AO274" s="374"/>
      <c r="AP274" s="402"/>
      <c r="AQ274" s="595">
        <v>140</v>
      </c>
      <c r="AR274" s="400">
        <v>60</v>
      </c>
      <c r="AS274" s="400">
        <v>60</v>
      </c>
      <c r="AT274" s="578">
        <v>314.61921999999998</v>
      </c>
      <c r="AU274" s="401">
        <v>258.54153000000002</v>
      </c>
      <c r="AV274" s="401">
        <v>41.191000000000003</v>
      </c>
      <c r="AW274" s="401">
        <v>78.924800000000005</v>
      </c>
      <c r="AX274" s="401">
        <v>21.96876</v>
      </c>
      <c r="AY274" s="401">
        <v>0</v>
      </c>
      <c r="AZ274" s="401">
        <v>0</v>
      </c>
      <c r="BA274" s="401">
        <v>15.554180000000001</v>
      </c>
      <c r="BB274" s="401">
        <v>96.92</v>
      </c>
      <c r="BC274" s="401">
        <v>9.8656000000000006</v>
      </c>
      <c r="BD274" s="385" t="s">
        <v>167</v>
      </c>
      <c r="BE274" s="439" t="s">
        <v>175</v>
      </c>
      <c r="BF274" s="389"/>
      <c r="BG274" s="521">
        <v>393</v>
      </c>
      <c r="BH274" s="374">
        <f t="shared" ref="BH274" si="99">AT274/AQ274*1000</f>
        <v>2247.2801428571429</v>
      </c>
      <c r="BI274" s="402">
        <f t="shared" ref="BI274" si="100">AT274/AR274</f>
        <v>5.243653666666666</v>
      </c>
    </row>
    <row r="275" spans="1:61" s="359" customFormat="1" ht="19.2" x14ac:dyDescent="0.3">
      <c r="A275" s="360" t="s">
        <v>599</v>
      </c>
      <c r="B275" s="579" t="s">
        <v>791</v>
      </c>
      <c r="C275" s="435" t="s">
        <v>676</v>
      </c>
      <c r="D275" s="361">
        <v>6</v>
      </c>
      <c r="E275" s="407"/>
      <c r="F275" s="400"/>
      <c r="G275" s="400"/>
      <c r="H275" s="401"/>
      <c r="I275" s="401"/>
      <c r="J275" s="401"/>
      <c r="K275" s="401"/>
      <c r="L275" s="401"/>
      <c r="M275" s="401"/>
      <c r="N275" s="401"/>
      <c r="O275" s="401"/>
      <c r="P275" s="401"/>
      <c r="Q275" s="401"/>
      <c r="R275" s="389"/>
      <c r="S275" s="389"/>
      <c r="T275" s="389"/>
      <c r="U275" s="521"/>
      <c r="V275" s="374"/>
      <c r="W275" s="402"/>
      <c r="X275" s="403"/>
      <c r="Y275" s="400"/>
      <c r="Z275" s="400"/>
      <c r="AA275" s="401"/>
      <c r="AB275" s="401"/>
      <c r="AC275" s="401"/>
      <c r="AD275" s="401"/>
      <c r="AE275" s="401"/>
      <c r="AF275" s="401"/>
      <c r="AG275" s="401"/>
      <c r="AH275" s="401"/>
      <c r="AI275" s="401"/>
      <c r="AJ275" s="401"/>
      <c r="AK275" s="385"/>
      <c r="AL275" s="439"/>
      <c r="AM275" s="389"/>
      <c r="AN275" s="521"/>
      <c r="AO275" s="374"/>
      <c r="AP275" s="402"/>
      <c r="AQ275" s="595">
        <v>760</v>
      </c>
      <c r="AR275" s="400">
        <v>15</v>
      </c>
      <c r="AS275" s="400">
        <v>15</v>
      </c>
      <c r="AT275" s="578">
        <v>744.28821000000005</v>
      </c>
      <c r="AU275" s="401">
        <v>627.11524999999995</v>
      </c>
      <c r="AV275" s="401">
        <v>220.00839999999999</v>
      </c>
      <c r="AW275" s="401">
        <f>69.0592+59.1936+39.4624</f>
        <v>167.71520000000001</v>
      </c>
      <c r="AX275" s="401">
        <v>47.892560000000003</v>
      </c>
      <c r="AY275" s="401">
        <v>0</v>
      </c>
      <c r="AZ275" s="401">
        <v>0</v>
      </c>
      <c r="BA275" s="401">
        <v>32.756729999999997</v>
      </c>
      <c r="BB275" s="401">
        <v>96.92</v>
      </c>
      <c r="BC275" s="401">
        <v>9.8656000000000006</v>
      </c>
      <c r="BD275" s="385" t="s">
        <v>167</v>
      </c>
      <c r="BE275" s="439" t="s">
        <v>175</v>
      </c>
      <c r="BF275" s="389"/>
      <c r="BG275" s="521">
        <v>412</v>
      </c>
      <c r="BH275" s="374">
        <f t="shared" si="87"/>
        <v>979.32659210526322</v>
      </c>
      <c r="BI275" s="402">
        <f t="shared" si="88"/>
        <v>49.619214000000007</v>
      </c>
    </row>
    <row r="276" spans="1:61" s="359" customFormat="1" ht="19.2" x14ac:dyDescent="0.3">
      <c r="A276" s="360" t="s">
        <v>600</v>
      </c>
      <c r="B276" s="579" t="s">
        <v>560</v>
      </c>
      <c r="C276" s="435" t="s">
        <v>695</v>
      </c>
      <c r="D276" s="361">
        <v>6</v>
      </c>
      <c r="E276" s="407"/>
      <c r="F276" s="400"/>
      <c r="G276" s="400"/>
      <c r="H276" s="401"/>
      <c r="I276" s="401"/>
      <c r="J276" s="401"/>
      <c r="K276" s="401"/>
      <c r="L276" s="401"/>
      <c r="M276" s="401"/>
      <c r="N276" s="401"/>
      <c r="O276" s="401"/>
      <c r="P276" s="401"/>
      <c r="Q276" s="401"/>
      <c r="R276" s="389"/>
      <c r="S276" s="389"/>
      <c r="T276" s="389"/>
      <c r="U276" s="521"/>
      <c r="V276" s="374"/>
      <c r="W276" s="402"/>
      <c r="X276" s="403"/>
      <c r="Y276" s="400"/>
      <c r="Z276" s="400"/>
      <c r="AA276" s="401"/>
      <c r="AB276" s="401"/>
      <c r="AC276" s="401"/>
      <c r="AD276" s="401"/>
      <c r="AE276" s="401"/>
      <c r="AF276" s="401"/>
      <c r="AG276" s="401"/>
      <c r="AH276" s="401"/>
      <c r="AI276" s="401"/>
      <c r="AJ276" s="401"/>
      <c r="AK276" s="385"/>
      <c r="AL276" s="439"/>
      <c r="AM276" s="389"/>
      <c r="AN276" s="521"/>
      <c r="AO276" s="374"/>
      <c r="AP276" s="402"/>
      <c r="AQ276" s="595">
        <v>305</v>
      </c>
      <c r="AR276" s="400">
        <v>150</v>
      </c>
      <c r="AS276" s="400">
        <v>150</v>
      </c>
      <c r="AT276" s="578">
        <v>351.15231999999997</v>
      </c>
      <c r="AU276" s="401">
        <v>294.62858</v>
      </c>
      <c r="AV276" s="401">
        <v>88.681799999999996</v>
      </c>
      <c r="AW276" s="401">
        <f>19.72552+39.45104+19.72552</f>
        <v>78.902079999999998</v>
      </c>
      <c r="AX276" s="401">
        <v>22.398849999999999</v>
      </c>
      <c r="AY276" s="401">
        <v>0</v>
      </c>
      <c r="AZ276" s="401">
        <v>0</v>
      </c>
      <c r="BA276" s="401">
        <v>15.940020000000001</v>
      </c>
      <c r="BB276" s="401">
        <v>96.92</v>
      </c>
      <c r="BC276" s="401">
        <v>9.8627599999999997</v>
      </c>
      <c r="BD276" s="385" t="s">
        <v>167</v>
      </c>
      <c r="BE276" s="439" t="s">
        <v>175</v>
      </c>
      <c r="BF276" s="389"/>
      <c r="BG276" s="521">
        <v>431</v>
      </c>
      <c r="BH276" s="374">
        <f t="shared" si="87"/>
        <v>1151.3190819672129</v>
      </c>
      <c r="BI276" s="402">
        <f t="shared" si="88"/>
        <v>2.3410154666666667</v>
      </c>
    </row>
    <row r="277" spans="1:61" s="359" customFormat="1" x14ac:dyDescent="0.3">
      <c r="A277" s="360"/>
      <c r="B277" s="382"/>
      <c r="C277" s="435"/>
      <c r="D277" s="361">
        <v>6</v>
      </c>
      <c r="E277" s="407"/>
      <c r="F277" s="400"/>
      <c r="G277" s="400"/>
      <c r="H277" s="401"/>
      <c r="I277" s="401"/>
      <c r="J277" s="401"/>
      <c r="K277" s="401"/>
      <c r="L277" s="401"/>
      <c r="M277" s="401"/>
      <c r="N277" s="401"/>
      <c r="O277" s="401"/>
      <c r="P277" s="401"/>
      <c r="Q277" s="401"/>
      <c r="R277" s="389"/>
      <c r="S277" s="389"/>
      <c r="T277" s="389"/>
      <c r="U277" s="521"/>
      <c r="V277" s="374"/>
      <c r="W277" s="402"/>
      <c r="X277" s="403"/>
      <c r="Y277" s="400"/>
      <c r="Z277" s="400"/>
      <c r="AA277" s="401"/>
      <c r="AB277" s="401"/>
      <c r="AC277" s="401"/>
      <c r="AD277" s="401"/>
      <c r="AE277" s="401"/>
      <c r="AF277" s="401"/>
      <c r="AG277" s="401"/>
      <c r="AH277" s="401"/>
      <c r="AI277" s="401"/>
      <c r="AJ277" s="401"/>
      <c r="AK277" s="385"/>
      <c r="AL277" s="439"/>
      <c r="AM277" s="389"/>
      <c r="AN277" s="521"/>
      <c r="AO277" s="374"/>
      <c r="AP277" s="402"/>
      <c r="AQ277" s="595"/>
      <c r="AR277" s="400"/>
      <c r="AS277" s="400"/>
      <c r="AT277" s="401"/>
      <c r="AU277" s="401"/>
      <c r="AV277" s="401"/>
      <c r="AW277" s="401"/>
      <c r="AX277" s="401"/>
      <c r="AY277" s="401"/>
      <c r="AZ277" s="401"/>
      <c r="BA277" s="401"/>
      <c r="BB277" s="401"/>
      <c r="BC277" s="401"/>
      <c r="BD277" s="385"/>
      <c r="BE277" s="439"/>
      <c r="BF277" s="389"/>
      <c r="BG277" s="521"/>
      <c r="BH277" s="374" t="e">
        <f t="shared" si="87"/>
        <v>#DIV/0!</v>
      </c>
      <c r="BI277" s="402" t="e">
        <f t="shared" si="88"/>
        <v>#DIV/0!</v>
      </c>
    </row>
    <row r="278" spans="1:61" s="359" customFormat="1" x14ac:dyDescent="0.3">
      <c r="A278" s="360"/>
      <c r="B278" s="382"/>
      <c r="C278" s="435"/>
      <c r="D278" s="361"/>
      <c r="E278" s="407"/>
      <c r="F278" s="400"/>
      <c r="G278" s="400"/>
      <c r="H278" s="401"/>
      <c r="I278" s="401"/>
      <c r="J278" s="401"/>
      <c r="K278" s="401"/>
      <c r="L278" s="401"/>
      <c r="M278" s="401"/>
      <c r="N278" s="401"/>
      <c r="O278" s="401"/>
      <c r="P278" s="401"/>
      <c r="Q278" s="401"/>
      <c r="R278" s="389"/>
      <c r="S278" s="389"/>
      <c r="T278" s="389"/>
      <c r="U278" s="521"/>
      <c r="V278" s="374" t="e">
        <f t="shared" ref="V278:V284" si="101">H278/E278*1000</f>
        <v>#DIV/0!</v>
      </c>
      <c r="W278" s="402" t="e">
        <f t="shared" ref="W278:W284" si="102">H278/F278</f>
        <v>#DIV/0!</v>
      </c>
      <c r="X278" s="407"/>
      <c r="Y278" s="400"/>
      <c r="Z278" s="400"/>
      <c r="AA278" s="401"/>
      <c r="AB278" s="401"/>
      <c r="AC278" s="401"/>
      <c r="AD278" s="401"/>
      <c r="AE278" s="401"/>
      <c r="AF278" s="401"/>
      <c r="AG278" s="401"/>
      <c r="AH278" s="401"/>
      <c r="AI278" s="401"/>
      <c r="AJ278" s="401"/>
      <c r="AK278" s="389"/>
      <c r="AL278" s="389"/>
      <c r="AM278" s="389"/>
      <c r="AN278" s="521"/>
      <c r="AO278" s="374" t="e">
        <f t="shared" ref="AO278:AO284" si="103">AA278/X278*1000</f>
        <v>#DIV/0!</v>
      </c>
      <c r="AP278" s="402" t="e">
        <f t="shared" ref="AP278:AP284" si="104">AA278/Y278</f>
        <v>#DIV/0!</v>
      </c>
      <c r="AQ278" s="407"/>
      <c r="AR278" s="400"/>
      <c r="AS278" s="400"/>
      <c r="AT278" s="401"/>
      <c r="AU278" s="401"/>
      <c r="AV278" s="401"/>
      <c r="AW278" s="401"/>
      <c r="AX278" s="401"/>
      <c r="AY278" s="401"/>
      <c r="AZ278" s="401"/>
      <c r="BA278" s="401"/>
      <c r="BB278" s="401"/>
      <c r="BC278" s="401"/>
      <c r="BD278" s="389"/>
      <c r="BE278" s="389"/>
      <c r="BF278" s="389"/>
      <c r="BG278" s="521"/>
      <c r="BH278" s="374" t="e">
        <f t="shared" si="87"/>
        <v>#DIV/0!</v>
      </c>
      <c r="BI278" s="402" t="e">
        <f t="shared" si="88"/>
        <v>#DIV/0!</v>
      </c>
    </row>
    <row r="279" spans="1:61" s="359" customFormat="1" ht="86.4" customHeight="1" x14ac:dyDescent="0.3">
      <c r="A279" s="441" t="s">
        <v>197</v>
      </c>
      <c r="B279" s="442" t="s">
        <v>196</v>
      </c>
      <c r="C279" s="443"/>
      <c r="D279" s="444"/>
      <c r="E279" s="445">
        <f t="shared" ref="E279:Q279" si="105">E280+E283</f>
        <v>220</v>
      </c>
      <c r="F279" s="445">
        <f t="shared" si="105"/>
        <v>350</v>
      </c>
      <c r="G279" s="445">
        <f t="shared" si="105"/>
        <v>350</v>
      </c>
      <c r="H279" s="446">
        <f t="shared" si="105"/>
        <v>245.34800000000001</v>
      </c>
      <c r="I279" s="446">
        <f t="shared" si="105"/>
        <v>180.803</v>
      </c>
      <c r="J279" s="446">
        <f t="shared" si="105"/>
        <v>73.009200000000007</v>
      </c>
      <c r="K279" s="446">
        <f t="shared" si="105"/>
        <v>89.735799999999998</v>
      </c>
      <c r="L279" s="446">
        <f t="shared" si="105"/>
        <v>29.853000000000002</v>
      </c>
      <c r="M279" s="446">
        <f t="shared" si="105"/>
        <v>0</v>
      </c>
      <c r="N279" s="446">
        <f t="shared" si="105"/>
        <v>0</v>
      </c>
      <c r="O279" s="446">
        <f t="shared" si="105"/>
        <v>15.388999999999999</v>
      </c>
      <c r="P279" s="446">
        <f t="shared" si="105"/>
        <v>331.86</v>
      </c>
      <c r="Q279" s="446">
        <f t="shared" si="105"/>
        <v>8.9735800000000001</v>
      </c>
      <c r="R279" s="447"/>
      <c r="S279" s="447"/>
      <c r="T279" s="447"/>
      <c r="U279" s="519"/>
      <c r="V279" s="448">
        <f t="shared" si="101"/>
        <v>1115.2181818181818</v>
      </c>
      <c r="W279" s="448">
        <f t="shared" si="102"/>
        <v>0.70099428571428579</v>
      </c>
      <c r="X279" s="445">
        <f t="shared" ref="X279:AJ279" si="106">X280+X283</f>
        <v>0</v>
      </c>
      <c r="Y279" s="445">
        <f t="shared" si="106"/>
        <v>0</v>
      </c>
      <c r="Z279" s="445">
        <f t="shared" si="106"/>
        <v>0</v>
      </c>
      <c r="AA279" s="446">
        <f t="shared" si="106"/>
        <v>0</v>
      </c>
      <c r="AB279" s="446">
        <f t="shared" si="106"/>
        <v>0</v>
      </c>
      <c r="AC279" s="446">
        <f t="shared" si="106"/>
        <v>0</v>
      </c>
      <c r="AD279" s="446">
        <f t="shared" si="106"/>
        <v>0</v>
      </c>
      <c r="AE279" s="446">
        <f t="shared" si="106"/>
        <v>0</v>
      </c>
      <c r="AF279" s="446">
        <f t="shared" si="106"/>
        <v>0</v>
      </c>
      <c r="AG279" s="446">
        <f t="shared" si="106"/>
        <v>0</v>
      </c>
      <c r="AH279" s="446">
        <f t="shared" si="106"/>
        <v>0</v>
      </c>
      <c r="AI279" s="446">
        <f t="shared" si="106"/>
        <v>0</v>
      </c>
      <c r="AJ279" s="446">
        <f t="shared" si="106"/>
        <v>0</v>
      </c>
      <c r="AK279" s="447"/>
      <c r="AL279" s="447"/>
      <c r="AM279" s="447"/>
      <c r="AN279" s="519"/>
      <c r="AO279" s="448" t="e">
        <f t="shared" si="103"/>
        <v>#DIV/0!</v>
      </c>
      <c r="AP279" s="448" t="e">
        <f t="shared" si="104"/>
        <v>#DIV/0!</v>
      </c>
      <c r="AQ279" s="445">
        <f t="shared" ref="AQ279:BC279" si="107">AQ280+AQ283</f>
        <v>0</v>
      </c>
      <c r="AR279" s="445">
        <f t="shared" si="107"/>
        <v>0</v>
      </c>
      <c r="AS279" s="445">
        <f t="shared" si="107"/>
        <v>0</v>
      </c>
      <c r="AT279" s="446">
        <f t="shared" si="107"/>
        <v>0</v>
      </c>
      <c r="AU279" s="446">
        <f t="shared" si="107"/>
        <v>0</v>
      </c>
      <c r="AV279" s="446">
        <f t="shared" si="107"/>
        <v>0</v>
      </c>
      <c r="AW279" s="446">
        <f t="shared" si="107"/>
        <v>0</v>
      </c>
      <c r="AX279" s="446">
        <f t="shared" si="107"/>
        <v>0</v>
      </c>
      <c r="AY279" s="446">
        <f t="shared" si="107"/>
        <v>0</v>
      </c>
      <c r="AZ279" s="446">
        <f t="shared" si="107"/>
        <v>0</v>
      </c>
      <c r="BA279" s="446">
        <f t="shared" si="107"/>
        <v>0</v>
      </c>
      <c r="BB279" s="446">
        <f t="shared" si="107"/>
        <v>0</v>
      </c>
      <c r="BC279" s="446">
        <f t="shared" si="107"/>
        <v>0</v>
      </c>
      <c r="BD279" s="447"/>
      <c r="BE279" s="447"/>
      <c r="BF279" s="447"/>
      <c r="BG279" s="519"/>
      <c r="BH279" s="448" t="e">
        <f t="shared" si="87"/>
        <v>#DIV/0!</v>
      </c>
      <c r="BI279" s="448" t="e">
        <f t="shared" si="88"/>
        <v>#DIV/0!</v>
      </c>
    </row>
    <row r="280" spans="1:61" s="359" customFormat="1" ht="24.75" customHeight="1" x14ac:dyDescent="0.3">
      <c r="A280" s="355" t="s">
        <v>179</v>
      </c>
      <c r="B280" s="356" t="s">
        <v>180</v>
      </c>
      <c r="C280" s="432"/>
      <c r="D280" s="357">
        <v>0.4</v>
      </c>
      <c r="E280" s="396">
        <f t="shared" ref="E280:Q280" si="108">SUM(E281:E282)</f>
        <v>0</v>
      </c>
      <c r="F280" s="396">
        <f t="shared" si="108"/>
        <v>0</v>
      </c>
      <c r="G280" s="396">
        <f t="shared" si="108"/>
        <v>0</v>
      </c>
      <c r="H280" s="397">
        <f t="shared" si="108"/>
        <v>0</v>
      </c>
      <c r="I280" s="397">
        <f t="shared" si="108"/>
        <v>0</v>
      </c>
      <c r="J280" s="397">
        <f t="shared" si="108"/>
        <v>0</v>
      </c>
      <c r="K280" s="397">
        <f t="shared" si="108"/>
        <v>0</v>
      </c>
      <c r="L280" s="397">
        <f t="shared" si="108"/>
        <v>0</v>
      </c>
      <c r="M280" s="397">
        <f t="shared" si="108"/>
        <v>0</v>
      </c>
      <c r="N280" s="397">
        <f t="shared" si="108"/>
        <v>0</v>
      </c>
      <c r="O280" s="397">
        <f t="shared" si="108"/>
        <v>0</v>
      </c>
      <c r="P280" s="397">
        <f t="shared" si="108"/>
        <v>0</v>
      </c>
      <c r="Q280" s="397">
        <f t="shared" si="108"/>
        <v>0</v>
      </c>
      <c r="R280" s="398"/>
      <c r="S280" s="398"/>
      <c r="T280" s="398"/>
      <c r="U280" s="520"/>
      <c r="V280" s="399" t="e">
        <f t="shared" si="101"/>
        <v>#DIV/0!</v>
      </c>
      <c r="W280" s="399" t="e">
        <f t="shared" si="102"/>
        <v>#DIV/0!</v>
      </c>
      <c r="X280" s="396">
        <f t="shared" ref="X280:AJ280" si="109">SUM(X281:X282)</f>
        <v>0</v>
      </c>
      <c r="Y280" s="396">
        <f t="shared" si="109"/>
        <v>0</v>
      </c>
      <c r="Z280" s="396">
        <f t="shared" si="109"/>
        <v>0</v>
      </c>
      <c r="AA280" s="397">
        <f t="shared" si="109"/>
        <v>0</v>
      </c>
      <c r="AB280" s="397">
        <f t="shared" si="109"/>
        <v>0</v>
      </c>
      <c r="AC280" s="397">
        <f t="shared" si="109"/>
        <v>0</v>
      </c>
      <c r="AD280" s="397">
        <f t="shared" si="109"/>
        <v>0</v>
      </c>
      <c r="AE280" s="397">
        <f t="shared" si="109"/>
        <v>0</v>
      </c>
      <c r="AF280" s="397">
        <f t="shared" si="109"/>
        <v>0</v>
      </c>
      <c r="AG280" s="397">
        <f t="shared" si="109"/>
        <v>0</v>
      </c>
      <c r="AH280" s="397">
        <f t="shared" si="109"/>
        <v>0</v>
      </c>
      <c r="AI280" s="397">
        <f t="shared" si="109"/>
        <v>0</v>
      </c>
      <c r="AJ280" s="397">
        <f t="shared" si="109"/>
        <v>0</v>
      </c>
      <c r="AK280" s="398"/>
      <c r="AL280" s="398"/>
      <c r="AM280" s="398"/>
      <c r="AN280" s="520"/>
      <c r="AO280" s="399" t="e">
        <f t="shared" si="103"/>
        <v>#DIV/0!</v>
      </c>
      <c r="AP280" s="399" t="e">
        <f t="shared" si="104"/>
        <v>#DIV/0!</v>
      </c>
      <c r="AQ280" s="396">
        <f t="shared" ref="AQ280:BC280" si="110">SUM(AQ281:AQ282)</f>
        <v>0</v>
      </c>
      <c r="AR280" s="396">
        <f t="shared" si="110"/>
        <v>0</v>
      </c>
      <c r="AS280" s="396">
        <f t="shared" si="110"/>
        <v>0</v>
      </c>
      <c r="AT280" s="397">
        <f t="shared" si="110"/>
        <v>0</v>
      </c>
      <c r="AU280" s="397">
        <f t="shared" si="110"/>
        <v>0</v>
      </c>
      <c r="AV280" s="397">
        <f t="shared" si="110"/>
        <v>0</v>
      </c>
      <c r="AW280" s="397">
        <f t="shared" si="110"/>
        <v>0</v>
      </c>
      <c r="AX280" s="397">
        <f t="shared" si="110"/>
        <v>0</v>
      </c>
      <c r="AY280" s="397">
        <f t="shared" si="110"/>
        <v>0</v>
      </c>
      <c r="AZ280" s="397">
        <f t="shared" si="110"/>
        <v>0</v>
      </c>
      <c r="BA280" s="397">
        <f t="shared" si="110"/>
        <v>0</v>
      </c>
      <c r="BB280" s="397">
        <f t="shared" si="110"/>
        <v>0</v>
      </c>
      <c r="BC280" s="397">
        <f t="shared" si="110"/>
        <v>0</v>
      </c>
      <c r="BD280" s="398"/>
      <c r="BE280" s="398"/>
      <c r="BF280" s="398"/>
      <c r="BG280" s="520"/>
      <c r="BH280" s="399" t="e">
        <f t="shared" si="87"/>
        <v>#DIV/0!</v>
      </c>
      <c r="BI280" s="399" t="e">
        <f t="shared" si="88"/>
        <v>#DIV/0!</v>
      </c>
    </row>
    <row r="281" spans="1:61" s="359" customFormat="1" x14ac:dyDescent="0.3">
      <c r="A281" s="360" t="s">
        <v>143</v>
      </c>
      <c r="B281" s="382"/>
      <c r="C281" s="436"/>
      <c r="D281" s="361">
        <v>0.4</v>
      </c>
      <c r="E281" s="410"/>
      <c r="F281" s="410"/>
      <c r="G281" s="400"/>
      <c r="H281" s="401"/>
      <c r="I281" s="401"/>
      <c r="J281" s="401"/>
      <c r="K281" s="401"/>
      <c r="L281" s="401"/>
      <c r="M281" s="401"/>
      <c r="N281" s="401"/>
      <c r="O281" s="401"/>
      <c r="P281" s="401"/>
      <c r="Q281" s="401"/>
      <c r="R281" s="389"/>
      <c r="S281" s="389"/>
      <c r="T281" s="389"/>
      <c r="U281" s="521"/>
      <c r="V281" s="402" t="e">
        <f t="shared" si="101"/>
        <v>#DIV/0!</v>
      </c>
      <c r="W281" s="402" t="e">
        <f t="shared" si="102"/>
        <v>#DIV/0!</v>
      </c>
      <c r="X281" s="410"/>
      <c r="Y281" s="410"/>
      <c r="Z281" s="400"/>
      <c r="AA281" s="401"/>
      <c r="AB281" s="401"/>
      <c r="AC281" s="401"/>
      <c r="AD281" s="401"/>
      <c r="AE281" s="401"/>
      <c r="AF281" s="401"/>
      <c r="AG281" s="401"/>
      <c r="AH281" s="401"/>
      <c r="AI281" s="401"/>
      <c r="AJ281" s="401"/>
      <c r="AK281" s="389"/>
      <c r="AL281" s="389"/>
      <c r="AM281" s="389"/>
      <c r="AN281" s="521"/>
      <c r="AO281" s="402" t="e">
        <f t="shared" si="103"/>
        <v>#DIV/0!</v>
      </c>
      <c r="AP281" s="402" t="e">
        <f t="shared" si="104"/>
        <v>#DIV/0!</v>
      </c>
      <c r="AQ281" s="597"/>
      <c r="AR281" s="597"/>
      <c r="AS281" s="400"/>
      <c r="AT281" s="401"/>
      <c r="AU281" s="401"/>
      <c r="AV281" s="401"/>
      <c r="AW281" s="401"/>
      <c r="AX281" s="401"/>
      <c r="AY281" s="401"/>
      <c r="AZ281" s="401"/>
      <c r="BA281" s="401"/>
      <c r="BB281" s="401"/>
      <c r="BC281" s="401"/>
      <c r="BD281" s="389"/>
      <c r="BE281" s="389"/>
      <c r="BF281" s="389"/>
      <c r="BG281" s="521"/>
      <c r="BH281" s="402" t="e">
        <f t="shared" si="87"/>
        <v>#DIV/0!</v>
      </c>
      <c r="BI281" s="402" t="e">
        <f t="shared" si="88"/>
        <v>#DIV/0!</v>
      </c>
    </row>
    <row r="282" spans="1:61" s="359" customFormat="1" x14ac:dyDescent="0.3">
      <c r="A282" s="360"/>
      <c r="B282" s="382"/>
      <c r="C282" s="436"/>
      <c r="D282" s="361"/>
      <c r="E282" s="410"/>
      <c r="F282" s="410"/>
      <c r="G282" s="400"/>
      <c r="H282" s="401"/>
      <c r="I282" s="401"/>
      <c r="J282" s="401"/>
      <c r="K282" s="401"/>
      <c r="L282" s="401"/>
      <c r="M282" s="401"/>
      <c r="N282" s="401"/>
      <c r="O282" s="401"/>
      <c r="P282" s="401"/>
      <c r="Q282" s="401"/>
      <c r="R282" s="389"/>
      <c r="S282" s="389"/>
      <c r="T282" s="389"/>
      <c r="U282" s="521"/>
      <c r="V282" s="402" t="e">
        <f t="shared" si="101"/>
        <v>#DIV/0!</v>
      </c>
      <c r="W282" s="402" t="e">
        <f t="shared" si="102"/>
        <v>#DIV/0!</v>
      </c>
      <c r="X282" s="410"/>
      <c r="Y282" s="410"/>
      <c r="Z282" s="400"/>
      <c r="AA282" s="401"/>
      <c r="AB282" s="401"/>
      <c r="AC282" s="401"/>
      <c r="AD282" s="401"/>
      <c r="AE282" s="401"/>
      <c r="AF282" s="401"/>
      <c r="AG282" s="401"/>
      <c r="AH282" s="401"/>
      <c r="AI282" s="401"/>
      <c r="AJ282" s="401"/>
      <c r="AK282" s="389"/>
      <c r="AL282" s="389"/>
      <c r="AM282" s="389"/>
      <c r="AN282" s="521"/>
      <c r="AO282" s="402" t="e">
        <f t="shared" si="103"/>
        <v>#DIV/0!</v>
      </c>
      <c r="AP282" s="402" t="e">
        <f t="shared" si="104"/>
        <v>#DIV/0!</v>
      </c>
      <c r="AQ282" s="597"/>
      <c r="AR282" s="597"/>
      <c r="AS282" s="400"/>
      <c r="AT282" s="401"/>
      <c r="AU282" s="401"/>
      <c r="AV282" s="401"/>
      <c r="AW282" s="401"/>
      <c r="AX282" s="401"/>
      <c r="AY282" s="401"/>
      <c r="AZ282" s="401"/>
      <c r="BA282" s="401"/>
      <c r="BB282" s="401"/>
      <c r="BC282" s="401"/>
      <c r="BD282" s="389"/>
      <c r="BE282" s="389"/>
      <c r="BF282" s="389"/>
      <c r="BG282" s="521"/>
      <c r="BH282" s="402" t="e">
        <f t="shared" si="87"/>
        <v>#DIV/0!</v>
      </c>
      <c r="BI282" s="402" t="e">
        <f t="shared" si="88"/>
        <v>#DIV/0!</v>
      </c>
    </row>
    <row r="283" spans="1:61" s="359" customFormat="1" ht="24.75" customHeight="1" x14ac:dyDescent="0.3">
      <c r="A283" s="355" t="s">
        <v>183</v>
      </c>
      <c r="B283" s="356" t="s">
        <v>198</v>
      </c>
      <c r="C283" s="432"/>
      <c r="D283" s="357">
        <v>0.4</v>
      </c>
      <c r="E283" s="396">
        <f t="shared" ref="E283:Q283" si="111">SUM(E284:E286)</f>
        <v>220</v>
      </c>
      <c r="F283" s="396">
        <f t="shared" si="111"/>
        <v>350</v>
      </c>
      <c r="G283" s="396">
        <f t="shared" si="111"/>
        <v>350</v>
      </c>
      <c r="H283" s="397">
        <f t="shared" si="111"/>
        <v>245.34800000000001</v>
      </c>
      <c r="I283" s="397">
        <f t="shared" si="111"/>
        <v>180.803</v>
      </c>
      <c r="J283" s="397">
        <f t="shared" si="111"/>
        <v>73.009200000000007</v>
      </c>
      <c r="K283" s="397">
        <f t="shared" si="111"/>
        <v>89.735799999999998</v>
      </c>
      <c r="L283" s="397">
        <f t="shared" si="111"/>
        <v>29.853000000000002</v>
      </c>
      <c r="M283" s="397">
        <f t="shared" si="111"/>
        <v>0</v>
      </c>
      <c r="N283" s="397">
        <f t="shared" si="111"/>
        <v>0</v>
      </c>
      <c r="O283" s="397">
        <f t="shared" si="111"/>
        <v>15.388999999999999</v>
      </c>
      <c r="P283" s="397">
        <f t="shared" si="111"/>
        <v>331.86</v>
      </c>
      <c r="Q283" s="397">
        <f t="shared" si="111"/>
        <v>8.9735800000000001</v>
      </c>
      <c r="R283" s="398"/>
      <c r="S283" s="398"/>
      <c r="T283" s="398"/>
      <c r="U283" s="520"/>
      <c r="V283" s="399">
        <f t="shared" si="101"/>
        <v>1115.2181818181818</v>
      </c>
      <c r="W283" s="399">
        <f t="shared" si="102"/>
        <v>0.70099428571428579</v>
      </c>
      <c r="X283" s="396">
        <f t="shared" ref="X283:AJ283" si="112">SUM(X284:X286)</f>
        <v>0</v>
      </c>
      <c r="Y283" s="396">
        <f t="shared" si="112"/>
        <v>0</v>
      </c>
      <c r="Z283" s="396">
        <f t="shared" si="112"/>
        <v>0</v>
      </c>
      <c r="AA283" s="397">
        <f t="shared" si="112"/>
        <v>0</v>
      </c>
      <c r="AB283" s="397">
        <f t="shared" si="112"/>
        <v>0</v>
      </c>
      <c r="AC283" s="397">
        <f t="shared" si="112"/>
        <v>0</v>
      </c>
      <c r="AD283" s="397">
        <f t="shared" si="112"/>
        <v>0</v>
      </c>
      <c r="AE283" s="397">
        <f t="shared" si="112"/>
        <v>0</v>
      </c>
      <c r="AF283" s="397">
        <f t="shared" si="112"/>
        <v>0</v>
      </c>
      <c r="AG283" s="397">
        <f t="shared" si="112"/>
        <v>0</v>
      </c>
      <c r="AH283" s="397">
        <f t="shared" si="112"/>
        <v>0</v>
      </c>
      <c r="AI283" s="397">
        <f t="shared" si="112"/>
        <v>0</v>
      </c>
      <c r="AJ283" s="397">
        <f t="shared" si="112"/>
        <v>0</v>
      </c>
      <c r="AK283" s="398"/>
      <c r="AL283" s="398"/>
      <c r="AM283" s="398"/>
      <c r="AN283" s="520"/>
      <c r="AO283" s="399" t="e">
        <f t="shared" si="103"/>
        <v>#DIV/0!</v>
      </c>
      <c r="AP283" s="399" t="e">
        <f t="shared" si="104"/>
        <v>#DIV/0!</v>
      </c>
      <c r="AQ283" s="396">
        <f t="shared" ref="AQ283:BC283" si="113">SUM(AQ284:AQ286)</f>
        <v>0</v>
      </c>
      <c r="AR283" s="396">
        <f t="shared" si="113"/>
        <v>0</v>
      </c>
      <c r="AS283" s="396">
        <f t="shared" si="113"/>
        <v>0</v>
      </c>
      <c r="AT283" s="397">
        <f t="shared" si="113"/>
        <v>0</v>
      </c>
      <c r="AU283" s="397">
        <f t="shared" si="113"/>
        <v>0</v>
      </c>
      <c r="AV283" s="397">
        <f t="shared" si="113"/>
        <v>0</v>
      </c>
      <c r="AW283" s="397">
        <f t="shared" si="113"/>
        <v>0</v>
      </c>
      <c r="AX283" s="397">
        <f t="shared" si="113"/>
        <v>0</v>
      </c>
      <c r="AY283" s="397">
        <f t="shared" si="113"/>
        <v>0</v>
      </c>
      <c r="AZ283" s="397">
        <f t="shared" si="113"/>
        <v>0</v>
      </c>
      <c r="BA283" s="397">
        <f t="shared" si="113"/>
        <v>0</v>
      </c>
      <c r="BB283" s="397">
        <f t="shared" si="113"/>
        <v>0</v>
      </c>
      <c r="BC283" s="397">
        <f t="shared" si="113"/>
        <v>0</v>
      </c>
      <c r="BD283" s="398"/>
      <c r="BE283" s="398"/>
      <c r="BF283" s="398"/>
      <c r="BG283" s="520"/>
      <c r="BH283" s="399" t="e">
        <f t="shared" si="87"/>
        <v>#DIV/0!</v>
      </c>
      <c r="BI283" s="399" t="e">
        <f t="shared" si="88"/>
        <v>#DIV/0!</v>
      </c>
    </row>
    <row r="284" spans="1:61" s="359" customFormat="1" ht="19.2" x14ac:dyDescent="0.3">
      <c r="A284" s="360" t="s">
        <v>184</v>
      </c>
      <c r="B284" s="513" t="s">
        <v>299</v>
      </c>
      <c r="C284" s="433" t="s">
        <v>298</v>
      </c>
      <c r="D284" s="361">
        <v>0.4</v>
      </c>
      <c r="E284" s="411">
        <v>220</v>
      </c>
      <c r="F284" s="404">
        <v>350</v>
      </c>
      <c r="G284" s="400">
        <v>350</v>
      </c>
      <c r="H284" s="419">
        <v>245.34800000000001</v>
      </c>
      <c r="I284" s="401">
        <v>180.803</v>
      </c>
      <c r="J284" s="401">
        <v>73.009200000000007</v>
      </c>
      <c r="K284" s="401">
        <f>53.84148+35.89432</f>
        <v>89.735799999999998</v>
      </c>
      <c r="L284" s="401">
        <v>29.853000000000002</v>
      </c>
      <c r="M284" s="401">
        <v>0</v>
      </c>
      <c r="N284" s="401">
        <v>0</v>
      </c>
      <c r="O284" s="401">
        <v>15.388999999999999</v>
      </c>
      <c r="P284" s="401">
        <v>331.86</v>
      </c>
      <c r="Q284" s="401">
        <v>8.9735800000000001</v>
      </c>
      <c r="R284" s="385" t="s">
        <v>167</v>
      </c>
      <c r="S284" s="439" t="s">
        <v>175</v>
      </c>
      <c r="T284" s="389"/>
      <c r="U284" s="521">
        <v>117</v>
      </c>
      <c r="V284" s="402">
        <f t="shared" si="101"/>
        <v>1115.2181818181818</v>
      </c>
      <c r="W284" s="402">
        <f t="shared" si="102"/>
        <v>0.70099428571428579</v>
      </c>
      <c r="X284" s="411"/>
      <c r="Y284" s="404"/>
      <c r="Z284" s="400"/>
      <c r="AA284" s="419"/>
      <c r="AB284" s="401"/>
      <c r="AC284" s="401"/>
      <c r="AD284" s="401"/>
      <c r="AE284" s="401"/>
      <c r="AF284" s="401"/>
      <c r="AG284" s="401"/>
      <c r="AH284" s="401"/>
      <c r="AI284" s="401"/>
      <c r="AJ284" s="401"/>
      <c r="AK284" s="385"/>
      <c r="AL284" s="439"/>
      <c r="AM284" s="389"/>
      <c r="AN284" s="521"/>
      <c r="AO284" s="402" t="e">
        <f t="shared" si="103"/>
        <v>#DIV/0!</v>
      </c>
      <c r="AP284" s="402" t="e">
        <f t="shared" si="104"/>
        <v>#DIV/0!</v>
      </c>
      <c r="AQ284" s="598"/>
      <c r="AR284" s="587"/>
      <c r="AS284" s="400"/>
      <c r="AT284" s="419"/>
      <c r="AU284" s="401"/>
      <c r="AV284" s="401"/>
      <c r="AW284" s="401"/>
      <c r="AX284" s="401"/>
      <c r="AY284" s="401"/>
      <c r="AZ284" s="401"/>
      <c r="BA284" s="401"/>
      <c r="BB284" s="401"/>
      <c r="BC284" s="401"/>
      <c r="BD284" s="385"/>
      <c r="BE284" s="439"/>
      <c r="BF284" s="389"/>
      <c r="BG284" s="521"/>
      <c r="BH284" s="402" t="e">
        <f t="shared" ref="BH284:BH291" si="114">AT284/AQ284*1000</f>
        <v>#DIV/0!</v>
      </c>
      <c r="BI284" s="402" t="e">
        <f t="shared" ref="BI284:BI291" si="115">AT284/AR284</f>
        <v>#DIV/0!</v>
      </c>
    </row>
    <row r="285" spans="1:61" s="359" customFormat="1" x14ac:dyDescent="0.3">
      <c r="A285" s="360"/>
      <c r="B285" s="382"/>
      <c r="C285" s="433"/>
      <c r="D285" s="361">
        <v>0.4</v>
      </c>
      <c r="E285" s="411"/>
      <c r="F285" s="404"/>
      <c r="G285" s="400"/>
      <c r="H285" s="401"/>
      <c r="I285" s="401"/>
      <c r="J285" s="401"/>
      <c r="K285" s="401"/>
      <c r="L285" s="401"/>
      <c r="M285" s="401"/>
      <c r="N285" s="401"/>
      <c r="O285" s="401"/>
      <c r="P285" s="401"/>
      <c r="Q285" s="401"/>
      <c r="R285" s="385"/>
      <c r="S285" s="439"/>
      <c r="T285" s="389"/>
      <c r="U285" s="521"/>
      <c r="V285" s="402"/>
      <c r="W285" s="402"/>
      <c r="X285" s="411"/>
      <c r="Y285" s="404"/>
      <c r="Z285" s="400"/>
      <c r="AA285" s="401"/>
      <c r="AB285" s="401"/>
      <c r="AC285" s="401"/>
      <c r="AD285" s="401"/>
      <c r="AE285" s="401"/>
      <c r="AF285" s="401"/>
      <c r="AG285" s="401"/>
      <c r="AH285" s="401"/>
      <c r="AI285" s="401"/>
      <c r="AJ285" s="401"/>
      <c r="AK285" s="385"/>
      <c r="AL285" s="439"/>
      <c r="AM285" s="389"/>
      <c r="AN285" s="521"/>
      <c r="AO285" s="402"/>
      <c r="AP285" s="402"/>
      <c r="AQ285" s="598"/>
      <c r="AR285" s="587"/>
      <c r="AS285" s="400"/>
      <c r="AT285" s="401"/>
      <c r="AU285" s="401"/>
      <c r="AV285" s="401"/>
      <c r="AW285" s="401"/>
      <c r="AX285" s="401"/>
      <c r="AY285" s="401"/>
      <c r="AZ285" s="401"/>
      <c r="BA285" s="401"/>
      <c r="BB285" s="401"/>
      <c r="BC285" s="401"/>
      <c r="BD285" s="385"/>
      <c r="BE285" s="439"/>
      <c r="BF285" s="389"/>
      <c r="BG285" s="521"/>
      <c r="BH285" s="402" t="e">
        <f t="shared" si="114"/>
        <v>#DIV/0!</v>
      </c>
      <c r="BI285" s="402" t="e">
        <f t="shared" si="115"/>
        <v>#DIV/0!</v>
      </c>
    </row>
    <row r="286" spans="1:61" s="359" customFormat="1" x14ac:dyDescent="0.3">
      <c r="A286" s="360"/>
      <c r="B286" s="382"/>
      <c r="C286" s="433"/>
      <c r="D286" s="361"/>
      <c r="E286" s="411"/>
      <c r="F286" s="404"/>
      <c r="G286" s="400"/>
      <c r="H286" s="401"/>
      <c r="I286" s="401"/>
      <c r="J286" s="401"/>
      <c r="K286" s="401"/>
      <c r="L286" s="401"/>
      <c r="M286" s="401"/>
      <c r="N286" s="401"/>
      <c r="O286" s="401"/>
      <c r="P286" s="401"/>
      <c r="Q286" s="401"/>
      <c r="R286" s="389"/>
      <c r="S286" s="389"/>
      <c r="T286" s="389"/>
      <c r="U286" s="521"/>
      <c r="V286" s="402" t="e">
        <f t="shared" ref="V286:V291" si="116">H286/E286*1000</f>
        <v>#DIV/0!</v>
      </c>
      <c r="W286" s="402" t="e">
        <f t="shared" ref="W286:W291" si="117">H286/F286</f>
        <v>#DIV/0!</v>
      </c>
      <c r="X286" s="411"/>
      <c r="Y286" s="404"/>
      <c r="Z286" s="400"/>
      <c r="AA286" s="401"/>
      <c r="AB286" s="401"/>
      <c r="AC286" s="401"/>
      <c r="AD286" s="401"/>
      <c r="AE286" s="401"/>
      <c r="AF286" s="401"/>
      <c r="AG286" s="401"/>
      <c r="AH286" s="401"/>
      <c r="AI286" s="401"/>
      <c r="AJ286" s="401"/>
      <c r="AK286" s="389"/>
      <c r="AL286" s="389"/>
      <c r="AM286" s="389"/>
      <c r="AN286" s="521"/>
      <c r="AO286" s="402" t="e">
        <f t="shared" ref="AO286:AO291" si="118">AA286/X286*1000</f>
        <v>#DIV/0!</v>
      </c>
      <c r="AP286" s="402" t="e">
        <f t="shared" ref="AP286:AP291" si="119">AA286/Y286</f>
        <v>#DIV/0!</v>
      </c>
      <c r="AQ286" s="598"/>
      <c r="AR286" s="587"/>
      <c r="AS286" s="400"/>
      <c r="AT286" s="401"/>
      <c r="AU286" s="401"/>
      <c r="AV286" s="401"/>
      <c r="AW286" s="401"/>
      <c r="AX286" s="401"/>
      <c r="AY286" s="401"/>
      <c r="AZ286" s="401"/>
      <c r="BA286" s="401"/>
      <c r="BB286" s="401"/>
      <c r="BC286" s="401"/>
      <c r="BD286" s="389"/>
      <c r="BE286" s="389"/>
      <c r="BF286" s="389"/>
      <c r="BG286" s="521"/>
      <c r="BH286" s="402" t="e">
        <f t="shared" si="114"/>
        <v>#DIV/0!</v>
      </c>
      <c r="BI286" s="402" t="e">
        <f t="shared" si="115"/>
        <v>#DIV/0!</v>
      </c>
    </row>
    <row r="287" spans="1:61" s="359" customFormat="1" ht="76.2" customHeight="1" x14ac:dyDescent="0.3">
      <c r="A287" s="449" t="s">
        <v>199</v>
      </c>
      <c r="B287" s="450" t="s">
        <v>200</v>
      </c>
      <c r="C287" s="451"/>
      <c r="D287" s="452"/>
      <c r="E287" s="453">
        <f t="shared" ref="E287:Q287" si="120">E288+E290</f>
        <v>0</v>
      </c>
      <c r="F287" s="453">
        <f t="shared" si="120"/>
        <v>0</v>
      </c>
      <c r="G287" s="453">
        <f t="shared" si="120"/>
        <v>0</v>
      </c>
      <c r="H287" s="454">
        <f t="shared" si="120"/>
        <v>0</v>
      </c>
      <c r="I287" s="454">
        <f t="shared" si="120"/>
        <v>0</v>
      </c>
      <c r="J287" s="454">
        <f t="shared" si="120"/>
        <v>0</v>
      </c>
      <c r="K287" s="454">
        <f t="shared" si="120"/>
        <v>0</v>
      </c>
      <c r="L287" s="454">
        <f t="shared" si="120"/>
        <v>0</v>
      </c>
      <c r="M287" s="454">
        <f t="shared" si="120"/>
        <v>0</v>
      </c>
      <c r="N287" s="454">
        <f t="shared" si="120"/>
        <v>0</v>
      </c>
      <c r="O287" s="454">
        <f t="shared" si="120"/>
        <v>0</v>
      </c>
      <c r="P287" s="454">
        <f t="shared" si="120"/>
        <v>0</v>
      </c>
      <c r="Q287" s="454">
        <f t="shared" si="120"/>
        <v>0</v>
      </c>
      <c r="R287" s="455"/>
      <c r="S287" s="455"/>
      <c r="T287" s="455"/>
      <c r="U287" s="522"/>
      <c r="V287" s="456" t="e">
        <f t="shared" si="116"/>
        <v>#DIV/0!</v>
      </c>
      <c r="W287" s="457" t="e">
        <f t="shared" si="117"/>
        <v>#DIV/0!</v>
      </c>
      <c r="X287" s="453">
        <f t="shared" ref="X287:AJ287" si="121">X288+X290</f>
        <v>0</v>
      </c>
      <c r="Y287" s="453">
        <f t="shared" si="121"/>
        <v>0</v>
      </c>
      <c r="Z287" s="453">
        <f t="shared" si="121"/>
        <v>0</v>
      </c>
      <c r="AA287" s="454">
        <f t="shared" si="121"/>
        <v>0</v>
      </c>
      <c r="AB287" s="454">
        <f t="shared" si="121"/>
        <v>0</v>
      </c>
      <c r="AC287" s="454">
        <f t="shared" si="121"/>
        <v>0</v>
      </c>
      <c r="AD287" s="454">
        <f t="shared" si="121"/>
        <v>0</v>
      </c>
      <c r="AE287" s="454">
        <f t="shared" si="121"/>
        <v>0</v>
      </c>
      <c r="AF287" s="454">
        <f t="shared" si="121"/>
        <v>0</v>
      </c>
      <c r="AG287" s="454">
        <f t="shared" si="121"/>
        <v>0</v>
      </c>
      <c r="AH287" s="454">
        <f t="shared" si="121"/>
        <v>0</v>
      </c>
      <c r="AI287" s="454">
        <f t="shared" si="121"/>
        <v>0</v>
      </c>
      <c r="AJ287" s="454">
        <f t="shared" si="121"/>
        <v>0</v>
      </c>
      <c r="AK287" s="455"/>
      <c r="AL287" s="455"/>
      <c r="AM287" s="455"/>
      <c r="AN287" s="522"/>
      <c r="AO287" s="456" t="e">
        <f t="shared" si="118"/>
        <v>#DIV/0!</v>
      </c>
      <c r="AP287" s="457" t="e">
        <f t="shared" si="119"/>
        <v>#DIV/0!</v>
      </c>
      <c r="AQ287" s="453">
        <f t="shared" ref="AQ287:BC287" si="122">AQ288+AQ290</f>
        <v>680</v>
      </c>
      <c r="AR287" s="453">
        <f t="shared" si="122"/>
        <v>164</v>
      </c>
      <c r="AS287" s="453">
        <f t="shared" si="122"/>
        <v>164</v>
      </c>
      <c r="AT287" s="454">
        <f t="shared" si="122"/>
        <v>553.81252999999992</v>
      </c>
      <c r="AU287" s="454">
        <f t="shared" si="122"/>
        <v>399.82551999999998</v>
      </c>
      <c r="AV287" s="454">
        <f t="shared" si="122"/>
        <v>334.43759999999997</v>
      </c>
      <c r="AW287" s="454">
        <f t="shared" si="122"/>
        <v>11.620539999999998</v>
      </c>
      <c r="AX287" s="454">
        <f t="shared" si="122"/>
        <v>41.802399999999999</v>
      </c>
      <c r="AY287" s="454">
        <f t="shared" si="122"/>
        <v>0</v>
      </c>
      <c r="AZ287" s="454">
        <f t="shared" si="122"/>
        <v>0</v>
      </c>
      <c r="BA287" s="454">
        <f t="shared" si="122"/>
        <v>44.294750000000001</v>
      </c>
      <c r="BB287" s="454">
        <f t="shared" si="122"/>
        <v>983.64</v>
      </c>
      <c r="BC287" s="454">
        <f t="shared" si="122"/>
        <v>4.35771</v>
      </c>
      <c r="BD287" s="455"/>
      <c r="BE287" s="455"/>
      <c r="BF287" s="455"/>
      <c r="BG287" s="522"/>
      <c r="BH287" s="456">
        <f t="shared" si="114"/>
        <v>814.43019117647054</v>
      </c>
      <c r="BI287" s="457">
        <f t="shared" si="115"/>
        <v>3.3769056707317069</v>
      </c>
    </row>
    <row r="288" spans="1:61" s="359" customFormat="1" ht="24.75" customHeight="1" x14ac:dyDescent="0.3">
      <c r="A288" s="355" t="s">
        <v>179</v>
      </c>
      <c r="B288" s="356" t="s">
        <v>221</v>
      </c>
      <c r="C288" s="432"/>
      <c r="D288" s="357">
        <v>0.4</v>
      </c>
      <c r="E288" s="396">
        <f t="shared" ref="E288:Q288" si="123">SUM(E289:E289)</f>
        <v>0</v>
      </c>
      <c r="F288" s="396">
        <f t="shared" si="123"/>
        <v>0</v>
      </c>
      <c r="G288" s="396">
        <f t="shared" si="123"/>
        <v>0</v>
      </c>
      <c r="H288" s="397">
        <f t="shared" si="123"/>
        <v>0</v>
      </c>
      <c r="I288" s="397">
        <f t="shared" si="123"/>
        <v>0</v>
      </c>
      <c r="J288" s="397">
        <f t="shared" si="123"/>
        <v>0</v>
      </c>
      <c r="K288" s="397">
        <f t="shared" si="123"/>
        <v>0</v>
      </c>
      <c r="L288" s="397">
        <f t="shared" si="123"/>
        <v>0</v>
      </c>
      <c r="M288" s="397">
        <f t="shared" si="123"/>
        <v>0</v>
      </c>
      <c r="N288" s="397">
        <f t="shared" si="123"/>
        <v>0</v>
      </c>
      <c r="O288" s="397">
        <f t="shared" si="123"/>
        <v>0</v>
      </c>
      <c r="P288" s="397">
        <f t="shared" si="123"/>
        <v>0</v>
      </c>
      <c r="Q288" s="397">
        <f t="shared" si="123"/>
        <v>0</v>
      </c>
      <c r="R288" s="398"/>
      <c r="S288" s="398"/>
      <c r="T288" s="398"/>
      <c r="U288" s="520"/>
      <c r="V288" s="373" t="e">
        <f t="shared" si="116"/>
        <v>#DIV/0!</v>
      </c>
      <c r="W288" s="399" t="e">
        <f t="shared" si="117"/>
        <v>#DIV/0!</v>
      </c>
      <c r="X288" s="396">
        <f t="shared" ref="X288:AJ288" si="124">SUM(X289:X289)</f>
        <v>0</v>
      </c>
      <c r="Y288" s="396">
        <f t="shared" si="124"/>
        <v>0</v>
      </c>
      <c r="Z288" s="396">
        <f t="shared" si="124"/>
        <v>0</v>
      </c>
      <c r="AA288" s="397">
        <f t="shared" si="124"/>
        <v>0</v>
      </c>
      <c r="AB288" s="397">
        <f t="shared" si="124"/>
        <v>0</v>
      </c>
      <c r="AC288" s="397">
        <f t="shared" si="124"/>
        <v>0</v>
      </c>
      <c r="AD288" s="397">
        <f t="shared" si="124"/>
        <v>0</v>
      </c>
      <c r="AE288" s="397">
        <f t="shared" si="124"/>
        <v>0</v>
      </c>
      <c r="AF288" s="397">
        <f t="shared" si="124"/>
        <v>0</v>
      </c>
      <c r="AG288" s="397">
        <f t="shared" si="124"/>
        <v>0</v>
      </c>
      <c r="AH288" s="397">
        <f t="shared" si="124"/>
        <v>0</v>
      </c>
      <c r="AI288" s="397">
        <f t="shared" si="124"/>
        <v>0</v>
      </c>
      <c r="AJ288" s="397">
        <f t="shared" si="124"/>
        <v>0</v>
      </c>
      <c r="AK288" s="398"/>
      <c r="AL288" s="398"/>
      <c r="AM288" s="398"/>
      <c r="AN288" s="520"/>
      <c r="AO288" s="373" t="e">
        <f t="shared" si="118"/>
        <v>#DIV/0!</v>
      </c>
      <c r="AP288" s="399" t="e">
        <f t="shared" si="119"/>
        <v>#DIV/0!</v>
      </c>
      <c r="AQ288" s="396">
        <f t="shared" ref="AQ288:BC288" si="125">SUM(AQ289:AQ289)</f>
        <v>0</v>
      </c>
      <c r="AR288" s="396">
        <f t="shared" si="125"/>
        <v>0</v>
      </c>
      <c r="AS288" s="396">
        <f t="shared" si="125"/>
        <v>0</v>
      </c>
      <c r="AT288" s="397">
        <f t="shared" si="125"/>
        <v>0</v>
      </c>
      <c r="AU288" s="397">
        <f t="shared" si="125"/>
        <v>0</v>
      </c>
      <c r="AV288" s="397">
        <f t="shared" si="125"/>
        <v>0</v>
      </c>
      <c r="AW288" s="397">
        <f t="shared" si="125"/>
        <v>0</v>
      </c>
      <c r="AX288" s="397">
        <f t="shared" si="125"/>
        <v>0</v>
      </c>
      <c r="AY288" s="397">
        <f t="shared" si="125"/>
        <v>0</v>
      </c>
      <c r="AZ288" s="397">
        <f t="shared" si="125"/>
        <v>0</v>
      </c>
      <c r="BA288" s="397">
        <f t="shared" si="125"/>
        <v>0</v>
      </c>
      <c r="BB288" s="397">
        <f t="shared" si="125"/>
        <v>0</v>
      </c>
      <c r="BC288" s="397">
        <f t="shared" si="125"/>
        <v>0</v>
      </c>
      <c r="BD288" s="398"/>
      <c r="BE288" s="398"/>
      <c r="BF288" s="398"/>
      <c r="BG288" s="520"/>
      <c r="BH288" s="373" t="e">
        <f t="shared" si="114"/>
        <v>#DIV/0!</v>
      </c>
      <c r="BI288" s="399" t="e">
        <f t="shared" si="115"/>
        <v>#DIV/0!</v>
      </c>
    </row>
    <row r="289" spans="1:61" s="359" customFormat="1" x14ac:dyDescent="0.3">
      <c r="A289" s="360"/>
      <c r="B289" s="382"/>
      <c r="C289" s="433"/>
      <c r="D289" s="361"/>
      <c r="E289" s="403"/>
      <c r="F289" s="404"/>
      <c r="G289" s="404"/>
      <c r="H289" s="401"/>
      <c r="I289" s="401"/>
      <c r="J289" s="401"/>
      <c r="K289" s="401"/>
      <c r="L289" s="401"/>
      <c r="M289" s="401"/>
      <c r="N289" s="401"/>
      <c r="O289" s="401"/>
      <c r="P289" s="401"/>
      <c r="Q289" s="401"/>
      <c r="R289" s="389"/>
      <c r="S289" s="389"/>
      <c r="T289" s="389"/>
      <c r="U289" s="521"/>
      <c r="V289" s="374" t="e">
        <f t="shared" si="116"/>
        <v>#DIV/0!</v>
      </c>
      <c r="W289" s="402" t="e">
        <f t="shared" si="117"/>
        <v>#DIV/0!</v>
      </c>
      <c r="X289" s="403"/>
      <c r="Y289" s="404"/>
      <c r="Z289" s="404"/>
      <c r="AA289" s="401"/>
      <c r="AB289" s="401"/>
      <c r="AC289" s="401"/>
      <c r="AD289" s="401"/>
      <c r="AE289" s="401"/>
      <c r="AF289" s="401"/>
      <c r="AG289" s="401"/>
      <c r="AH289" s="401"/>
      <c r="AI289" s="401"/>
      <c r="AJ289" s="401"/>
      <c r="AK289" s="389"/>
      <c r="AL289" s="389"/>
      <c r="AM289" s="389"/>
      <c r="AN289" s="521"/>
      <c r="AO289" s="374" t="e">
        <f t="shared" si="118"/>
        <v>#DIV/0!</v>
      </c>
      <c r="AP289" s="402" t="e">
        <f t="shared" si="119"/>
        <v>#DIV/0!</v>
      </c>
      <c r="AQ289" s="595"/>
      <c r="AR289" s="587"/>
      <c r="AS289" s="587"/>
      <c r="AT289" s="401"/>
      <c r="AU289" s="401"/>
      <c r="AV289" s="401"/>
      <c r="AW289" s="401"/>
      <c r="AX289" s="401"/>
      <c r="AY289" s="401"/>
      <c r="AZ289" s="401"/>
      <c r="BA289" s="401"/>
      <c r="BB289" s="401"/>
      <c r="BC289" s="401"/>
      <c r="BD289" s="389"/>
      <c r="BE289" s="389"/>
      <c r="BF289" s="389"/>
      <c r="BG289" s="521"/>
      <c r="BH289" s="374" t="e">
        <f t="shared" si="114"/>
        <v>#DIV/0!</v>
      </c>
      <c r="BI289" s="402" t="e">
        <f t="shared" si="115"/>
        <v>#DIV/0!</v>
      </c>
    </row>
    <row r="290" spans="1:61" s="359" customFormat="1" ht="24.75" customHeight="1" x14ac:dyDescent="0.3">
      <c r="A290" s="355" t="s">
        <v>183</v>
      </c>
      <c r="B290" s="356" t="s">
        <v>201</v>
      </c>
      <c r="C290" s="432"/>
      <c r="D290" s="357">
        <v>0.4</v>
      </c>
      <c r="E290" s="396">
        <f t="shared" ref="E290:Q290" si="126">SUM(E291:E294)</f>
        <v>0</v>
      </c>
      <c r="F290" s="396">
        <f t="shared" si="126"/>
        <v>0</v>
      </c>
      <c r="G290" s="396">
        <f t="shared" si="126"/>
        <v>0</v>
      </c>
      <c r="H290" s="397">
        <f t="shared" si="126"/>
        <v>0</v>
      </c>
      <c r="I290" s="397">
        <f t="shared" si="126"/>
        <v>0</v>
      </c>
      <c r="J290" s="397">
        <f t="shared" si="126"/>
        <v>0</v>
      </c>
      <c r="K290" s="397">
        <f t="shared" si="126"/>
        <v>0</v>
      </c>
      <c r="L290" s="397">
        <f t="shared" si="126"/>
        <v>0</v>
      </c>
      <c r="M290" s="397">
        <f t="shared" si="126"/>
        <v>0</v>
      </c>
      <c r="N290" s="397">
        <f t="shared" si="126"/>
        <v>0</v>
      </c>
      <c r="O290" s="397">
        <f t="shared" si="126"/>
        <v>0</v>
      </c>
      <c r="P290" s="397">
        <f t="shared" si="126"/>
        <v>0</v>
      </c>
      <c r="Q290" s="397">
        <f t="shared" si="126"/>
        <v>0</v>
      </c>
      <c r="R290" s="398"/>
      <c r="S290" s="398"/>
      <c r="T290" s="398"/>
      <c r="U290" s="520"/>
      <c r="V290" s="373" t="e">
        <f t="shared" si="116"/>
        <v>#DIV/0!</v>
      </c>
      <c r="W290" s="399" t="e">
        <f t="shared" si="117"/>
        <v>#DIV/0!</v>
      </c>
      <c r="X290" s="396">
        <f t="shared" ref="X290:AJ290" si="127">SUM(X291:X294)</f>
        <v>0</v>
      </c>
      <c r="Y290" s="396">
        <f t="shared" si="127"/>
        <v>0</v>
      </c>
      <c r="Z290" s="396">
        <f t="shared" si="127"/>
        <v>0</v>
      </c>
      <c r="AA290" s="397">
        <f t="shared" si="127"/>
        <v>0</v>
      </c>
      <c r="AB290" s="397">
        <f t="shared" si="127"/>
        <v>0</v>
      </c>
      <c r="AC290" s="397">
        <f t="shared" si="127"/>
        <v>0</v>
      </c>
      <c r="AD290" s="397">
        <f t="shared" si="127"/>
        <v>0</v>
      </c>
      <c r="AE290" s="397">
        <f t="shared" si="127"/>
        <v>0</v>
      </c>
      <c r="AF290" s="397">
        <f t="shared" si="127"/>
        <v>0</v>
      </c>
      <c r="AG290" s="397">
        <f t="shared" si="127"/>
        <v>0</v>
      </c>
      <c r="AH290" s="397">
        <f t="shared" si="127"/>
        <v>0</v>
      </c>
      <c r="AI290" s="397">
        <f t="shared" si="127"/>
        <v>0</v>
      </c>
      <c r="AJ290" s="397">
        <f t="shared" si="127"/>
        <v>0</v>
      </c>
      <c r="AK290" s="398"/>
      <c r="AL290" s="398"/>
      <c r="AM290" s="398"/>
      <c r="AN290" s="520"/>
      <c r="AO290" s="373" t="e">
        <f t="shared" si="118"/>
        <v>#DIV/0!</v>
      </c>
      <c r="AP290" s="399" t="e">
        <f t="shared" si="119"/>
        <v>#DIV/0!</v>
      </c>
      <c r="AQ290" s="396">
        <f t="shared" ref="AQ290:BC290" si="128">SUM(AQ291:AQ294)</f>
        <v>680</v>
      </c>
      <c r="AR290" s="396">
        <f t="shared" si="128"/>
        <v>164</v>
      </c>
      <c r="AS290" s="396">
        <f t="shared" si="128"/>
        <v>164</v>
      </c>
      <c r="AT290" s="397">
        <f t="shared" si="128"/>
        <v>553.81252999999992</v>
      </c>
      <c r="AU290" s="397">
        <f t="shared" si="128"/>
        <v>399.82551999999998</v>
      </c>
      <c r="AV290" s="397">
        <f t="shared" si="128"/>
        <v>334.43759999999997</v>
      </c>
      <c r="AW290" s="397">
        <f t="shared" si="128"/>
        <v>11.620539999999998</v>
      </c>
      <c r="AX290" s="397">
        <f t="shared" si="128"/>
        <v>41.802399999999999</v>
      </c>
      <c r="AY290" s="397">
        <f t="shared" si="128"/>
        <v>0</v>
      </c>
      <c r="AZ290" s="397">
        <f t="shared" si="128"/>
        <v>0</v>
      </c>
      <c r="BA290" s="397">
        <f t="shared" si="128"/>
        <v>44.294750000000001</v>
      </c>
      <c r="BB290" s="397">
        <f t="shared" si="128"/>
        <v>983.64</v>
      </c>
      <c r="BC290" s="397">
        <f t="shared" si="128"/>
        <v>4.35771</v>
      </c>
      <c r="BD290" s="398"/>
      <c r="BE290" s="398"/>
      <c r="BF290" s="398"/>
      <c r="BG290" s="520"/>
      <c r="BH290" s="373">
        <f t="shared" si="114"/>
        <v>814.43019117647054</v>
      </c>
      <c r="BI290" s="399">
        <f t="shared" si="115"/>
        <v>3.3769056707317069</v>
      </c>
    </row>
    <row r="291" spans="1:61" s="359" customFormat="1" ht="19.2" x14ac:dyDescent="0.3">
      <c r="A291" s="360" t="s">
        <v>179</v>
      </c>
      <c r="B291" s="579" t="s">
        <v>792</v>
      </c>
      <c r="C291" s="433" t="s">
        <v>645</v>
      </c>
      <c r="D291" s="361">
        <v>0.4</v>
      </c>
      <c r="E291" s="403"/>
      <c r="F291" s="404"/>
      <c r="G291" s="404"/>
      <c r="H291" s="401"/>
      <c r="I291" s="401"/>
      <c r="J291" s="401"/>
      <c r="K291" s="401"/>
      <c r="L291" s="401"/>
      <c r="M291" s="401"/>
      <c r="N291" s="401"/>
      <c r="O291" s="401"/>
      <c r="P291" s="401"/>
      <c r="Q291" s="401"/>
      <c r="R291" s="389"/>
      <c r="S291" s="389"/>
      <c r="T291" s="389"/>
      <c r="U291" s="521"/>
      <c r="V291" s="374" t="e">
        <f t="shared" si="116"/>
        <v>#DIV/0!</v>
      </c>
      <c r="W291" s="402" t="e">
        <f t="shared" si="117"/>
        <v>#DIV/0!</v>
      </c>
      <c r="X291" s="403"/>
      <c r="Y291" s="404"/>
      <c r="Z291" s="404"/>
      <c r="AA291" s="401"/>
      <c r="AB291" s="401"/>
      <c r="AC291" s="401"/>
      <c r="AD291" s="401"/>
      <c r="AE291" s="401"/>
      <c r="AF291" s="401"/>
      <c r="AG291" s="401"/>
      <c r="AH291" s="401"/>
      <c r="AI291" s="401"/>
      <c r="AJ291" s="401"/>
      <c r="AK291" s="389"/>
      <c r="AL291" s="389"/>
      <c r="AM291" s="389"/>
      <c r="AN291" s="521"/>
      <c r="AO291" s="374" t="e">
        <f t="shared" si="118"/>
        <v>#DIV/0!</v>
      </c>
      <c r="AP291" s="402" t="e">
        <f t="shared" si="119"/>
        <v>#DIV/0!</v>
      </c>
      <c r="AQ291" s="595">
        <v>320</v>
      </c>
      <c r="AR291" s="587">
        <v>58</v>
      </c>
      <c r="AS291" s="587">
        <v>58</v>
      </c>
      <c r="AT291" s="578">
        <v>258.71292999999997</v>
      </c>
      <c r="AU291" s="401">
        <v>188.79479000000001</v>
      </c>
      <c r="AV291" s="401">
        <v>157.38239999999999</v>
      </c>
      <c r="AW291" s="401">
        <f>2.90514+2.90514</f>
        <v>5.8102799999999997</v>
      </c>
      <c r="AX291" s="401">
        <v>19.441189999999999</v>
      </c>
      <c r="AY291" s="401">
        <v>0</v>
      </c>
      <c r="AZ291" s="401">
        <v>0</v>
      </c>
      <c r="BA291" s="401">
        <v>19.917020000000001</v>
      </c>
      <c r="BB291" s="401">
        <v>491.82</v>
      </c>
      <c r="BC291" s="401">
        <v>2.9051399999999998</v>
      </c>
      <c r="BD291" s="385" t="s">
        <v>167</v>
      </c>
      <c r="BE291" s="439" t="s">
        <v>175</v>
      </c>
      <c r="BF291" s="389"/>
      <c r="BG291" s="521">
        <v>437</v>
      </c>
      <c r="BH291" s="374">
        <f t="shared" si="114"/>
        <v>808.47790624999993</v>
      </c>
      <c r="BI291" s="402">
        <f t="shared" si="115"/>
        <v>4.4605677586206891</v>
      </c>
    </row>
    <row r="292" spans="1:61" s="359" customFormat="1" ht="19.2" x14ac:dyDescent="0.3">
      <c r="A292" s="360" t="s">
        <v>183</v>
      </c>
      <c r="B292" s="579" t="s">
        <v>793</v>
      </c>
      <c r="C292" s="433" t="s">
        <v>655</v>
      </c>
      <c r="D292" s="361">
        <v>0.4</v>
      </c>
      <c r="E292" s="403"/>
      <c r="F292" s="404"/>
      <c r="G292" s="404"/>
      <c r="H292" s="401"/>
      <c r="I292" s="401"/>
      <c r="J292" s="401"/>
      <c r="K292" s="401"/>
      <c r="L292" s="401"/>
      <c r="M292" s="401"/>
      <c r="N292" s="401"/>
      <c r="O292" s="401"/>
      <c r="P292" s="401"/>
      <c r="Q292" s="401"/>
      <c r="R292" s="389"/>
      <c r="S292" s="389"/>
      <c r="T292" s="389"/>
      <c r="U292" s="521"/>
      <c r="V292" s="374"/>
      <c r="W292" s="402"/>
      <c r="X292" s="403"/>
      <c r="Y292" s="404"/>
      <c r="Z292" s="404"/>
      <c r="AA292" s="401"/>
      <c r="AB292" s="401"/>
      <c r="AC292" s="401"/>
      <c r="AD292" s="401"/>
      <c r="AE292" s="401"/>
      <c r="AF292" s="401"/>
      <c r="AG292" s="401"/>
      <c r="AH292" s="401"/>
      <c r="AI292" s="401"/>
      <c r="AJ292" s="401"/>
      <c r="AK292" s="389"/>
      <c r="AL292" s="389"/>
      <c r="AM292" s="389"/>
      <c r="AN292" s="521"/>
      <c r="AO292" s="374"/>
      <c r="AP292" s="402"/>
      <c r="AQ292" s="595">
        <v>360</v>
      </c>
      <c r="AR292" s="587">
        <v>106</v>
      </c>
      <c r="AS292" s="587">
        <v>106</v>
      </c>
      <c r="AT292" s="578">
        <v>295.09960000000001</v>
      </c>
      <c r="AU292" s="401">
        <v>211.03073000000001</v>
      </c>
      <c r="AV292" s="401">
        <v>177.05520000000001</v>
      </c>
      <c r="AW292" s="401">
        <f>2.90512+2.90514</f>
        <v>5.8102599999999995</v>
      </c>
      <c r="AX292" s="401">
        <v>22.36121</v>
      </c>
      <c r="AY292" s="401">
        <v>0</v>
      </c>
      <c r="AZ292" s="401">
        <v>0</v>
      </c>
      <c r="BA292" s="401">
        <v>24.37773</v>
      </c>
      <c r="BB292" s="401">
        <v>491.82</v>
      </c>
      <c r="BC292" s="401">
        <v>1.4525699999999999</v>
      </c>
      <c r="BD292" s="385" t="s">
        <v>167</v>
      </c>
      <c r="BE292" s="439" t="s">
        <v>175</v>
      </c>
      <c r="BF292" s="389"/>
      <c r="BG292" s="521">
        <v>443</v>
      </c>
      <c r="BH292" s="374">
        <f t="shared" ref="BH292:BH293" si="129">AT292/AQ292*1000</f>
        <v>819.7211111111111</v>
      </c>
      <c r="BI292" s="402">
        <f t="shared" ref="BI292:BI293" si="130">AT292/AR292</f>
        <v>2.7839584905660377</v>
      </c>
    </row>
    <row r="293" spans="1:61" s="359" customFormat="1" x14ac:dyDescent="0.3">
      <c r="A293" s="360"/>
      <c r="B293" s="382"/>
      <c r="C293" s="433"/>
      <c r="D293" s="361"/>
      <c r="E293" s="403"/>
      <c r="F293" s="404"/>
      <c r="G293" s="404"/>
      <c r="H293" s="401"/>
      <c r="I293" s="401"/>
      <c r="J293" s="401"/>
      <c r="K293" s="401"/>
      <c r="L293" s="401"/>
      <c r="M293" s="401"/>
      <c r="N293" s="401"/>
      <c r="O293" s="401"/>
      <c r="P293" s="401"/>
      <c r="Q293" s="401"/>
      <c r="R293" s="389"/>
      <c r="S293" s="389"/>
      <c r="T293" s="389"/>
      <c r="U293" s="521"/>
      <c r="V293" s="374"/>
      <c r="W293" s="402"/>
      <c r="X293" s="403"/>
      <c r="Y293" s="404"/>
      <c r="Z293" s="404"/>
      <c r="AA293" s="401"/>
      <c r="AB293" s="401"/>
      <c r="AC293" s="401"/>
      <c r="AD293" s="401"/>
      <c r="AE293" s="401"/>
      <c r="AF293" s="401"/>
      <c r="AG293" s="401"/>
      <c r="AH293" s="401"/>
      <c r="AI293" s="401"/>
      <c r="AJ293" s="401"/>
      <c r="AK293" s="389"/>
      <c r="AL293" s="389"/>
      <c r="AM293" s="389"/>
      <c r="AN293" s="521"/>
      <c r="AO293" s="374"/>
      <c r="AP293" s="402"/>
      <c r="AQ293" s="595"/>
      <c r="AR293" s="587"/>
      <c r="AS293" s="587"/>
      <c r="AT293" s="401"/>
      <c r="AU293" s="401"/>
      <c r="AV293" s="401"/>
      <c r="AW293" s="401"/>
      <c r="AX293" s="401"/>
      <c r="AY293" s="401"/>
      <c r="AZ293" s="401"/>
      <c r="BA293" s="401"/>
      <c r="BB293" s="401"/>
      <c r="BC293" s="401"/>
      <c r="BD293" s="389"/>
      <c r="BE293" s="389"/>
      <c r="BF293" s="389"/>
      <c r="BG293" s="521"/>
      <c r="BH293" s="374" t="e">
        <f t="shared" si="129"/>
        <v>#DIV/0!</v>
      </c>
      <c r="BI293" s="402" t="e">
        <f t="shared" si="130"/>
        <v>#DIV/0!</v>
      </c>
    </row>
    <row r="294" spans="1:61" s="359" customFormat="1" x14ac:dyDescent="0.3">
      <c r="A294" s="360"/>
      <c r="B294" s="382"/>
      <c r="C294" s="433"/>
      <c r="D294" s="361"/>
      <c r="E294" s="403"/>
      <c r="F294" s="404"/>
      <c r="G294" s="404"/>
      <c r="H294" s="401"/>
      <c r="I294" s="401"/>
      <c r="J294" s="401"/>
      <c r="K294" s="401"/>
      <c r="L294" s="401"/>
      <c r="M294" s="401"/>
      <c r="N294" s="401"/>
      <c r="O294" s="401"/>
      <c r="P294" s="401"/>
      <c r="Q294" s="401"/>
      <c r="R294" s="389"/>
      <c r="S294" s="389"/>
      <c r="T294" s="389"/>
      <c r="U294" s="521"/>
      <c r="V294" s="374" t="e">
        <f t="shared" ref="V294:V301" si="131">H294/E294*1000</f>
        <v>#DIV/0!</v>
      </c>
      <c r="W294" s="402" t="e">
        <f t="shared" ref="W294:W301" si="132">H294/F294</f>
        <v>#DIV/0!</v>
      </c>
      <c r="X294" s="403"/>
      <c r="Y294" s="404"/>
      <c r="Z294" s="404"/>
      <c r="AA294" s="401"/>
      <c r="AB294" s="401"/>
      <c r="AC294" s="401"/>
      <c r="AD294" s="401"/>
      <c r="AE294" s="401"/>
      <c r="AF294" s="401"/>
      <c r="AG294" s="401"/>
      <c r="AH294" s="401"/>
      <c r="AI294" s="401"/>
      <c r="AJ294" s="401"/>
      <c r="AK294" s="389"/>
      <c r="AL294" s="389"/>
      <c r="AM294" s="389"/>
      <c r="AN294" s="521"/>
      <c r="AO294" s="374" t="e">
        <f t="shared" ref="AO294:AO301" si="133">AA294/X294*1000</f>
        <v>#DIV/0!</v>
      </c>
      <c r="AP294" s="402" t="e">
        <f t="shared" ref="AP294:AP301" si="134">AA294/Y294</f>
        <v>#DIV/0!</v>
      </c>
      <c r="AQ294" s="595"/>
      <c r="AR294" s="587"/>
      <c r="AS294" s="587"/>
      <c r="AT294" s="401"/>
      <c r="AU294" s="401"/>
      <c r="AV294" s="401"/>
      <c r="AW294" s="401"/>
      <c r="AX294" s="401"/>
      <c r="AY294" s="401"/>
      <c r="AZ294" s="401"/>
      <c r="BA294" s="401"/>
      <c r="BB294" s="401"/>
      <c r="BC294" s="401"/>
      <c r="BD294" s="389"/>
      <c r="BE294" s="389"/>
      <c r="BF294" s="389"/>
      <c r="BG294" s="521"/>
      <c r="BH294" s="374" t="e">
        <f t="shared" ref="BH294:BH314" si="135">AT294/AQ294*1000</f>
        <v>#DIV/0!</v>
      </c>
      <c r="BI294" s="402" t="e">
        <f t="shared" ref="BI294:BI314" si="136">AT294/AR294</f>
        <v>#DIV/0!</v>
      </c>
    </row>
    <row r="295" spans="1:61" s="359" customFormat="1" ht="73.8" customHeight="1" x14ac:dyDescent="0.3">
      <c r="A295" s="449" t="s">
        <v>202</v>
      </c>
      <c r="B295" s="450" t="s">
        <v>208</v>
      </c>
      <c r="C295" s="451"/>
      <c r="D295" s="452"/>
      <c r="E295" s="453">
        <f t="shared" ref="E295:Q295" si="137">E296+E306+E320+E327+E336</f>
        <v>3261</v>
      </c>
      <c r="F295" s="453">
        <f t="shared" si="137"/>
        <v>3966</v>
      </c>
      <c r="G295" s="453">
        <f t="shared" si="137"/>
        <v>3966</v>
      </c>
      <c r="H295" s="454">
        <f t="shared" si="137"/>
        <v>6136.0634900000005</v>
      </c>
      <c r="I295" s="454">
        <f t="shared" si="137"/>
        <v>5035.4469300000001</v>
      </c>
      <c r="J295" s="454">
        <f t="shared" si="137"/>
        <v>4379.9908800000003</v>
      </c>
      <c r="K295" s="454">
        <f t="shared" si="137"/>
        <v>633.98299999999995</v>
      </c>
      <c r="L295" s="454">
        <f t="shared" si="137"/>
        <v>279.59649999999999</v>
      </c>
      <c r="M295" s="454">
        <f t="shared" si="137"/>
        <v>0</v>
      </c>
      <c r="N295" s="454">
        <f t="shared" si="137"/>
        <v>0</v>
      </c>
      <c r="O295" s="454">
        <f t="shared" si="137"/>
        <v>315.31048000000004</v>
      </c>
      <c r="P295" s="454">
        <f t="shared" si="137"/>
        <v>8281.74</v>
      </c>
      <c r="Q295" s="454">
        <f t="shared" si="137"/>
        <v>1500.24</v>
      </c>
      <c r="R295" s="455"/>
      <c r="S295" s="455"/>
      <c r="T295" s="455"/>
      <c r="U295" s="522"/>
      <c r="V295" s="456">
        <f t="shared" si="131"/>
        <v>1881.6508708984975</v>
      </c>
      <c r="W295" s="457">
        <f t="shared" si="132"/>
        <v>1.5471667902168433</v>
      </c>
      <c r="X295" s="453">
        <f t="shared" ref="X295:AJ295" si="138">X296+X306+X320+X327+X336</f>
        <v>1668</v>
      </c>
      <c r="Y295" s="453">
        <f t="shared" si="138"/>
        <v>4393.75</v>
      </c>
      <c r="Z295" s="453">
        <f t="shared" si="138"/>
        <v>4393.75</v>
      </c>
      <c r="AA295" s="454">
        <f t="shared" si="138"/>
        <v>5722.9154799999997</v>
      </c>
      <c r="AB295" s="454">
        <f t="shared" si="138"/>
        <v>4358.8193099999999</v>
      </c>
      <c r="AC295" s="454">
        <f t="shared" si="138"/>
        <v>3459.9990000000007</v>
      </c>
      <c r="AD295" s="454">
        <f t="shared" si="138"/>
        <v>232.52593000000002</v>
      </c>
      <c r="AE295" s="454">
        <f t="shared" si="138"/>
        <v>317.51053000000002</v>
      </c>
      <c r="AF295" s="454">
        <f t="shared" si="138"/>
        <v>0</v>
      </c>
      <c r="AG295" s="454">
        <f t="shared" si="138"/>
        <v>0</v>
      </c>
      <c r="AH295" s="454">
        <f t="shared" si="138"/>
        <v>368.05203</v>
      </c>
      <c r="AI295" s="454">
        <f t="shared" si="138"/>
        <v>9681.5499999999993</v>
      </c>
      <c r="AJ295" s="454">
        <f t="shared" si="138"/>
        <v>306.78801999999996</v>
      </c>
      <c r="AK295" s="455"/>
      <c r="AL295" s="455"/>
      <c r="AM295" s="455"/>
      <c r="AN295" s="522"/>
      <c r="AO295" s="456">
        <f t="shared" si="133"/>
        <v>3431.00448441247</v>
      </c>
      <c r="AP295" s="457">
        <f t="shared" si="134"/>
        <v>1.3025127692745375</v>
      </c>
      <c r="AQ295" s="453">
        <f t="shared" ref="AQ295:BC295" si="139">AQ296+AQ306+AQ316+AQ320+AQ327+AQ336</f>
        <v>3554</v>
      </c>
      <c r="AR295" s="453">
        <f t="shared" si="139"/>
        <v>2445.5</v>
      </c>
      <c r="AS295" s="453">
        <f t="shared" si="139"/>
        <v>2445.5</v>
      </c>
      <c r="AT295" s="454">
        <f t="shared" si="139"/>
        <v>3846.23585</v>
      </c>
      <c r="AU295" s="454">
        <f t="shared" si="139"/>
        <v>3040.6232500000001</v>
      </c>
      <c r="AV295" s="454">
        <f t="shared" si="139"/>
        <v>2546.9562999999998</v>
      </c>
      <c r="AW295" s="454">
        <f t="shared" si="139"/>
        <v>137.13634999999999</v>
      </c>
      <c r="AX295" s="454">
        <f t="shared" si="139"/>
        <v>161.76517000000001</v>
      </c>
      <c r="AY295" s="454">
        <f t="shared" si="139"/>
        <v>48</v>
      </c>
      <c r="AZ295" s="454">
        <f t="shared" si="139"/>
        <v>0</v>
      </c>
      <c r="BA295" s="454">
        <f t="shared" si="139"/>
        <v>196.17759999999998</v>
      </c>
      <c r="BB295" s="454">
        <f t="shared" si="139"/>
        <v>5825.5300000000007</v>
      </c>
      <c r="BC295" s="454">
        <f t="shared" si="139"/>
        <v>27.33924</v>
      </c>
      <c r="BD295" s="455"/>
      <c r="BE295" s="455"/>
      <c r="BF295" s="455"/>
      <c r="BG295" s="522"/>
      <c r="BH295" s="456">
        <f t="shared" si="135"/>
        <v>1082.227307259426</v>
      </c>
      <c r="BI295" s="457">
        <f t="shared" si="136"/>
        <v>1.5727809650378246</v>
      </c>
    </row>
    <row r="296" spans="1:61" s="359" customFormat="1" ht="24.75" customHeight="1" x14ac:dyDescent="0.3">
      <c r="A296" s="355" t="s">
        <v>179</v>
      </c>
      <c r="B296" s="356" t="s">
        <v>222</v>
      </c>
      <c r="C296" s="432"/>
      <c r="D296" s="357">
        <v>0.4</v>
      </c>
      <c r="E296" s="396">
        <f t="shared" ref="E296:Q296" si="140">SUM(E297:E305)</f>
        <v>1046</v>
      </c>
      <c r="F296" s="396">
        <f t="shared" si="140"/>
        <v>574</v>
      </c>
      <c r="G296" s="396">
        <f t="shared" si="140"/>
        <v>574</v>
      </c>
      <c r="H296" s="397">
        <f t="shared" si="140"/>
        <v>812.39740000000006</v>
      </c>
      <c r="I296" s="397">
        <f t="shared" si="140"/>
        <v>679.11685</v>
      </c>
      <c r="J296" s="397">
        <f t="shared" si="140"/>
        <v>582.14959999999996</v>
      </c>
      <c r="K296" s="397">
        <f t="shared" si="140"/>
        <v>96.966999999999999</v>
      </c>
      <c r="L296" s="397">
        <f t="shared" si="140"/>
        <v>84.610420000000005</v>
      </c>
      <c r="M296" s="397">
        <f t="shared" si="140"/>
        <v>0</v>
      </c>
      <c r="N296" s="397">
        <f t="shared" si="140"/>
        <v>0</v>
      </c>
      <c r="O296" s="397">
        <f t="shared" si="140"/>
        <v>40.952600000000004</v>
      </c>
      <c r="P296" s="397">
        <f t="shared" si="140"/>
        <v>1702.53</v>
      </c>
      <c r="Q296" s="397">
        <f t="shared" si="140"/>
        <v>321.48</v>
      </c>
      <c r="R296" s="398"/>
      <c r="S296" s="398"/>
      <c r="T296" s="398"/>
      <c r="U296" s="520"/>
      <c r="V296" s="373">
        <f t="shared" si="131"/>
        <v>776.67055449330792</v>
      </c>
      <c r="W296" s="399">
        <f t="shared" si="132"/>
        <v>1.4153264808362371</v>
      </c>
      <c r="X296" s="396">
        <f t="shared" ref="X296:AJ296" si="141">SUM(X297:X305)</f>
        <v>140</v>
      </c>
      <c r="Y296" s="396">
        <f t="shared" si="141"/>
        <v>350</v>
      </c>
      <c r="Z296" s="396">
        <f t="shared" si="141"/>
        <v>350</v>
      </c>
      <c r="AA296" s="397">
        <f t="shared" si="141"/>
        <v>307.95744000000002</v>
      </c>
      <c r="AB296" s="397">
        <f t="shared" si="141"/>
        <v>243.76139000000001</v>
      </c>
      <c r="AC296" s="397">
        <f t="shared" si="141"/>
        <v>194.49600000000001</v>
      </c>
      <c r="AD296" s="397">
        <f t="shared" si="141"/>
        <v>10.77482</v>
      </c>
      <c r="AE296" s="397">
        <f t="shared" si="141"/>
        <v>15.40802</v>
      </c>
      <c r="AF296" s="397">
        <f t="shared" si="141"/>
        <v>0</v>
      </c>
      <c r="AG296" s="397">
        <f t="shared" si="141"/>
        <v>0</v>
      </c>
      <c r="AH296" s="397">
        <f t="shared" si="141"/>
        <v>17.539380000000001</v>
      </c>
      <c r="AI296" s="397">
        <f t="shared" si="141"/>
        <v>1269.98</v>
      </c>
      <c r="AJ296" s="397">
        <f t="shared" si="141"/>
        <v>214.32</v>
      </c>
      <c r="AK296" s="398"/>
      <c r="AL296" s="398"/>
      <c r="AM296" s="398"/>
      <c r="AN296" s="520"/>
      <c r="AO296" s="373">
        <f t="shared" si="133"/>
        <v>2199.6960000000004</v>
      </c>
      <c r="AP296" s="399">
        <f t="shared" si="134"/>
        <v>0.87987840000000006</v>
      </c>
      <c r="AQ296" s="396">
        <f t="shared" ref="AQ296:BC296" si="142">SUM(AQ297:AQ305)</f>
        <v>1588</v>
      </c>
      <c r="AR296" s="396">
        <f t="shared" si="142"/>
        <v>650</v>
      </c>
      <c r="AS296" s="396">
        <f t="shared" si="142"/>
        <v>650</v>
      </c>
      <c r="AT296" s="397">
        <f t="shared" si="142"/>
        <v>1687.61294</v>
      </c>
      <c r="AU296" s="397">
        <f t="shared" si="142"/>
        <v>1347.6881800000001</v>
      </c>
      <c r="AV296" s="397">
        <f t="shared" si="142"/>
        <v>1127.2259199999999</v>
      </c>
      <c r="AW296" s="397">
        <f t="shared" si="142"/>
        <v>51.37912</v>
      </c>
      <c r="AX296" s="397">
        <f t="shared" si="142"/>
        <v>78.241150000000005</v>
      </c>
      <c r="AY296" s="397">
        <f t="shared" si="142"/>
        <v>28</v>
      </c>
      <c r="AZ296" s="397">
        <f t="shared" si="142"/>
        <v>0</v>
      </c>
      <c r="BA296" s="397">
        <f t="shared" si="142"/>
        <v>65.522500000000008</v>
      </c>
      <c r="BB296" s="397">
        <f t="shared" si="142"/>
        <v>1419.68</v>
      </c>
      <c r="BC296" s="397">
        <f t="shared" si="142"/>
        <v>3.02623</v>
      </c>
      <c r="BD296" s="398"/>
      <c r="BE296" s="398"/>
      <c r="BF296" s="398"/>
      <c r="BG296" s="520"/>
      <c r="BH296" s="373">
        <f t="shared" si="135"/>
        <v>1062.7285516372795</v>
      </c>
      <c r="BI296" s="399">
        <f t="shared" si="136"/>
        <v>2.5963276</v>
      </c>
    </row>
    <row r="297" spans="1:61" s="359" customFormat="1" ht="19.2" x14ac:dyDescent="0.3">
      <c r="A297" s="360" t="s">
        <v>179</v>
      </c>
      <c r="B297" s="513" t="s">
        <v>251</v>
      </c>
      <c r="C297" s="433" t="s">
        <v>272</v>
      </c>
      <c r="D297" s="361">
        <v>0.4</v>
      </c>
      <c r="E297" s="403">
        <v>482</v>
      </c>
      <c r="F297" s="404">
        <v>275</v>
      </c>
      <c r="G297" s="400">
        <v>275</v>
      </c>
      <c r="H297" s="421">
        <v>354.99540000000002</v>
      </c>
      <c r="I297" s="401">
        <v>301.60385000000002</v>
      </c>
      <c r="J297" s="401">
        <v>244.27760000000001</v>
      </c>
      <c r="K297" s="401">
        <v>57.326000000000001</v>
      </c>
      <c r="L297" s="401">
        <v>1.2304200000000001</v>
      </c>
      <c r="M297" s="401">
        <v>0</v>
      </c>
      <c r="N297" s="401">
        <v>0</v>
      </c>
      <c r="O297" s="401">
        <v>17.066600000000001</v>
      </c>
      <c r="P297" s="401">
        <v>506.8</v>
      </c>
      <c r="Q297" s="401">
        <v>107.16</v>
      </c>
      <c r="R297" s="385" t="s">
        <v>167</v>
      </c>
      <c r="S297" s="439" t="s">
        <v>175</v>
      </c>
      <c r="T297" s="389"/>
      <c r="U297" s="521">
        <v>44</v>
      </c>
      <c r="V297" s="374">
        <f t="shared" si="131"/>
        <v>736.50497925311208</v>
      </c>
      <c r="W297" s="402">
        <f t="shared" si="132"/>
        <v>1.2908923636363636</v>
      </c>
      <c r="X297" s="403"/>
      <c r="Y297" s="404"/>
      <c r="Z297" s="400"/>
      <c r="AA297" s="421"/>
      <c r="AB297" s="401"/>
      <c r="AC297" s="401"/>
      <c r="AD297" s="401"/>
      <c r="AE297" s="401"/>
      <c r="AF297" s="401"/>
      <c r="AG297" s="401"/>
      <c r="AH297" s="401"/>
      <c r="AI297" s="401"/>
      <c r="AJ297" s="401"/>
      <c r="AK297" s="385"/>
      <c r="AL297" s="439"/>
      <c r="AM297" s="389"/>
      <c r="AN297" s="521"/>
      <c r="AO297" s="374" t="e">
        <f t="shared" si="133"/>
        <v>#DIV/0!</v>
      </c>
      <c r="AP297" s="402" t="e">
        <f t="shared" si="134"/>
        <v>#DIV/0!</v>
      </c>
      <c r="AQ297" s="595"/>
      <c r="AR297" s="587"/>
      <c r="AS297" s="400"/>
      <c r="AT297" s="421"/>
      <c r="AU297" s="401"/>
      <c r="AV297" s="401"/>
      <c r="AW297" s="401"/>
      <c r="AX297" s="401"/>
      <c r="AY297" s="401"/>
      <c r="AZ297" s="401"/>
      <c r="BA297" s="401"/>
      <c r="BB297" s="401"/>
      <c r="BC297" s="401"/>
      <c r="BD297" s="385"/>
      <c r="BE297" s="439"/>
      <c r="BF297" s="389"/>
      <c r="BG297" s="521"/>
      <c r="BH297" s="374" t="e">
        <f t="shared" si="135"/>
        <v>#DIV/0!</v>
      </c>
      <c r="BI297" s="402" t="e">
        <f t="shared" si="136"/>
        <v>#DIV/0!</v>
      </c>
    </row>
    <row r="298" spans="1:61" s="359" customFormat="1" ht="19.2" x14ac:dyDescent="0.3">
      <c r="A298" s="360" t="s">
        <v>183</v>
      </c>
      <c r="B298" s="513" t="s">
        <v>307</v>
      </c>
      <c r="C298" s="433" t="s">
        <v>308</v>
      </c>
      <c r="D298" s="361">
        <v>0.4</v>
      </c>
      <c r="E298" s="403">
        <v>164</v>
      </c>
      <c r="F298" s="404">
        <v>150</v>
      </c>
      <c r="G298" s="400">
        <v>150</v>
      </c>
      <c r="H298" s="421">
        <v>147.16300000000001</v>
      </c>
      <c r="I298" s="401">
        <v>116.467</v>
      </c>
      <c r="J298" s="401">
        <v>97.58</v>
      </c>
      <c r="K298" s="401">
        <v>18.887</v>
      </c>
      <c r="L298" s="401">
        <v>2.6509999999999998</v>
      </c>
      <c r="M298" s="401">
        <v>0</v>
      </c>
      <c r="N298" s="401">
        <v>0</v>
      </c>
      <c r="O298" s="401">
        <v>9.4619999999999997</v>
      </c>
      <c r="P298" s="401">
        <v>595</v>
      </c>
      <c r="Q298" s="401">
        <v>107.16</v>
      </c>
      <c r="R298" s="385" t="s">
        <v>167</v>
      </c>
      <c r="S298" s="439" t="s">
        <v>175</v>
      </c>
      <c r="T298" s="389"/>
      <c r="U298" s="521">
        <v>137</v>
      </c>
      <c r="V298" s="374">
        <f t="shared" si="131"/>
        <v>897.33536585365857</v>
      </c>
      <c r="W298" s="402">
        <f t="shared" si="132"/>
        <v>0.98108666666666677</v>
      </c>
      <c r="X298" s="403"/>
      <c r="Y298" s="404"/>
      <c r="Z298" s="400"/>
      <c r="AA298" s="421"/>
      <c r="AB298" s="401"/>
      <c r="AC298" s="401"/>
      <c r="AD298" s="401"/>
      <c r="AE298" s="401"/>
      <c r="AF298" s="401"/>
      <c r="AG298" s="401"/>
      <c r="AH298" s="401"/>
      <c r="AI298" s="401"/>
      <c r="AJ298" s="401"/>
      <c r="AK298" s="385"/>
      <c r="AL298" s="439"/>
      <c r="AM298" s="389"/>
      <c r="AN298" s="521"/>
      <c r="AO298" s="374" t="e">
        <f t="shared" si="133"/>
        <v>#DIV/0!</v>
      </c>
      <c r="AP298" s="402" t="e">
        <f t="shared" si="134"/>
        <v>#DIV/0!</v>
      </c>
      <c r="AQ298" s="595"/>
      <c r="AR298" s="587"/>
      <c r="AS298" s="400"/>
      <c r="AT298" s="421"/>
      <c r="AU298" s="401"/>
      <c r="AV298" s="401"/>
      <c r="AW298" s="401"/>
      <c r="AX298" s="401"/>
      <c r="AY298" s="401"/>
      <c r="AZ298" s="401"/>
      <c r="BA298" s="401"/>
      <c r="BB298" s="401"/>
      <c r="BC298" s="401"/>
      <c r="BD298" s="385"/>
      <c r="BE298" s="439"/>
      <c r="BF298" s="389"/>
      <c r="BG298" s="521"/>
      <c r="BH298" s="374" t="e">
        <f t="shared" si="135"/>
        <v>#DIV/0!</v>
      </c>
      <c r="BI298" s="402" t="e">
        <f t="shared" si="136"/>
        <v>#DIV/0!</v>
      </c>
    </row>
    <row r="299" spans="1:61" s="359" customFormat="1" ht="19.2" x14ac:dyDescent="0.3">
      <c r="A299" s="360" t="s">
        <v>185</v>
      </c>
      <c r="B299" s="513" t="s">
        <v>252</v>
      </c>
      <c r="C299" s="433" t="s">
        <v>370</v>
      </c>
      <c r="D299" s="361">
        <v>0.4</v>
      </c>
      <c r="E299" s="403">
        <v>400</v>
      </c>
      <c r="F299" s="404">
        <v>149</v>
      </c>
      <c r="G299" s="400">
        <v>149</v>
      </c>
      <c r="H299" s="421">
        <v>310.23899999999998</v>
      </c>
      <c r="I299" s="401">
        <v>261.04599999999999</v>
      </c>
      <c r="J299" s="401">
        <v>240.292</v>
      </c>
      <c r="K299" s="401">
        <v>20.754000000000001</v>
      </c>
      <c r="L299" s="401">
        <v>80.728999999999999</v>
      </c>
      <c r="M299" s="401">
        <v>0</v>
      </c>
      <c r="N299" s="401">
        <v>0</v>
      </c>
      <c r="O299" s="401">
        <v>14.423999999999999</v>
      </c>
      <c r="P299" s="401">
        <v>600.73</v>
      </c>
      <c r="Q299" s="401">
        <v>107.16</v>
      </c>
      <c r="R299" s="385" t="s">
        <v>167</v>
      </c>
      <c r="S299" s="439" t="s">
        <v>175</v>
      </c>
      <c r="T299" s="389"/>
      <c r="U299" s="521">
        <v>276</v>
      </c>
      <c r="V299" s="374">
        <f t="shared" si="131"/>
        <v>775.59749999999997</v>
      </c>
      <c r="W299" s="402">
        <f t="shared" si="132"/>
        <v>2.0821409395973154</v>
      </c>
      <c r="X299" s="403"/>
      <c r="Y299" s="404"/>
      <c r="Z299" s="400"/>
      <c r="AA299" s="421"/>
      <c r="AB299" s="401"/>
      <c r="AC299" s="401"/>
      <c r="AD299" s="401"/>
      <c r="AE299" s="401"/>
      <c r="AF299" s="401"/>
      <c r="AG299" s="401"/>
      <c r="AH299" s="401"/>
      <c r="AI299" s="401"/>
      <c r="AJ299" s="401"/>
      <c r="AK299" s="385"/>
      <c r="AL299" s="439"/>
      <c r="AM299" s="389"/>
      <c r="AN299" s="521"/>
      <c r="AO299" s="374" t="e">
        <f t="shared" si="133"/>
        <v>#DIV/0!</v>
      </c>
      <c r="AP299" s="402" t="e">
        <f t="shared" si="134"/>
        <v>#DIV/0!</v>
      </c>
      <c r="AQ299" s="595"/>
      <c r="AR299" s="587"/>
      <c r="AS299" s="400"/>
      <c r="AT299" s="421"/>
      <c r="AU299" s="401"/>
      <c r="AV299" s="401"/>
      <c r="AW299" s="401"/>
      <c r="AX299" s="401"/>
      <c r="AY299" s="401"/>
      <c r="AZ299" s="401"/>
      <c r="BA299" s="401"/>
      <c r="BB299" s="401"/>
      <c r="BC299" s="401"/>
      <c r="BD299" s="385"/>
      <c r="BE299" s="439"/>
      <c r="BF299" s="389"/>
      <c r="BG299" s="521"/>
      <c r="BH299" s="374" t="e">
        <f t="shared" si="135"/>
        <v>#DIV/0!</v>
      </c>
      <c r="BI299" s="402" t="e">
        <f t="shared" si="136"/>
        <v>#DIV/0!</v>
      </c>
    </row>
    <row r="300" spans="1:61" s="359" customFormat="1" ht="19.2" x14ac:dyDescent="0.3">
      <c r="A300" s="360" t="s">
        <v>179</v>
      </c>
      <c r="B300" s="543" t="s">
        <v>546</v>
      </c>
      <c r="C300" s="433" t="s">
        <v>428</v>
      </c>
      <c r="D300" s="361">
        <v>0.4</v>
      </c>
      <c r="E300" s="403"/>
      <c r="F300" s="404"/>
      <c r="G300" s="400"/>
      <c r="H300" s="413"/>
      <c r="I300" s="401"/>
      <c r="J300" s="401"/>
      <c r="K300" s="401"/>
      <c r="L300" s="401"/>
      <c r="M300" s="401"/>
      <c r="N300" s="401"/>
      <c r="O300" s="401"/>
      <c r="P300" s="401"/>
      <c r="Q300" s="401"/>
      <c r="R300" s="389"/>
      <c r="S300" s="389"/>
      <c r="T300" s="389"/>
      <c r="U300" s="521"/>
      <c r="V300" s="374" t="e">
        <f t="shared" si="131"/>
        <v>#DIV/0!</v>
      </c>
      <c r="W300" s="402" t="e">
        <f t="shared" si="132"/>
        <v>#DIV/0!</v>
      </c>
      <c r="X300" s="403">
        <v>40</v>
      </c>
      <c r="Y300" s="404">
        <v>150</v>
      </c>
      <c r="Z300" s="400">
        <v>150</v>
      </c>
      <c r="AA300" s="547">
        <v>97.622159999999994</v>
      </c>
      <c r="AB300" s="401">
        <v>79.496719999999996</v>
      </c>
      <c r="AC300" s="401">
        <v>59.5</v>
      </c>
      <c r="AD300" s="401">
        <f>1.43752+1.43752</f>
        <v>2.8750399999999998</v>
      </c>
      <c r="AE300" s="401">
        <v>3.9784700000000002</v>
      </c>
      <c r="AF300" s="401">
        <v>0</v>
      </c>
      <c r="AG300" s="401">
        <v>0</v>
      </c>
      <c r="AH300" s="401">
        <v>5.4277199999999999</v>
      </c>
      <c r="AI300" s="401">
        <v>595</v>
      </c>
      <c r="AJ300" s="401">
        <v>107.16</v>
      </c>
      <c r="AK300" s="385" t="s">
        <v>167</v>
      </c>
      <c r="AL300" s="439" t="s">
        <v>175</v>
      </c>
      <c r="AM300" s="389"/>
      <c r="AN300" s="521">
        <v>141</v>
      </c>
      <c r="AO300" s="374">
        <f t="shared" si="133"/>
        <v>2440.5539999999996</v>
      </c>
      <c r="AP300" s="402">
        <f t="shared" si="134"/>
        <v>0.6508143999999999</v>
      </c>
      <c r="AQ300" s="595"/>
      <c r="AR300" s="587"/>
      <c r="AS300" s="400"/>
      <c r="AT300" s="547"/>
      <c r="AU300" s="401"/>
      <c r="AV300" s="401"/>
      <c r="AW300" s="401"/>
      <c r="AX300" s="401"/>
      <c r="AY300" s="401"/>
      <c r="AZ300" s="401"/>
      <c r="BA300" s="401"/>
      <c r="BB300" s="401"/>
      <c r="BC300" s="401"/>
      <c r="BD300" s="385"/>
      <c r="BE300" s="439"/>
      <c r="BF300" s="389"/>
      <c r="BG300" s="521"/>
      <c r="BH300" s="374" t="e">
        <f t="shared" si="135"/>
        <v>#DIV/0!</v>
      </c>
      <c r="BI300" s="402" t="e">
        <f t="shared" si="136"/>
        <v>#DIV/0!</v>
      </c>
    </row>
    <row r="301" spans="1:61" s="359" customFormat="1" ht="19.2" x14ac:dyDescent="0.3">
      <c r="A301" s="360" t="s">
        <v>183</v>
      </c>
      <c r="B301" s="543" t="s">
        <v>557</v>
      </c>
      <c r="C301" s="433" t="s">
        <v>467</v>
      </c>
      <c r="D301" s="361">
        <v>0.4</v>
      </c>
      <c r="E301" s="403"/>
      <c r="F301" s="404"/>
      <c r="G301" s="400"/>
      <c r="H301" s="413"/>
      <c r="I301" s="401"/>
      <c r="J301" s="401"/>
      <c r="K301" s="401"/>
      <c r="L301" s="401"/>
      <c r="M301" s="401"/>
      <c r="N301" s="401"/>
      <c r="O301" s="401"/>
      <c r="P301" s="401"/>
      <c r="Q301" s="401"/>
      <c r="R301" s="389"/>
      <c r="S301" s="389"/>
      <c r="T301" s="389"/>
      <c r="U301" s="521"/>
      <c r="V301" s="374" t="e">
        <f t="shared" si="131"/>
        <v>#DIV/0!</v>
      </c>
      <c r="W301" s="402" t="e">
        <f t="shared" si="132"/>
        <v>#DIV/0!</v>
      </c>
      <c r="X301" s="403">
        <v>100</v>
      </c>
      <c r="Y301" s="404">
        <v>200</v>
      </c>
      <c r="Z301" s="400">
        <v>200</v>
      </c>
      <c r="AA301" s="547">
        <v>210.33528000000001</v>
      </c>
      <c r="AB301" s="401">
        <v>164.26467</v>
      </c>
      <c r="AC301" s="401">
        <v>134.99600000000001</v>
      </c>
      <c r="AD301" s="401">
        <v>7.8997799999999998</v>
      </c>
      <c r="AE301" s="401">
        <v>11.429550000000001</v>
      </c>
      <c r="AF301" s="401">
        <v>0</v>
      </c>
      <c r="AG301" s="401">
        <v>0</v>
      </c>
      <c r="AH301" s="401">
        <v>12.111660000000001</v>
      </c>
      <c r="AI301" s="401">
        <v>674.98</v>
      </c>
      <c r="AJ301" s="401">
        <v>107.16</v>
      </c>
      <c r="AK301" s="385" t="s">
        <v>167</v>
      </c>
      <c r="AL301" s="439" t="s">
        <v>175</v>
      </c>
      <c r="AM301" s="389"/>
      <c r="AN301" s="521">
        <v>327</v>
      </c>
      <c r="AO301" s="374">
        <f t="shared" si="133"/>
        <v>2103.3528000000001</v>
      </c>
      <c r="AP301" s="402">
        <f t="shared" si="134"/>
        <v>1.0516764000000001</v>
      </c>
      <c r="AQ301" s="595"/>
      <c r="AR301" s="587"/>
      <c r="AS301" s="400"/>
      <c r="AT301" s="547"/>
      <c r="AU301" s="401"/>
      <c r="AV301" s="401"/>
      <c r="AW301" s="401"/>
      <c r="AX301" s="401"/>
      <c r="AY301" s="401"/>
      <c r="AZ301" s="401"/>
      <c r="BA301" s="401"/>
      <c r="BB301" s="401"/>
      <c r="BC301" s="401"/>
      <c r="BD301" s="385"/>
      <c r="BE301" s="439"/>
      <c r="BF301" s="389"/>
      <c r="BG301" s="521"/>
      <c r="BH301" s="374" t="e">
        <f t="shared" si="135"/>
        <v>#DIV/0!</v>
      </c>
      <c r="BI301" s="402" t="e">
        <f t="shared" si="136"/>
        <v>#DIV/0!</v>
      </c>
    </row>
    <row r="302" spans="1:61" s="359" customFormat="1" ht="19.2" x14ac:dyDescent="0.3">
      <c r="A302" s="360" t="s">
        <v>179</v>
      </c>
      <c r="B302" s="579" t="s">
        <v>794</v>
      </c>
      <c r="C302" s="433" t="s">
        <v>634</v>
      </c>
      <c r="D302" s="361">
        <v>0.4</v>
      </c>
      <c r="E302" s="403"/>
      <c r="F302" s="404"/>
      <c r="G302" s="400"/>
      <c r="H302" s="413"/>
      <c r="I302" s="401"/>
      <c r="J302" s="401"/>
      <c r="K302" s="401"/>
      <c r="L302" s="401"/>
      <c r="M302" s="401"/>
      <c r="N302" s="401"/>
      <c r="O302" s="401"/>
      <c r="P302" s="401"/>
      <c r="Q302" s="401"/>
      <c r="R302" s="389"/>
      <c r="S302" s="389"/>
      <c r="T302" s="389"/>
      <c r="U302" s="521"/>
      <c r="V302" s="374"/>
      <c r="W302" s="402"/>
      <c r="X302" s="403"/>
      <c r="Y302" s="404"/>
      <c r="Z302" s="400"/>
      <c r="AA302" s="413"/>
      <c r="AB302" s="401"/>
      <c r="AC302" s="401"/>
      <c r="AD302" s="401"/>
      <c r="AE302" s="401"/>
      <c r="AF302" s="401"/>
      <c r="AG302" s="401"/>
      <c r="AH302" s="401"/>
      <c r="AI302" s="401"/>
      <c r="AJ302" s="401"/>
      <c r="AK302" s="385"/>
      <c r="AL302" s="439"/>
      <c r="AM302" s="389"/>
      <c r="AN302" s="521"/>
      <c r="AO302" s="374"/>
      <c r="AP302" s="402"/>
      <c r="AQ302" s="595">
        <v>450</v>
      </c>
      <c r="AR302" s="587">
        <v>230</v>
      </c>
      <c r="AS302" s="400">
        <v>230</v>
      </c>
      <c r="AT302" s="580">
        <v>452.92045999999999</v>
      </c>
      <c r="AU302" s="401">
        <v>371.20263999999997</v>
      </c>
      <c r="AV302" s="401">
        <v>319.428</v>
      </c>
      <c r="AW302" s="401">
        <f>5.81028+5.81028</f>
        <v>11.620559999999999</v>
      </c>
      <c r="AX302" s="401">
        <v>17.164580000000001</v>
      </c>
      <c r="AY302" s="401">
        <v>0</v>
      </c>
      <c r="AZ302" s="401">
        <v>0</v>
      </c>
      <c r="BA302" s="401">
        <v>24.481560000000002</v>
      </c>
      <c r="BB302" s="401">
        <v>709.84</v>
      </c>
      <c r="BC302" s="401">
        <v>1.4525699999999999</v>
      </c>
      <c r="BD302" s="385" t="s">
        <v>167</v>
      </c>
      <c r="BE302" s="439" t="s">
        <v>175</v>
      </c>
      <c r="BF302" s="389"/>
      <c r="BG302" s="521">
        <v>450</v>
      </c>
      <c r="BH302" s="374">
        <f t="shared" si="135"/>
        <v>1006.4899111111112</v>
      </c>
      <c r="BI302" s="402">
        <f t="shared" si="136"/>
        <v>1.9692193913043479</v>
      </c>
    </row>
    <row r="303" spans="1:61" s="359" customFormat="1" ht="19.2" x14ac:dyDescent="0.3">
      <c r="A303" s="360" t="s">
        <v>183</v>
      </c>
      <c r="B303" s="579" t="s">
        <v>795</v>
      </c>
      <c r="C303" s="433" t="s">
        <v>686</v>
      </c>
      <c r="D303" s="361">
        <v>0.4</v>
      </c>
      <c r="E303" s="403"/>
      <c r="F303" s="404"/>
      <c r="G303" s="400"/>
      <c r="H303" s="413"/>
      <c r="I303" s="401"/>
      <c r="J303" s="401"/>
      <c r="K303" s="401"/>
      <c r="L303" s="401"/>
      <c r="M303" s="401"/>
      <c r="N303" s="401"/>
      <c r="O303" s="401"/>
      <c r="P303" s="401"/>
      <c r="Q303" s="401"/>
      <c r="R303" s="389"/>
      <c r="S303" s="389"/>
      <c r="T303" s="389"/>
      <c r="U303" s="521"/>
      <c r="V303" s="374"/>
      <c r="W303" s="402"/>
      <c r="X303" s="403"/>
      <c r="Y303" s="404"/>
      <c r="Z303" s="400"/>
      <c r="AA303" s="413"/>
      <c r="AB303" s="401"/>
      <c r="AC303" s="401"/>
      <c r="AD303" s="401"/>
      <c r="AE303" s="401"/>
      <c r="AF303" s="401"/>
      <c r="AG303" s="401"/>
      <c r="AH303" s="401"/>
      <c r="AI303" s="401"/>
      <c r="AJ303" s="401"/>
      <c r="AK303" s="385"/>
      <c r="AL303" s="439"/>
      <c r="AM303" s="389"/>
      <c r="AN303" s="521"/>
      <c r="AO303" s="374"/>
      <c r="AP303" s="402"/>
      <c r="AQ303" s="595">
        <v>1138</v>
      </c>
      <c r="AR303" s="587">
        <v>420</v>
      </c>
      <c r="AS303" s="400">
        <v>420</v>
      </c>
      <c r="AT303" s="580">
        <v>1234.6924799999999</v>
      </c>
      <c r="AU303" s="401">
        <v>976.48554000000001</v>
      </c>
      <c r="AV303" s="401">
        <v>807.79791999999998</v>
      </c>
      <c r="AW303" s="401">
        <f>25.17856+14.58</f>
        <v>39.758560000000003</v>
      </c>
      <c r="AX303" s="401">
        <v>61.076569999999997</v>
      </c>
      <c r="AY303" s="401">
        <v>28</v>
      </c>
      <c r="AZ303" s="401">
        <v>0</v>
      </c>
      <c r="BA303" s="401">
        <v>41.040939999999999</v>
      </c>
      <c r="BB303" s="401">
        <v>709.84</v>
      </c>
      <c r="BC303" s="401">
        <v>1.5736600000000001</v>
      </c>
      <c r="BD303" s="385" t="s">
        <v>167</v>
      </c>
      <c r="BE303" s="439" t="s">
        <v>175</v>
      </c>
      <c r="BF303" s="389"/>
      <c r="BG303" s="521">
        <v>464</v>
      </c>
      <c r="BH303" s="374">
        <f t="shared" si="135"/>
        <v>1084.9670298769772</v>
      </c>
      <c r="BI303" s="402">
        <f t="shared" si="136"/>
        <v>2.9397439999999997</v>
      </c>
    </row>
    <row r="304" spans="1:61" s="359" customFormat="1" x14ac:dyDescent="0.3">
      <c r="A304" s="360"/>
      <c r="B304" s="382"/>
      <c r="C304" s="433"/>
      <c r="D304" s="361">
        <v>0.4</v>
      </c>
      <c r="E304" s="403"/>
      <c r="F304" s="404"/>
      <c r="G304" s="400"/>
      <c r="H304" s="413"/>
      <c r="I304" s="401"/>
      <c r="J304" s="401"/>
      <c r="K304" s="401"/>
      <c r="L304" s="401"/>
      <c r="M304" s="401"/>
      <c r="N304" s="401"/>
      <c r="O304" s="401"/>
      <c r="P304" s="401"/>
      <c r="Q304" s="401"/>
      <c r="R304" s="389"/>
      <c r="S304" s="389"/>
      <c r="T304" s="389"/>
      <c r="U304" s="521"/>
      <c r="V304" s="374"/>
      <c r="W304" s="402"/>
      <c r="X304" s="403"/>
      <c r="Y304" s="404"/>
      <c r="Z304" s="400"/>
      <c r="AA304" s="413"/>
      <c r="AB304" s="401"/>
      <c r="AC304" s="401"/>
      <c r="AD304" s="401"/>
      <c r="AE304" s="401"/>
      <c r="AF304" s="401"/>
      <c r="AG304" s="401"/>
      <c r="AH304" s="401"/>
      <c r="AI304" s="401"/>
      <c r="AJ304" s="401"/>
      <c r="AK304" s="385"/>
      <c r="AL304" s="439"/>
      <c r="AM304" s="389"/>
      <c r="AN304" s="521"/>
      <c r="AO304" s="374"/>
      <c r="AP304" s="402"/>
      <c r="AQ304" s="595"/>
      <c r="AR304" s="587"/>
      <c r="AS304" s="400"/>
      <c r="AT304" s="413"/>
      <c r="AU304" s="401"/>
      <c r="AV304" s="401"/>
      <c r="AW304" s="401"/>
      <c r="AX304" s="401"/>
      <c r="AY304" s="401"/>
      <c r="AZ304" s="401"/>
      <c r="BA304" s="401"/>
      <c r="BB304" s="401"/>
      <c r="BC304" s="401"/>
      <c r="BD304" s="385"/>
      <c r="BE304" s="439"/>
      <c r="BF304" s="389"/>
      <c r="BG304" s="521"/>
      <c r="BH304" s="374" t="e">
        <f t="shared" si="135"/>
        <v>#DIV/0!</v>
      </c>
      <c r="BI304" s="402" t="e">
        <f t="shared" si="136"/>
        <v>#DIV/0!</v>
      </c>
    </row>
    <row r="305" spans="1:61" s="359" customFormat="1" x14ac:dyDescent="0.3">
      <c r="A305" s="360"/>
      <c r="B305" s="382"/>
      <c r="C305" s="433"/>
      <c r="D305" s="361"/>
      <c r="E305" s="403"/>
      <c r="F305" s="404"/>
      <c r="G305" s="400"/>
      <c r="H305" s="413"/>
      <c r="I305" s="401"/>
      <c r="J305" s="401"/>
      <c r="K305" s="401"/>
      <c r="L305" s="401"/>
      <c r="M305" s="401"/>
      <c r="N305" s="401"/>
      <c r="O305" s="401"/>
      <c r="P305" s="401"/>
      <c r="Q305" s="401"/>
      <c r="R305" s="389"/>
      <c r="S305" s="389"/>
      <c r="T305" s="389"/>
      <c r="U305" s="521"/>
      <c r="V305" s="374" t="e">
        <f t="shared" ref="V305:V311" si="143">H305/E305*1000</f>
        <v>#DIV/0!</v>
      </c>
      <c r="W305" s="402" t="e">
        <f t="shared" ref="W305:W311" si="144">H305/F305</f>
        <v>#DIV/0!</v>
      </c>
      <c r="X305" s="403"/>
      <c r="Y305" s="404"/>
      <c r="Z305" s="400"/>
      <c r="AA305" s="413"/>
      <c r="AB305" s="401"/>
      <c r="AC305" s="401"/>
      <c r="AD305" s="401"/>
      <c r="AE305" s="401"/>
      <c r="AF305" s="401"/>
      <c r="AG305" s="401"/>
      <c r="AH305" s="401"/>
      <c r="AI305" s="401"/>
      <c r="AJ305" s="401"/>
      <c r="AK305" s="389"/>
      <c r="AL305" s="389"/>
      <c r="AM305" s="389"/>
      <c r="AN305" s="521"/>
      <c r="AO305" s="374" t="e">
        <f t="shared" ref="AO305:AO311" si="145">AA305/X305*1000</f>
        <v>#DIV/0!</v>
      </c>
      <c r="AP305" s="402" t="e">
        <f t="shared" ref="AP305:AP311" si="146">AA305/Y305</f>
        <v>#DIV/0!</v>
      </c>
      <c r="AQ305" s="595"/>
      <c r="AR305" s="587"/>
      <c r="AS305" s="400"/>
      <c r="AT305" s="413"/>
      <c r="AU305" s="401"/>
      <c r="AV305" s="401"/>
      <c r="AW305" s="401"/>
      <c r="AX305" s="401"/>
      <c r="AY305" s="401"/>
      <c r="AZ305" s="401"/>
      <c r="BA305" s="401"/>
      <c r="BB305" s="401"/>
      <c r="BC305" s="401"/>
      <c r="BD305" s="389"/>
      <c r="BE305" s="389"/>
      <c r="BF305" s="389"/>
      <c r="BG305" s="521"/>
      <c r="BH305" s="374" t="e">
        <f t="shared" si="135"/>
        <v>#DIV/0!</v>
      </c>
      <c r="BI305" s="402" t="e">
        <f t="shared" si="136"/>
        <v>#DIV/0!</v>
      </c>
    </row>
    <row r="306" spans="1:61" s="359" customFormat="1" ht="24.75" customHeight="1" x14ac:dyDescent="0.3">
      <c r="A306" s="355" t="s">
        <v>183</v>
      </c>
      <c r="B306" s="356" t="s">
        <v>203</v>
      </c>
      <c r="C306" s="432"/>
      <c r="D306" s="357">
        <v>0.4</v>
      </c>
      <c r="E306" s="396">
        <f t="shared" ref="E306:Q306" si="147">SUM(E307:E319)</f>
        <v>1644</v>
      </c>
      <c r="F306" s="396">
        <f t="shared" si="147"/>
        <v>2473</v>
      </c>
      <c r="G306" s="396">
        <f t="shared" si="147"/>
        <v>2473</v>
      </c>
      <c r="H306" s="397">
        <f t="shared" si="147"/>
        <v>3813.0590900000007</v>
      </c>
      <c r="I306" s="397">
        <f t="shared" si="147"/>
        <v>3114.2760800000001</v>
      </c>
      <c r="J306" s="397">
        <f t="shared" si="147"/>
        <v>2726.4036400000005</v>
      </c>
      <c r="K306" s="397">
        <f t="shared" si="147"/>
        <v>380.56100000000004</v>
      </c>
      <c r="L306" s="397">
        <f t="shared" si="147"/>
        <v>148.11408</v>
      </c>
      <c r="M306" s="397">
        <f t="shared" si="147"/>
        <v>0</v>
      </c>
      <c r="N306" s="397">
        <f t="shared" si="147"/>
        <v>0</v>
      </c>
      <c r="O306" s="397">
        <f t="shared" si="147"/>
        <v>196.75088</v>
      </c>
      <c r="P306" s="397">
        <f t="shared" si="147"/>
        <v>4754.17</v>
      </c>
      <c r="Q306" s="397">
        <f t="shared" si="147"/>
        <v>857.28</v>
      </c>
      <c r="R306" s="398"/>
      <c r="S306" s="398"/>
      <c r="T306" s="398"/>
      <c r="U306" s="520"/>
      <c r="V306" s="373">
        <f t="shared" si="143"/>
        <v>2319.3790085158157</v>
      </c>
      <c r="W306" s="399">
        <f t="shared" si="144"/>
        <v>1.5418758956732717</v>
      </c>
      <c r="X306" s="396">
        <f t="shared" ref="X306:AJ306" si="148">SUM(X307:X319)</f>
        <v>1111</v>
      </c>
      <c r="Y306" s="396">
        <f t="shared" si="148"/>
        <v>2792.5</v>
      </c>
      <c r="Z306" s="396">
        <f t="shared" si="148"/>
        <v>2792.5</v>
      </c>
      <c r="AA306" s="397">
        <f t="shared" si="148"/>
        <v>4092.6319200000003</v>
      </c>
      <c r="AB306" s="397">
        <f t="shared" si="148"/>
        <v>3113.1238999999996</v>
      </c>
      <c r="AC306" s="397">
        <f t="shared" si="148"/>
        <v>2479.2695000000003</v>
      </c>
      <c r="AD306" s="397">
        <f t="shared" si="148"/>
        <v>152.46584000000001</v>
      </c>
      <c r="AE306" s="397">
        <f t="shared" si="148"/>
        <v>214.51158000000001</v>
      </c>
      <c r="AF306" s="397">
        <f t="shared" si="148"/>
        <v>0</v>
      </c>
      <c r="AG306" s="397">
        <f t="shared" si="148"/>
        <v>0</v>
      </c>
      <c r="AH306" s="397">
        <f t="shared" si="148"/>
        <v>258.66539</v>
      </c>
      <c r="AI306" s="397">
        <f t="shared" si="148"/>
        <v>5905.17</v>
      </c>
      <c r="AJ306" s="397">
        <f t="shared" si="148"/>
        <v>51.514770000000006</v>
      </c>
      <c r="AK306" s="398"/>
      <c r="AL306" s="398"/>
      <c r="AM306" s="398"/>
      <c r="AN306" s="520"/>
      <c r="AO306" s="373">
        <f t="shared" si="145"/>
        <v>3683.7371017101714</v>
      </c>
      <c r="AP306" s="399">
        <f t="shared" si="146"/>
        <v>1.4655799176365265</v>
      </c>
      <c r="AQ306" s="396">
        <f t="shared" ref="AQ306:BC306" si="149">SUM(AQ307:AQ315)</f>
        <v>480</v>
      </c>
      <c r="AR306" s="396">
        <f t="shared" si="149"/>
        <v>200.5</v>
      </c>
      <c r="AS306" s="396">
        <f t="shared" si="149"/>
        <v>200.5</v>
      </c>
      <c r="AT306" s="397">
        <f t="shared" si="149"/>
        <v>549.50303000000008</v>
      </c>
      <c r="AU306" s="397">
        <f t="shared" si="149"/>
        <v>417.81235000000004</v>
      </c>
      <c r="AV306" s="397">
        <f t="shared" si="149"/>
        <v>341.11860000000001</v>
      </c>
      <c r="AW306" s="397">
        <f t="shared" si="149"/>
        <v>17.80348</v>
      </c>
      <c r="AX306" s="397">
        <f t="shared" si="149"/>
        <v>22.305909999999997</v>
      </c>
      <c r="AY306" s="397">
        <f t="shared" si="149"/>
        <v>0</v>
      </c>
      <c r="AZ306" s="397">
        <f t="shared" si="149"/>
        <v>0</v>
      </c>
      <c r="BA306" s="397">
        <f t="shared" si="149"/>
        <v>41.39828</v>
      </c>
      <c r="BB306" s="397">
        <f t="shared" si="149"/>
        <v>1431.53</v>
      </c>
      <c r="BC306" s="397">
        <f t="shared" si="149"/>
        <v>4.5440300000000002</v>
      </c>
      <c r="BD306" s="398"/>
      <c r="BE306" s="398"/>
      <c r="BF306" s="398"/>
      <c r="BG306" s="520"/>
      <c r="BH306" s="373">
        <f t="shared" si="135"/>
        <v>1144.7979791666669</v>
      </c>
      <c r="BI306" s="399">
        <f t="shared" si="136"/>
        <v>2.7406634912718211</v>
      </c>
    </row>
    <row r="307" spans="1:61" s="359" customFormat="1" ht="19.2" x14ac:dyDescent="0.3">
      <c r="A307" s="360" t="s">
        <v>179</v>
      </c>
      <c r="B307" s="513" t="s">
        <v>280</v>
      </c>
      <c r="C307" s="433" t="s">
        <v>279</v>
      </c>
      <c r="D307" s="361">
        <v>0.4</v>
      </c>
      <c r="E307" s="405">
        <v>191</v>
      </c>
      <c r="F307" s="405">
        <v>250</v>
      </c>
      <c r="G307" s="405">
        <v>250</v>
      </c>
      <c r="H307" s="421">
        <v>571.06209000000001</v>
      </c>
      <c r="I307" s="401">
        <v>441.16108000000003</v>
      </c>
      <c r="J307" s="401">
        <f>369.17244+17.39656+3.86568</f>
        <v>390.43468000000001</v>
      </c>
      <c r="K307" s="401">
        <v>50.725999999999999</v>
      </c>
      <c r="L307" s="401">
        <v>49.376080000000002</v>
      </c>
      <c r="M307" s="401">
        <v>0</v>
      </c>
      <c r="N307" s="401">
        <v>0</v>
      </c>
      <c r="O307" s="401">
        <v>32.232880000000002</v>
      </c>
      <c r="P307" s="401">
        <v>483.21</v>
      </c>
      <c r="Q307" s="401">
        <v>107.16</v>
      </c>
      <c r="R307" s="385" t="s">
        <v>167</v>
      </c>
      <c r="S307" s="439" t="s">
        <v>175</v>
      </c>
      <c r="T307" s="389"/>
      <c r="U307" s="521">
        <v>62</v>
      </c>
      <c r="V307" s="374">
        <f t="shared" si="143"/>
        <v>2989.8538743455497</v>
      </c>
      <c r="W307" s="402">
        <f t="shared" si="144"/>
        <v>2.2842483599999999</v>
      </c>
      <c r="X307" s="405"/>
      <c r="Y307" s="405"/>
      <c r="Z307" s="405"/>
      <c r="AA307" s="421"/>
      <c r="AB307" s="401"/>
      <c r="AC307" s="401"/>
      <c r="AD307" s="401"/>
      <c r="AE307" s="401"/>
      <c r="AF307" s="401"/>
      <c r="AG307" s="401"/>
      <c r="AH307" s="401"/>
      <c r="AI307" s="401"/>
      <c r="AJ307" s="401"/>
      <c r="AK307" s="385"/>
      <c r="AL307" s="439"/>
      <c r="AM307" s="389"/>
      <c r="AN307" s="521"/>
      <c r="AO307" s="374" t="e">
        <f t="shared" si="145"/>
        <v>#DIV/0!</v>
      </c>
      <c r="AP307" s="402" t="e">
        <f t="shared" si="146"/>
        <v>#DIV/0!</v>
      </c>
      <c r="AQ307" s="588"/>
      <c r="AR307" s="588"/>
      <c r="AS307" s="588"/>
      <c r="AT307" s="421"/>
      <c r="AU307" s="401"/>
      <c r="AV307" s="401"/>
      <c r="AW307" s="401"/>
      <c r="AX307" s="401"/>
      <c r="AY307" s="401"/>
      <c r="AZ307" s="401"/>
      <c r="BA307" s="401"/>
      <c r="BB307" s="401"/>
      <c r="BC307" s="401"/>
      <c r="BD307" s="385"/>
      <c r="BE307" s="439"/>
      <c r="BF307" s="389"/>
      <c r="BG307" s="521"/>
      <c r="BH307" s="374" t="e">
        <f t="shared" si="135"/>
        <v>#DIV/0!</v>
      </c>
      <c r="BI307" s="402" t="e">
        <f t="shared" si="136"/>
        <v>#DIV/0!</v>
      </c>
    </row>
    <row r="308" spans="1:61" s="359" customFormat="1" ht="19.2" x14ac:dyDescent="0.3">
      <c r="A308" s="360" t="s">
        <v>183</v>
      </c>
      <c r="B308" s="513" t="s">
        <v>388</v>
      </c>
      <c r="C308" s="433" t="s">
        <v>389</v>
      </c>
      <c r="D308" s="361">
        <v>0.4</v>
      </c>
      <c r="E308" s="405">
        <v>311</v>
      </c>
      <c r="F308" s="405">
        <v>385</v>
      </c>
      <c r="G308" s="405">
        <v>385</v>
      </c>
      <c r="H308" s="421">
        <v>220.78299999999999</v>
      </c>
      <c r="I308" s="401">
        <v>189.00700000000001</v>
      </c>
      <c r="J308" s="401">
        <v>193.09368000000001</v>
      </c>
      <c r="K308" s="401">
        <v>16.925000000000001</v>
      </c>
      <c r="L308" s="401">
        <v>4.9939999999999998</v>
      </c>
      <c r="M308" s="401">
        <v>0</v>
      </c>
      <c r="N308" s="401">
        <v>0</v>
      </c>
      <c r="O308" s="401">
        <v>9.3040000000000003</v>
      </c>
      <c r="P308" s="401">
        <v>620.88</v>
      </c>
      <c r="Q308" s="401">
        <v>107.16</v>
      </c>
      <c r="R308" s="385" t="s">
        <v>167</v>
      </c>
      <c r="S308" s="439" t="s">
        <v>175</v>
      </c>
      <c r="T308" s="389"/>
      <c r="U308" s="521">
        <v>320</v>
      </c>
      <c r="V308" s="374">
        <f t="shared" si="143"/>
        <v>709.91318327974273</v>
      </c>
      <c r="W308" s="402">
        <f t="shared" si="144"/>
        <v>0.57346233766233767</v>
      </c>
      <c r="X308" s="405"/>
      <c r="Y308" s="405"/>
      <c r="Z308" s="405"/>
      <c r="AA308" s="421"/>
      <c r="AB308" s="401"/>
      <c r="AC308" s="401"/>
      <c r="AD308" s="401"/>
      <c r="AE308" s="401"/>
      <c r="AF308" s="401"/>
      <c r="AG308" s="401"/>
      <c r="AH308" s="401"/>
      <c r="AI308" s="401"/>
      <c r="AJ308" s="401"/>
      <c r="AK308" s="385"/>
      <c r="AL308" s="439"/>
      <c r="AM308" s="389"/>
      <c r="AN308" s="521"/>
      <c r="AO308" s="374" t="e">
        <f t="shared" si="145"/>
        <v>#DIV/0!</v>
      </c>
      <c r="AP308" s="402" t="e">
        <f t="shared" si="146"/>
        <v>#DIV/0!</v>
      </c>
      <c r="AQ308" s="588"/>
      <c r="AR308" s="588"/>
      <c r="AS308" s="588"/>
      <c r="AT308" s="421"/>
      <c r="AU308" s="401"/>
      <c r="AV308" s="401"/>
      <c r="AW308" s="401"/>
      <c r="AX308" s="401"/>
      <c r="AY308" s="401"/>
      <c r="AZ308" s="401"/>
      <c r="BA308" s="401"/>
      <c r="BB308" s="401"/>
      <c r="BC308" s="401"/>
      <c r="BD308" s="385"/>
      <c r="BE308" s="439"/>
      <c r="BF308" s="389"/>
      <c r="BG308" s="521"/>
      <c r="BH308" s="374" t="e">
        <f t="shared" si="135"/>
        <v>#DIV/0!</v>
      </c>
      <c r="BI308" s="402" t="e">
        <f t="shared" si="136"/>
        <v>#DIV/0!</v>
      </c>
    </row>
    <row r="309" spans="1:61" s="359" customFormat="1" ht="19.2" x14ac:dyDescent="0.3">
      <c r="A309" s="360" t="s">
        <v>179</v>
      </c>
      <c r="B309" s="543" t="s">
        <v>251</v>
      </c>
      <c r="C309" s="433" t="s">
        <v>414</v>
      </c>
      <c r="D309" s="361">
        <v>0.4</v>
      </c>
      <c r="E309" s="403"/>
      <c r="F309" s="404"/>
      <c r="G309" s="400"/>
      <c r="H309" s="401"/>
      <c r="I309" s="401"/>
      <c r="J309" s="401"/>
      <c r="K309" s="401"/>
      <c r="L309" s="401"/>
      <c r="M309" s="401"/>
      <c r="N309" s="401"/>
      <c r="O309" s="401"/>
      <c r="P309" s="401"/>
      <c r="Q309" s="401"/>
      <c r="R309" s="389"/>
      <c r="S309" s="389"/>
      <c r="T309" s="389"/>
      <c r="U309" s="521"/>
      <c r="V309" s="374" t="e">
        <f t="shared" si="143"/>
        <v>#DIV/0!</v>
      </c>
      <c r="W309" s="402" t="e">
        <f t="shared" si="144"/>
        <v>#DIV/0!</v>
      </c>
      <c r="X309" s="403">
        <v>150</v>
      </c>
      <c r="Y309" s="404">
        <v>275</v>
      </c>
      <c r="Z309" s="400">
        <v>275</v>
      </c>
      <c r="AA309" s="545">
        <v>573.58227999999997</v>
      </c>
      <c r="AB309" s="401">
        <v>428.84177</v>
      </c>
      <c r="AC309" s="401">
        <v>372.52800000000002</v>
      </c>
      <c r="AD309" s="401">
        <f>6.44248+6.44248+3.00696</f>
        <v>15.891919999999999</v>
      </c>
      <c r="AE309" s="401">
        <v>25.73611</v>
      </c>
      <c r="AF309" s="401">
        <v>0</v>
      </c>
      <c r="AG309" s="401">
        <v>0</v>
      </c>
      <c r="AH309" s="401">
        <v>35.040280000000003</v>
      </c>
      <c r="AI309" s="401">
        <v>620.88</v>
      </c>
      <c r="AJ309" s="401">
        <v>1.6106199999999999</v>
      </c>
      <c r="AK309" s="385" t="s">
        <v>167</v>
      </c>
      <c r="AL309" s="439" t="s">
        <v>175</v>
      </c>
      <c r="AM309" s="389"/>
      <c r="AN309" s="521">
        <v>72</v>
      </c>
      <c r="AO309" s="374">
        <f t="shared" si="145"/>
        <v>3823.8818666666666</v>
      </c>
      <c r="AP309" s="402">
        <f t="shared" si="146"/>
        <v>2.0857537454545452</v>
      </c>
      <c r="AQ309" s="595"/>
      <c r="AR309" s="587"/>
      <c r="AS309" s="400"/>
      <c r="AT309" s="545"/>
      <c r="AU309" s="401"/>
      <c r="AV309" s="401"/>
      <c r="AW309" s="401"/>
      <c r="AX309" s="401"/>
      <c r="AY309" s="401"/>
      <c r="AZ309" s="401"/>
      <c r="BA309" s="401"/>
      <c r="BB309" s="401"/>
      <c r="BC309" s="401"/>
      <c r="BD309" s="385"/>
      <c r="BE309" s="439"/>
      <c r="BF309" s="389"/>
      <c r="BG309" s="521"/>
      <c r="BH309" s="374" t="e">
        <f t="shared" si="135"/>
        <v>#DIV/0!</v>
      </c>
      <c r="BI309" s="402" t="e">
        <f t="shared" si="136"/>
        <v>#DIV/0!</v>
      </c>
    </row>
    <row r="310" spans="1:61" s="359" customFormat="1" ht="19.2" x14ac:dyDescent="0.3">
      <c r="A310" s="360" t="s">
        <v>183</v>
      </c>
      <c r="B310" s="543" t="s">
        <v>563</v>
      </c>
      <c r="C310" s="433" t="s">
        <v>488</v>
      </c>
      <c r="D310" s="361">
        <v>0.4</v>
      </c>
      <c r="E310" s="403"/>
      <c r="F310" s="404"/>
      <c r="G310" s="400"/>
      <c r="H310" s="401"/>
      <c r="I310" s="401"/>
      <c r="J310" s="401"/>
      <c r="K310" s="401"/>
      <c r="L310" s="401"/>
      <c r="M310" s="401"/>
      <c r="N310" s="401"/>
      <c r="O310" s="401"/>
      <c r="P310" s="401"/>
      <c r="Q310" s="401"/>
      <c r="R310" s="389"/>
      <c r="S310" s="389"/>
      <c r="T310" s="389"/>
      <c r="U310" s="521"/>
      <c r="V310" s="374" t="e">
        <f t="shared" si="143"/>
        <v>#DIV/0!</v>
      </c>
      <c r="W310" s="402" t="e">
        <f t="shared" si="144"/>
        <v>#DIV/0!</v>
      </c>
      <c r="X310" s="403">
        <v>190</v>
      </c>
      <c r="Y310" s="404">
        <v>300</v>
      </c>
      <c r="Z310" s="400">
        <v>300</v>
      </c>
      <c r="AA310" s="545">
        <v>889.14363000000003</v>
      </c>
      <c r="AB310" s="401">
        <v>729.22519999999997</v>
      </c>
      <c r="AC310" s="401">
        <v>582.73500000000001</v>
      </c>
      <c r="AD310" s="401">
        <f>6.44246+6.44246+12.08372</f>
        <v>24.968640000000001</v>
      </c>
      <c r="AE310" s="401">
        <v>25.341460000000001</v>
      </c>
      <c r="AF310" s="401">
        <v>0</v>
      </c>
      <c r="AG310" s="401">
        <v>0</v>
      </c>
      <c r="AH310" s="401">
        <v>51.452860000000001</v>
      </c>
      <c r="AI310" s="401">
        <v>776.98</v>
      </c>
      <c r="AJ310" s="401">
        <v>1.6106199999999999</v>
      </c>
      <c r="AK310" s="385" t="s">
        <v>167</v>
      </c>
      <c r="AL310" s="439" t="s">
        <v>175</v>
      </c>
      <c r="AM310" s="389"/>
      <c r="AN310" s="521">
        <v>472</v>
      </c>
      <c r="AO310" s="374">
        <f t="shared" si="145"/>
        <v>4679.7033157894739</v>
      </c>
      <c r="AP310" s="402">
        <f t="shared" si="146"/>
        <v>2.9638121000000002</v>
      </c>
      <c r="AQ310" s="595"/>
      <c r="AR310" s="587"/>
      <c r="AS310" s="400"/>
      <c r="AT310" s="545"/>
      <c r="AU310" s="401"/>
      <c r="AV310" s="401"/>
      <c r="AW310" s="401"/>
      <c r="AX310" s="401"/>
      <c r="AY310" s="401"/>
      <c r="AZ310" s="401"/>
      <c r="BA310" s="401"/>
      <c r="BB310" s="401"/>
      <c r="BC310" s="401"/>
      <c r="BD310" s="385"/>
      <c r="BE310" s="439"/>
      <c r="BF310" s="389"/>
      <c r="BG310" s="521"/>
      <c r="BH310" s="374" t="e">
        <f t="shared" si="135"/>
        <v>#DIV/0!</v>
      </c>
      <c r="BI310" s="402" t="e">
        <f t="shared" si="136"/>
        <v>#DIV/0!</v>
      </c>
    </row>
    <row r="311" spans="1:61" s="359" customFormat="1" ht="19.2" x14ac:dyDescent="0.3">
      <c r="A311" s="360" t="s">
        <v>185</v>
      </c>
      <c r="B311" s="543" t="s">
        <v>280</v>
      </c>
      <c r="C311" s="433" t="s">
        <v>489</v>
      </c>
      <c r="D311" s="361">
        <v>0.4</v>
      </c>
      <c r="E311" s="403"/>
      <c r="F311" s="404"/>
      <c r="G311" s="400"/>
      <c r="H311" s="401"/>
      <c r="I311" s="401"/>
      <c r="J311" s="401"/>
      <c r="K311" s="401"/>
      <c r="L311" s="401"/>
      <c r="M311" s="401"/>
      <c r="N311" s="401"/>
      <c r="O311" s="401"/>
      <c r="P311" s="401"/>
      <c r="Q311" s="401"/>
      <c r="R311" s="389"/>
      <c r="S311" s="389"/>
      <c r="T311" s="389"/>
      <c r="U311" s="521"/>
      <c r="V311" s="374" t="e">
        <f t="shared" si="143"/>
        <v>#DIV/0!</v>
      </c>
      <c r="W311" s="402" t="e">
        <f t="shared" si="144"/>
        <v>#DIV/0!</v>
      </c>
      <c r="X311" s="403">
        <v>200</v>
      </c>
      <c r="Y311" s="404">
        <v>285</v>
      </c>
      <c r="Z311" s="400">
        <v>285</v>
      </c>
      <c r="AA311" s="545">
        <v>760.75358000000006</v>
      </c>
      <c r="AB311" s="401">
        <v>563.12645999999995</v>
      </c>
      <c r="AC311" s="401">
        <v>466.18799999999999</v>
      </c>
      <c r="AD311" s="401">
        <f>6.44248+6.44248</f>
        <v>12.88496</v>
      </c>
      <c r="AE311" s="401">
        <v>18.768260000000001</v>
      </c>
      <c r="AF311" s="401">
        <v>0</v>
      </c>
      <c r="AG311" s="401">
        <v>0</v>
      </c>
      <c r="AH311" s="401">
        <v>37.859009999999998</v>
      </c>
      <c r="AI311" s="401">
        <v>776.98</v>
      </c>
      <c r="AJ311" s="401">
        <v>1.6106199999999999</v>
      </c>
      <c r="AK311" s="385" t="s">
        <v>167</v>
      </c>
      <c r="AL311" s="439" t="s">
        <v>175</v>
      </c>
      <c r="AM311" s="389"/>
      <c r="AN311" s="521">
        <v>476</v>
      </c>
      <c r="AO311" s="374">
        <f t="shared" si="145"/>
        <v>3803.7679000000003</v>
      </c>
      <c r="AP311" s="402">
        <f t="shared" si="146"/>
        <v>2.6693108070175442</v>
      </c>
      <c r="AQ311" s="595"/>
      <c r="AR311" s="587"/>
      <c r="AS311" s="400"/>
      <c r="AT311" s="545"/>
      <c r="AU311" s="401"/>
      <c r="AV311" s="401"/>
      <c r="AW311" s="401"/>
      <c r="AX311" s="401"/>
      <c r="AY311" s="401"/>
      <c r="AZ311" s="401"/>
      <c r="BA311" s="401"/>
      <c r="BB311" s="401"/>
      <c r="BC311" s="401"/>
      <c r="BD311" s="385"/>
      <c r="BE311" s="439"/>
      <c r="BF311" s="389"/>
      <c r="BG311" s="521"/>
      <c r="BH311" s="374" t="e">
        <f t="shared" si="135"/>
        <v>#DIV/0!</v>
      </c>
      <c r="BI311" s="402" t="e">
        <f t="shared" si="136"/>
        <v>#DIV/0!</v>
      </c>
    </row>
    <row r="312" spans="1:61" s="359" customFormat="1" ht="19.2" x14ac:dyDescent="0.3">
      <c r="A312" s="360" t="s">
        <v>179</v>
      </c>
      <c r="B312" s="579" t="s">
        <v>792</v>
      </c>
      <c r="C312" s="433" t="s">
        <v>640</v>
      </c>
      <c r="D312" s="361">
        <v>0.4</v>
      </c>
      <c r="E312" s="403"/>
      <c r="F312" s="404"/>
      <c r="G312" s="400"/>
      <c r="H312" s="401"/>
      <c r="I312" s="401"/>
      <c r="J312" s="401"/>
      <c r="K312" s="401"/>
      <c r="L312" s="401"/>
      <c r="M312" s="401"/>
      <c r="N312" s="401"/>
      <c r="O312" s="401"/>
      <c r="P312" s="401"/>
      <c r="Q312" s="401"/>
      <c r="R312" s="389"/>
      <c r="S312" s="389"/>
      <c r="T312" s="389"/>
      <c r="U312" s="521"/>
      <c r="V312" s="374"/>
      <c r="W312" s="402"/>
      <c r="X312" s="403"/>
      <c r="Y312" s="404"/>
      <c r="Z312" s="400"/>
      <c r="AA312" s="401"/>
      <c r="AB312" s="401"/>
      <c r="AC312" s="401"/>
      <c r="AD312" s="401"/>
      <c r="AE312" s="401"/>
      <c r="AF312" s="401"/>
      <c r="AG312" s="401"/>
      <c r="AH312" s="401"/>
      <c r="AI312" s="401"/>
      <c r="AJ312" s="401"/>
      <c r="AK312" s="385"/>
      <c r="AL312" s="439"/>
      <c r="AM312" s="389"/>
      <c r="AN312" s="521"/>
      <c r="AO312" s="374"/>
      <c r="AP312" s="402"/>
      <c r="AQ312" s="595">
        <v>260</v>
      </c>
      <c r="AR312" s="587">
        <v>100</v>
      </c>
      <c r="AS312" s="400">
        <v>100</v>
      </c>
      <c r="AT312" s="578">
        <v>264.31047000000001</v>
      </c>
      <c r="AU312" s="401">
        <v>198.95871</v>
      </c>
      <c r="AV312" s="401">
        <v>170.18299999999999</v>
      </c>
      <c r="AW312" s="401">
        <f>2.90514+2.90514</f>
        <v>5.8102799999999997</v>
      </c>
      <c r="AX312" s="401">
        <v>13.22537</v>
      </c>
      <c r="AY312" s="401">
        <v>0</v>
      </c>
      <c r="AZ312" s="401">
        <v>0</v>
      </c>
      <c r="BA312" s="401">
        <v>19.92953</v>
      </c>
      <c r="BB312" s="401">
        <v>654.54999999999995</v>
      </c>
      <c r="BC312" s="401">
        <v>1.4525699999999999</v>
      </c>
      <c r="BD312" s="385" t="s">
        <v>167</v>
      </c>
      <c r="BE312" s="439" t="s">
        <v>175</v>
      </c>
      <c r="BF312" s="389"/>
      <c r="BG312" s="521">
        <v>547</v>
      </c>
      <c r="BH312" s="374">
        <f t="shared" si="135"/>
        <v>1016.5787307692309</v>
      </c>
      <c r="BI312" s="402">
        <f t="shared" si="136"/>
        <v>2.6431047000000003</v>
      </c>
    </row>
    <row r="313" spans="1:61" s="359" customFormat="1" ht="19.2" x14ac:dyDescent="0.3">
      <c r="A313" s="360" t="s">
        <v>183</v>
      </c>
      <c r="B313" s="579" t="s">
        <v>792</v>
      </c>
      <c r="C313" s="433" t="s">
        <v>641</v>
      </c>
      <c r="D313" s="361">
        <v>0.4</v>
      </c>
      <c r="E313" s="403"/>
      <c r="F313" s="404"/>
      <c r="G313" s="400"/>
      <c r="H313" s="401"/>
      <c r="I313" s="401"/>
      <c r="J313" s="401"/>
      <c r="K313" s="401"/>
      <c r="L313" s="401"/>
      <c r="M313" s="401"/>
      <c r="N313" s="401"/>
      <c r="O313" s="401"/>
      <c r="P313" s="401"/>
      <c r="Q313" s="401"/>
      <c r="R313" s="389"/>
      <c r="S313" s="389"/>
      <c r="T313" s="389"/>
      <c r="U313" s="521"/>
      <c r="V313" s="374"/>
      <c r="W313" s="402"/>
      <c r="X313" s="403"/>
      <c r="Y313" s="404"/>
      <c r="Z313" s="400"/>
      <c r="AA313" s="401"/>
      <c r="AB313" s="401"/>
      <c r="AC313" s="401"/>
      <c r="AD313" s="401"/>
      <c r="AE313" s="401"/>
      <c r="AF313" s="401"/>
      <c r="AG313" s="401"/>
      <c r="AH313" s="401"/>
      <c r="AI313" s="401"/>
      <c r="AJ313" s="401"/>
      <c r="AK313" s="385"/>
      <c r="AL313" s="439"/>
      <c r="AM313" s="389"/>
      <c r="AN313" s="521"/>
      <c r="AO313" s="374"/>
      <c r="AP313" s="402"/>
      <c r="AQ313" s="595">
        <v>220</v>
      </c>
      <c r="AR313" s="596">
        <v>100.5</v>
      </c>
      <c r="AS313" s="423">
        <v>100.5</v>
      </c>
      <c r="AT313" s="578">
        <v>285.19256000000001</v>
      </c>
      <c r="AU313" s="401">
        <v>218.85364000000001</v>
      </c>
      <c r="AV313" s="401">
        <v>170.93559999999999</v>
      </c>
      <c r="AW313" s="401">
        <f>2.90514+2.90514+6.18292</f>
        <v>11.9932</v>
      </c>
      <c r="AX313" s="401">
        <v>9.0805399999999992</v>
      </c>
      <c r="AY313" s="401">
        <v>0</v>
      </c>
      <c r="AZ313" s="401">
        <v>0</v>
      </c>
      <c r="BA313" s="401">
        <v>21.46875</v>
      </c>
      <c r="BB313" s="401">
        <v>776.98</v>
      </c>
      <c r="BC313" s="401">
        <v>3.0914600000000001</v>
      </c>
      <c r="BD313" s="385" t="s">
        <v>167</v>
      </c>
      <c r="BE313" s="439" t="s">
        <v>175</v>
      </c>
      <c r="BF313" s="389"/>
      <c r="BG313" s="521">
        <v>556</v>
      </c>
      <c r="BH313" s="374">
        <f t="shared" si="135"/>
        <v>1296.3298181818182</v>
      </c>
      <c r="BI313" s="402">
        <f t="shared" si="136"/>
        <v>2.8377369154228855</v>
      </c>
    </row>
    <row r="314" spans="1:61" s="359" customFormat="1" x14ac:dyDescent="0.3">
      <c r="A314" s="360"/>
      <c r="B314" s="382"/>
      <c r="C314" s="433"/>
      <c r="D314" s="361">
        <v>0.4</v>
      </c>
      <c r="E314" s="403"/>
      <c r="F314" s="404"/>
      <c r="G314" s="400"/>
      <c r="H314" s="401"/>
      <c r="I314" s="401"/>
      <c r="J314" s="401"/>
      <c r="K314" s="401"/>
      <c r="L314" s="401"/>
      <c r="M314" s="401"/>
      <c r="N314" s="401"/>
      <c r="O314" s="401"/>
      <c r="P314" s="401"/>
      <c r="Q314" s="401"/>
      <c r="R314" s="389"/>
      <c r="S314" s="389"/>
      <c r="T314" s="389"/>
      <c r="U314" s="521"/>
      <c r="V314" s="374"/>
      <c r="W314" s="402"/>
      <c r="X314" s="403"/>
      <c r="Y314" s="404"/>
      <c r="Z314" s="400"/>
      <c r="AA314" s="401"/>
      <c r="AB314" s="401"/>
      <c r="AC314" s="401"/>
      <c r="AD314" s="401"/>
      <c r="AE314" s="401"/>
      <c r="AF314" s="401"/>
      <c r="AG314" s="401"/>
      <c r="AH314" s="401"/>
      <c r="AI314" s="401"/>
      <c r="AJ314" s="401"/>
      <c r="AK314" s="385"/>
      <c r="AL314" s="439"/>
      <c r="AM314" s="389"/>
      <c r="AN314" s="521"/>
      <c r="AO314" s="374"/>
      <c r="AP314" s="402"/>
      <c r="AQ314" s="595"/>
      <c r="AR314" s="587"/>
      <c r="AS314" s="400"/>
      <c r="AT314" s="401"/>
      <c r="AU314" s="401"/>
      <c r="AV314" s="401"/>
      <c r="AW314" s="401"/>
      <c r="AX314" s="401"/>
      <c r="AY314" s="401"/>
      <c r="AZ314" s="401"/>
      <c r="BA314" s="401"/>
      <c r="BB314" s="401"/>
      <c r="BC314" s="401"/>
      <c r="BD314" s="385"/>
      <c r="BE314" s="439"/>
      <c r="BF314" s="389"/>
      <c r="BG314" s="521"/>
      <c r="BH314" s="374" t="e">
        <f t="shared" si="135"/>
        <v>#DIV/0!</v>
      </c>
      <c r="BI314" s="402" t="e">
        <f t="shared" si="136"/>
        <v>#DIV/0!</v>
      </c>
    </row>
    <row r="315" spans="1:61" s="359" customFormat="1" x14ac:dyDescent="0.3">
      <c r="A315" s="360"/>
      <c r="B315" s="382"/>
      <c r="C315" s="429"/>
      <c r="D315" s="361"/>
      <c r="E315" s="408"/>
      <c r="F315" s="404"/>
      <c r="G315" s="400"/>
      <c r="H315" s="414"/>
      <c r="I315" s="401"/>
      <c r="J315" s="401"/>
      <c r="K315" s="401"/>
      <c r="L315" s="401"/>
      <c r="M315" s="401"/>
      <c r="N315" s="401"/>
      <c r="O315" s="401"/>
      <c r="P315" s="401"/>
      <c r="Q315" s="401"/>
      <c r="R315" s="389"/>
      <c r="S315" s="389"/>
      <c r="T315" s="389"/>
      <c r="U315" s="521"/>
      <c r="V315" s="374" t="e">
        <f>H315/E315*1000</f>
        <v>#DIV/0!</v>
      </c>
      <c r="W315" s="402" t="e">
        <f>H315/F315</f>
        <v>#DIV/0!</v>
      </c>
      <c r="X315" s="408"/>
      <c r="Y315" s="404"/>
      <c r="Z315" s="400"/>
      <c r="AA315" s="414"/>
      <c r="AB315" s="401"/>
      <c r="AC315" s="401"/>
      <c r="AD315" s="401"/>
      <c r="AE315" s="401"/>
      <c r="AF315" s="401"/>
      <c r="AG315" s="401"/>
      <c r="AH315" s="401"/>
      <c r="AI315" s="401"/>
      <c r="AJ315" s="401"/>
      <c r="AK315" s="389"/>
      <c r="AL315" s="389"/>
      <c r="AM315" s="389"/>
      <c r="AN315" s="521"/>
      <c r="AO315" s="374" t="e">
        <f>AA315/X315*1000</f>
        <v>#DIV/0!</v>
      </c>
      <c r="AP315" s="402" t="e">
        <f>AA315/Y315</f>
        <v>#DIV/0!</v>
      </c>
      <c r="AQ315" s="599"/>
      <c r="AR315" s="587"/>
      <c r="AS315" s="400"/>
      <c r="AT315" s="414"/>
      <c r="AU315" s="401"/>
      <c r="AV315" s="401"/>
      <c r="AW315" s="401"/>
      <c r="AX315" s="401"/>
      <c r="AY315" s="401"/>
      <c r="AZ315" s="401"/>
      <c r="BA315" s="401"/>
      <c r="BB315" s="401"/>
      <c r="BC315" s="401"/>
      <c r="BD315" s="389"/>
      <c r="BE315" s="389"/>
      <c r="BF315" s="389"/>
      <c r="BG315" s="521"/>
      <c r="BH315" s="374" t="e">
        <f t="shared" ref="BH315" si="150">AT315/AQ315*1000</f>
        <v>#DIV/0!</v>
      </c>
      <c r="BI315" s="402" t="e">
        <f t="shared" ref="BI315" si="151">AT315/AR315</f>
        <v>#DIV/0!</v>
      </c>
    </row>
    <row r="316" spans="1:61" s="359" customFormat="1" ht="24.75" customHeight="1" x14ac:dyDescent="0.3">
      <c r="A316" s="355" t="s">
        <v>183</v>
      </c>
      <c r="B316" s="356" t="s">
        <v>697</v>
      </c>
      <c r="C316" s="432"/>
      <c r="D316" s="357">
        <v>0.4</v>
      </c>
      <c r="E316" s="396">
        <f t="shared" ref="E316:Q316" si="152">SUM(E317:E329)</f>
        <v>1142</v>
      </c>
      <c r="F316" s="396">
        <f t="shared" si="152"/>
        <v>1838</v>
      </c>
      <c r="G316" s="396">
        <f t="shared" si="152"/>
        <v>1838</v>
      </c>
      <c r="H316" s="397">
        <f t="shared" si="152"/>
        <v>3021.2140000000004</v>
      </c>
      <c r="I316" s="397">
        <f t="shared" si="152"/>
        <v>2484.1080000000002</v>
      </c>
      <c r="J316" s="397">
        <f t="shared" si="152"/>
        <v>2142.8752800000002</v>
      </c>
      <c r="K316" s="397">
        <f t="shared" si="152"/>
        <v>312.91000000000003</v>
      </c>
      <c r="L316" s="397">
        <f t="shared" si="152"/>
        <v>93.744000000000014</v>
      </c>
      <c r="M316" s="397">
        <f t="shared" si="152"/>
        <v>0</v>
      </c>
      <c r="N316" s="397">
        <f t="shared" si="152"/>
        <v>0</v>
      </c>
      <c r="O316" s="397">
        <f t="shared" si="152"/>
        <v>155.214</v>
      </c>
      <c r="P316" s="397">
        <f t="shared" si="152"/>
        <v>3650.0800000000004</v>
      </c>
      <c r="Q316" s="397">
        <f t="shared" si="152"/>
        <v>642.95999999999992</v>
      </c>
      <c r="R316" s="398"/>
      <c r="S316" s="398"/>
      <c r="T316" s="398"/>
      <c r="U316" s="520"/>
      <c r="V316" s="373">
        <f>H316/E316*1000</f>
        <v>2645.5464098073562</v>
      </c>
      <c r="W316" s="399">
        <f>H316/F316</f>
        <v>1.6437508161044616</v>
      </c>
      <c r="X316" s="396">
        <f t="shared" ref="X316:AJ316" si="153">SUM(X317:X329)</f>
        <v>571</v>
      </c>
      <c r="Y316" s="396">
        <f t="shared" si="153"/>
        <v>1932.5</v>
      </c>
      <c r="Z316" s="396">
        <f t="shared" si="153"/>
        <v>1932.5</v>
      </c>
      <c r="AA316" s="397">
        <f t="shared" si="153"/>
        <v>1869.1524300000001</v>
      </c>
      <c r="AB316" s="397">
        <f t="shared" si="153"/>
        <v>1391.93047</v>
      </c>
      <c r="AC316" s="397">
        <f t="shared" si="153"/>
        <v>1057.8185000000001</v>
      </c>
      <c r="AD316" s="397">
        <f t="shared" si="153"/>
        <v>98.720320000000001</v>
      </c>
      <c r="AE316" s="397">
        <f t="shared" si="153"/>
        <v>144.66575</v>
      </c>
      <c r="AF316" s="397">
        <f t="shared" si="153"/>
        <v>0</v>
      </c>
      <c r="AG316" s="397">
        <f t="shared" si="153"/>
        <v>0</v>
      </c>
      <c r="AH316" s="397">
        <f t="shared" si="153"/>
        <v>134.31324000000001</v>
      </c>
      <c r="AI316" s="397">
        <f t="shared" si="153"/>
        <v>3730.3300000000004</v>
      </c>
      <c r="AJ316" s="397">
        <f t="shared" si="153"/>
        <v>46.682910000000007</v>
      </c>
      <c r="AK316" s="398"/>
      <c r="AL316" s="398"/>
      <c r="AM316" s="398"/>
      <c r="AN316" s="520"/>
      <c r="AO316" s="373">
        <f>AA316/X316*1000</f>
        <v>3273.4718563922943</v>
      </c>
      <c r="AP316" s="399">
        <f>AA316/Y316</f>
        <v>0.96721988615782672</v>
      </c>
      <c r="AQ316" s="396">
        <f t="shared" ref="AQ316:BC316" si="154">SUM(AQ317:AQ319)</f>
        <v>505</v>
      </c>
      <c r="AR316" s="396">
        <f t="shared" si="154"/>
        <v>315</v>
      </c>
      <c r="AS316" s="396">
        <f t="shared" si="154"/>
        <v>315</v>
      </c>
      <c r="AT316" s="397">
        <f t="shared" si="154"/>
        <v>501.86468000000002</v>
      </c>
      <c r="AU316" s="397">
        <f t="shared" si="154"/>
        <v>414.76853999999997</v>
      </c>
      <c r="AV316" s="397">
        <f t="shared" si="154"/>
        <v>371.81635</v>
      </c>
      <c r="AW316" s="397">
        <f t="shared" si="154"/>
        <v>13.56648</v>
      </c>
      <c r="AX316" s="397">
        <f t="shared" si="154"/>
        <v>20.70318</v>
      </c>
      <c r="AY316" s="397">
        <f t="shared" si="154"/>
        <v>0</v>
      </c>
      <c r="AZ316" s="397">
        <f t="shared" si="154"/>
        <v>0</v>
      </c>
      <c r="BA316" s="397">
        <f t="shared" si="154"/>
        <v>25.816949999999999</v>
      </c>
      <c r="BB316" s="397">
        <f t="shared" si="154"/>
        <v>736.27</v>
      </c>
      <c r="BC316" s="397">
        <f t="shared" si="154"/>
        <v>1.69581</v>
      </c>
      <c r="BD316" s="398"/>
      <c r="BE316" s="398"/>
      <c r="BF316" s="398"/>
      <c r="BG316" s="520"/>
      <c r="BH316" s="373">
        <f t="shared" ref="BH316:BH336" si="155">AT316/AQ316*1000</f>
        <v>993.79144554455445</v>
      </c>
      <c r="BI316" s="399">
        <f t="shared" ref="BI316:BI336" si="156">AT316/AR316</f>
        <v>1.5932212063492064</v>
      </c>
    </row>
    <row r="317" spans="1:61" s="359" customFormat="1" ht="19.2" x14ac:dyDescent="0.3">
      <c r="A317" s="360" t="s">
        <v>179</v>
      </c>
      <c r="B317" s="579" t="s">
        <v>564</v>
      </c>
      <c r="C317" s="433" t="s">
        <v>698</v>
      </c>
      <c r="D317" s="361">
        <v>0.4</v>
      </c>
      <c r="E317" s="403"/>
      <c r="F317" s="404"/>
      <c r="G317" s="400"/>
      <c r="H317" s="401"/>
      <c r="I317" s="401"/>
      <c r="J317" s="401"/>
      <c r="K317" s="401"/>
      <c r="L317" s="401"/>
      <c r="M317" s="401"/>
      <c r="N317" s="401"/>
      <c r="O317" s="401"/>
      <c r="P317" s="401"/>
      <c r="Q317" s="401"/>
      <c r="R317" s="389"/>
      <c r="S317" s="389"/>
      <c r="T317" s="389"/>
      <c r="U317" s="521"/>
      <c r="V317" s="374"/>
      <c r="W317" s="402"/>
      <c r="X317" s="403"/>
      <c r="Y317" s="404"/>
      <c r="Z317" s="400"/>
      <c r="AA317" s="401"/>
      <c r="AB317" s="401"/>
      <c r="AC317" s="401"/>
      <c r="AD317" s="401"/>
      <c r="AE317" s="401"/>
      <c r="AF317" s="401"/>
      <c r="AG317" s="401"/>
      <c r="AH317" s="401"/>
      <c r="AI317" s="401"/>
      <c r="AJ317" s="401"/>
      <c r="AK317" s="385"/>
      <c r="AL317" s="439"/>
      <c r="AM317" s="389"/>
      <c r="AN317" s="521"/>
      <c r="AO317" s="374"/>
      <c r="AP317" s="402"/>
      <c r="AQ317" s="595">
        <v>505</v>
      </c>
      <c r="AR317" s="587">
        <v>315</v>
      </c>
      <c r="AS317" s="400">
        <v>315</v>
      </c>
      <c r="AT317" s="578">
        <v>501.86468000000002</v>
      </c>
      <c r="AU317" s="401">
        <v>414.76853999999997</v>
      </c>
      <c r="AV317" s="401">
        <v>371.81635</v>
      </c>
      <c r="AW317" s="401">
        <v>13.56648</v>
      </c>
      <c r="AX317" s="401">
        <v>20.70318</v>
      </c>
      <c r="AY317" s="401">
        <v>0</v>
      </c>
      <c r="AZ317" s="401">
        <v>0</v>
      </c>
      <c r="BA317" s="401">
        <v>25.816949999999999</v>
      </c>
      <c r="BB317" s="401">
        <v>736.27</v>
      </c>
      <c r="BC317" s="401">
        <v>1.69581</v>
      </c>
      <c r="BD317" s="385" t="s">
        <v>167</v>
      </c>
      <c r="BE317" s="439" t="s">
        <v>175</v>
      </c>
      <c r="BF317" s="389"/>
      <c r="BG317" s="521">
        <v>563</v>
      </c>
      <c r="BH317" s="374">
        <f t="shared" si="155"/>
        <v>993.79144554455445</v>
      </c>
      <c r="BI317" s="402">
        <f t="shared" si="156"/>
        <v>1.5932212063492064</v>
      </c>
    </row>
    <row r="318" spans="1:61" s="359" customFormat="1" x14ac:dyDescent="0.3">
      <c r="A318" s="360"/>
      <c r="B318" s="382"/>
      <c r="C318" s="433"/>
      <c r="D318" s="361">
        <v>0.4</v>
      </c>
      <c r="E318" s="403"/>
      <c r="F318" s="404"/>
      <c r="G318" s="400"/>
      <c r="H318" s="401"/>
      <c r="I318" s="401"/>
      <c r="J318" s="401"/>
      <c r="K318" s="401"/>
      <c r="L318" s="401"/>
      <c r="M318" s="401"/>
      <c r="N318" s="401"/>
      <c r="O318" s="401"/>
      <c r="P318" s="401"/>
      <c r="Q318" s="401"/>
      <c r="R318" s="389"/>
      <c r="S318" s="389"/>
      <c r="T318" s="389"/>
      <c r="U318" s="521"/>
      <c r="V318" s="374"/>
      <c r="W318" s="402"/>
      <c r="X318" s="403"/>
      <c r="Y318" s="404"/>
      <c r="Z318" s="400"/>
      <c r="AA318" s="401"/>
      <c r="AB318" s="401"/>
      <c r="AC318" s="401"/>
      <c r="AD318" s="401"/>
      <c r="AE318" s="401"/>
      <c r="AF318" s="401"/>
      <c r="AG318" s="401"/>
      <c r="AH318" s="401"/>
      <c r="AI318" s="401"/>
      <c r="AJ318" s="401"/>
      <c r="AK318" s="385"/>
      <c r="AL318" s="439"/>
      <c r="AM318" s="389"/>
      <c r="AN318" s="521"/>
      <c r="AO318" s="374"/>
      <c r="AP318" s="402"/>
      <c r="AQ318" s="595"/>
      <c r="AR318" s="587"/>
      <c r="AS318" s="400"/>
      <c r="AT318" s="401"/>
      <c r="AU318" s="401"/>
      <c r="AV318" s="401"/>
      <c r="AW318" s="401"/>
      <c r="AX318" s="401"/>
      <c r="AY318" s="401"/>
      <c r="AZ318" s="401"/>
      <c r="BA318" s="401"/>
      <c r="BB318" s="401"/>
      <c r="BC318" s="401"/>
      <c r="BD318" s="385"/>
      <c r="BE318" s="439"/>
      <c r="BF318" s="389"/>
      <c r="BG318" s="521"/>
      <c r="BH318" s="374" t="e">
        <f t="shared" si="155"/>
        <v>#DIV/0!</v>
      </c>
      <c r="BI318" s="402" t="e">
        <f t="shared" si="156"/>
        <v>#DIV/0!</v>
      </c>
    </row>
    <row r="319" spans="1:61" s="359" customFormat="1" x14ac:dyDescent="0.3">
      <c r="A319" s="360"/>
      <c r="B319" s="382"/>
      <c r="C319" s="433"/>
      <c r="D319" s="361"/>
      <c r="E319" s="403"/>
      <c r="F319" s="404"/>
      <c r="G319" s="400"/>
      <c r="H319" s="401"/>
      <c r="I319" s="401"/>
      <c r="J319" s="401"/>
      <c r="K319" s="401"/>
      <c r="L319" s="401"/>
      <c r="M319" s="401"/>
      <c r="N319" s="401"/>
      <c r="O319" s="401"/>
      <c r="P319" s="401"/>
      <c r="Q319" s="401"/>
      <c r="R319" s="389"/>
      <c r="S319" s="389"/>
      <c r="T319" s="389"/>
      <c r="U319" s="521"/>
      <c r="V319" s="374" t="e">
        <f>H319/E319*1000</f>
        <v>#DIV/0!</v>
      </c>
      <c r="W319" s="402" t="e">
        <f>H319/F319</f>
        <v>#DIV/0!</v>
      </c>
      <c r="X319" s="403"/>
      <c r="Y319" s="404"/>
      <c r="Z319" s="400"/>
      <c r="AA319" s="401"/>
      <c r="AB319" s="401"/>
      <c r="AC319" s="401"/>
      <c r="AD319" s="401"/>
      <c r="AE319" s="401"/>
      <c r="AF319" s="401"/>
      <c r="AG319" s="401"/>
      <c r="AH319" s="401"/>
      <c r="AI319" s="401"/>
      <c r="AJ319" s="401"/>
      <c r="AK319" s="389"/>
      <c r="AL319" s="389"/>
      <c r="AM319" s="389"/>
      <c r="AN319" s="521"/>
      <c r="AO319" s="374" t="e">
        <f>AA319/X319*1000</f>
        <v>#DIV/0!</v>
      </c>
      <c r="AP319" s="402" t="e">
        <f>AA319/Y319</f>
        <v>#DIV/0!</v>
      </c>
      <c r="AQ319" s="595"/>
      <c r="AR319" s="587"/>
      <c r="AS319" s="400"/>
      <c r="AT319" s="401"/>
      <c r="AU319" s="401"/>
      <c r="AV319" s="401"/>
      <c r="AW319" s="401"/>
      <c r="AX319" s="401"/>
      <c r="AY319" s="401"/>
      <c r="AZ319" s="401"/>
      <c r="BA319" s="401"/>
      <c r="BB319" s="401"/>
      <c r="BC319" s="401"/>
      <c r="BD319" s="389"/>
      <c r="BE319" s="389"/>
      <c r="BF319" s="389"/>
      <c r="BG319" s="521"/>
      <c r="BH319" s="374" t="e">
        <f t="shared" si="155"/>
        <v>#DIV/0!</v>
      </c>
      <c r="BI319" s="402" t="e">
        <f t="shared" si="156"/>
        <v>#DIV/0!</v>
      </c>
    </row>
    <row r="320" spans="1:61" s="359" customFormat="1" ht="24.75" customHeight="1" x14ac:dyDescent="0.3">
      <c r="A320" s="355" t="s">
        <v>185</v>
      </c>
      <c r="B320" s="356" t="s">
        <v>223</v>
      </c>
      <c r="C320" s="432"/>
      <c r="D320" s="357">
        <v>6</v>
      </c>
      <c r="E320" s="396">
        <f t="shared" ref="E320:Q320" si="157">SUM(E321:E326)</f>
        <v>181</v>
      </c>
      <c r="F320" s="396">
        <f t="shared" si="157"/>
        <v>534</v>
      </c>
      <c r="G320" s="396">
        <f t="shared" si="157"/>
        <v>534</v>
      </c>
      <c r="H320" s="397">
        <f t="shared" si="157"/>
        <v>1195.2030000000002</v>
      </c>
      <c r="I320" s="397">
        <f t="shared" si="157"/>
        <v>972.0440000000001</v>
      </c>
      <c r="J320" s="397">
        <f t="shared" si="157"/>
        <v>828.53783999999996</v>
      </c>
      <c r="K320" s="397">
        <f t="shared" si="157"/>
        <v>139.53</v>
      </c>
      <c r="L320" s="397">
        <f t="shared" si="157"/>
        <v>39.737000000000002</v>
      </c>
      <c r="M320" s="397">
        <f t="shared" si="157"/>
        <v>0</v>
      </c>
      <c r="N320" s="397">
        <f t="shared" si="157"/>
        <v>0</v>
      </c>
      <c r="O320" s="397">
        <f t="shared" si="157"/>
        <v>64.316000000000003</v>
      </c>
      <c r="P320" s="397">
        <f t="shared" si="157"/>
        <v>1202.22</v>
      </c>
      <c r="Q320" s="397">
        <f t="shared" si="157"/>
        <v>214.32</v>
      </c>
      <c r="R320" s="398"/>
      <c r="S320" s="398"/>
      <c r="T320" s="398"/>
      <c r="U320" s="520"/>
      <c r="V320" s="373">
        <f>H320/E320*1000</f>
        <v>6603.3314917127082</v>
      </c>
      <c r="W320" s="399">
        <f>H320/F320</f>
        <v>2.2382078651685395</v>
      </c>
      <c r="X320" s="396">
        <f t="shared" ref="X320:AJ320" si="158">SUM(X321:X326)</f>
        <v>134</v>
      </c>
      <c r="Y320" s="396">
        <f t="shared" si="158"/>
        <v>426.25</v>
      </c>
      <c r="Z320" s="396">
        <f t="shared" si="158"/>
        <v>426.25</v>
      </c>
      <c r="AA320" s="397">
        <f t="shared" si="158"/>
        <v>486.32351999999997</v>
      </c>
      <c r="AB320" s="397">
        <f t="shared" si="158"/>
        <v>349.64792</v>
      </c>
      <c r="AC320" s="397">
        <f t="shared" si="158"/>
        <v>240.44399999999999</v>
      </c>
      <c r="AD320" s="397">
        <f t="shared" si="158"/>
        <v>21.544969999999999</v>
      </c>
      <c r="AE320" s="397">
        <f t="shared" si="158"/>
        <v>53.424030000000002</v>
      </c>
      <c r="AF320" s="397">
        <f t="shared" si="158"/>
        <v>0</v>
      </c>
      <c r="AG320" s="397">
        <f t="shared" si="158"/>
        <v>0</v>
      </c>
      <c r="AH320" s="397">
        <f t="shared" si="158"/>
        <v>36.423650000000002</v>
      </c>
      <c r="AI320" s="397">
        <f t="shared" si="158"/>
        <v>601.11</v>
      </c>
      <c r="AJ320" s="397">
        <f t="shared" si="158"/>
        <v>3.7571400000000001</v>
      </c>
      <c r="AK320" s="398"/>
      <c r="AL320" s="398"/>
      <c r="AM320" s="398"/>
      <c r="AN320" s="520"/>
      <c r="AO320" s="373">
        <f>AA320/X320*1000</f>
        <v>3629.2799999999997</v>
      </c>
      <c r="AP320" s="399">
        <f>AA320/Y320</f>
        <v>1.1409349442815249</v>
      </c>
      <c r="AQ320" s="396">
        <f t="shared" ref="AQ320:BC320" si="159">SUM(AQ321:AQ326)</f>
        <v>120</v>
      </c>
      <c r="AR320" s="396">
        <f t="shared" si="159"/>
        <v>60</v>
      </c>
      <c r="AS320" s="396">
        <f t="shared" si="159"/>
        <v>60</v>
      </c>
      <c r="AT320" s="397">
        <f t="shared" si="159"/>
        <v>145.74942999999999</v>
      </c>
      <c r="AU320" s="397">
        <f t="shared" si="159"/>
        <v>110.92854</v>
      </c>
      <c r="AV320" s="397">
        <f t="shared" si="159"/>
        <v>86.938800000000001</v>
      </c>
      <c r="AW320" s="397">
        <f t="shared" si="159"/>
        <v>19.879079999999998</v>
      </c>
      <c r="AX320" s="397">
        <f t="shared" si="159"/>
        <v>4.8180500000000004</v>
      </c>
      <c r="AY320" s="397">
        <f t="shared" si="159"/>
        <v>0</v>
      </c>
      <c r="AZ320" s="397">
        <f t="shared" si="159"/>
        <v>0</v>
      </c>
      <c r="BA320" s="397">
        <f t="shared" si="159"/>
        <v>11.371740000000001</v>
      </c>
      <c r="BB320" s="397">
        <f t="shared" si="159"/>
        <v>724.49</v>
      </c>
      <c r="BC320" s="397">
        <f t="shared" si="159"/>
        <v>4.9697699999999996</v>
      </c>
      <c r="BD320" s="398"/>
      <c r="BE320" s="398"/>
      <c r="BF320" s="398"/>
      <c r="BG320" s="520"/>
      <c r="BH320" s="373">
        <f t="shared" si="155"/>
        <v>1214.5785833333334</v>
      </c>
      <c r="BI320" s="399">
        <f t="shared" si="156"/>
        <v>2.4291571666666667</v>
      </c>
    </row>
    <row r="321" spans="1:61" s="359" customFormat="1" ht="19.2" x14ac:dyDescent="0.3">
      <c r="A321" s="360" t="s">
        <v>179</v>
      </c>
      <c r="B321" s="513" t="s">
        <v>252</v>
      </c>
      <c r="C321" s="429" t="s">
        <v>370</v>
      </c>
      <c r="D321" s="361">
        <v>6</v>
      </c>
      <c r="E321" s="408">
        <v>81</v>
      </c>
      <c r="F321" s="404">
        <v>149</v>
      </c>
      <c r="G321" s="404">
        <v>149</v>
      </c>
      <c r="H321" s="426">
        <v>1100.5820000000001</v>
      </c>
      <c r="I321" s="401">
        <v>891.04100000000005</v>
      </c>
      <c r="J321" s="401">
        <f>597.41388+171.02196</f>
        <v>768.43583999999998</v>
      </c>
      <c r="K321" s="401">
        <v>122.605</v>
      </c>
      <c r="L321" s="401">
        <v>37.597000000000001</v>
      </c>
      <c r="M321" s="401">
        <v>0</v>
      </c>
      <c r="N321" s="401">
        <v>0</v>
      </c>
      <c r="O321" s="401">
        <v>60.329000000000001</v>
      </c>
      <c r="P321" s="401">
        <v>601.02</v>
      </c>
      <c r="Q321" s="401">
        <v>107.16</v>
      </c>
      <c r="R321" s="385" t="s">
        <v>167</v>
      </c>
      <c r="S321" s="439" t="s">
        <v>175</v>
      </c>
      <c r="T321" s="389"/>
      <c r="U321" s="521">
        <v>273</v>
      </c>
      <c r="V321" s="374">
        <f>H321/E321*1000</f>
        <v>13587.432098765434</v>
      </c>
      <c r="W321" s="402">
        <f>H321/F321</f>
        <v>7.386456375838927</v>
      </c>
      <c r="X321" s="408"/>
      <c r="Y321" s="404"/>
      <c r="Z321" s="404"/>
      <c r="AA321" s="426"/>
      <c r="AB321" s="401"/>
      <c r="AC321" s="401"/>
      <c r="AD321" s="401"/>
      <c r="AE321" s="401"/>
      <c r="AF321" s="401"/>
      <c r="AG321" s="401"/>
      <c r="AH321" s="401"/>
      <c r="AI321" s="401"/>
      <c r="AJ321" s="401"/>
      <c r="AK321" s="385"/>
      <c r="AL321" s="439"/>
      <c r="AM321" s="389"/>
      <c r="AN321" s="521"/>
      <c r="AO321" s="374" t="e">
        <f>AA321/X321*1000</f>
        <v>#DIV/0!</v>
      </c>
      <c r="AP321" s="402" t="e">
        <f>AA321/Y321</f>
        <v>#DIV/0!</v>
      </c>
      <c r="AQ321" s="599"/>
      <c r="AR321" s="587"/>
      <c r="AS321" s="587"/>
      <c r="AT321" s="426"/>
      <c r="AU321" s="401"/>
      <c r="AV321" s="401"/>
      <c r="AW321" s="401"/>
      <c r="AX321" s="401"/>
      <c r="AY321" s="401"/>
      <c r="AZ321" s="401"/>
      <c r="BA321" s="401"/>
      <c r="BB321" s="401"/>
      <c r="BC321" s="401"/>
      <c r="BD321" s="385"/>
      <c r="BE321" s="439"/>
      <c r="BF321" s="389"/>
      <c r="BG321" s="521"/>
      <c r="BH321" s="374" t="e">
        <f t="shared" si="155"/>
        <v>#DIV/0!</v>
      </c>
      <c r="BI321" s="402" t="e">
        <f t="shared" si="156"/>
        <v>#DIV/0!</v>
      </c>
    </row>
    <row r="322" spans="1:61" s="359" customFormat="1" ht="19.2" x14ac:dyDescent="0.3">
      <c r="A322" s="360" t="s">
        <v>183</v>
      </c>
      <c r="B322" s="513" t="s">
        <v>388</v>
      </c>
      <c r="C322" s="433" t="s">
        <v>389</v>
      </c>
      <c r="D322" s="361">
        <v>6</v>
      </c>
      <c r="E322" s="408">
        <v>100</v>
      </c>
      <c r="F322" s="404">
        <v>385</v>
      </c>
      <c r="G322" s="404">
        <v>385</v>
      </c>
      <c r="H322" s="426">
        <v>94.620999999999995</v>
      </c>
      <c r="I322" s="401">
        <v>81.003</v>
      </c>
      <c r="J322" s="401">
        <v>60.101999999999997</v>
      </c>
      <c r="K322" s="401">
        <v>16.925000000000001</v>
      </c>
      <c r="L322" s="401">
        <v>2.14</v>
      </c>
      <c r="M322" s="401">
        <v>0</v>
      </c>
      <c r="N322" s="401">
        <v>0</v>
      </c>
      <c r="O322" s="401">
        <v>3.9870000000000001</v>
      </c>
      <c r="P322" s="401">
        <v>601.20000000000005</v>
      </c>
      <c r="Q322" s="401">
        <v>107.16</v>
      </c>
      <c r="R322" s="385" t="s">
        <v>167</v>
      </c>
      <c r="S322" s="439" t="s">
        <v>175</v>
      </c>
      <c r="T322" s="389"/>
      <c r="U322" s="521">
        <v>320</v>
      </c>
      <c r="V322" s="374">
        <f>H322/E322*1000</f>
        <v>946.21</v>
      </c>
      <c r="W322" s="402">
        <f>H322/F322</f>
        <v>0.24576883116883116</v>
      </c>
      <c r="X322" s="408"/>
      <c r="Y322" s="404"/>
      <c r="Z322" s="404"/>
      <c r="AA322" s="426"/>
      <c r="AB322" s="401"/>
      <c r="AC322" s="401"/>
      <c r="AD322" s="401"/>
      <c r="AE322" s="401"/>
      <c r="AF322" s="401"/>
      <c r="AG322" s="401"/>
      <c r="AH322" s="401"/>
      <c r="AI322" s="401"/>
      <c r="AJ322" s="401"/>
      <c r="AK322" s="385"/>
      <c r="AL322" s="439"/>
      <c r="AM322" s="389"/>
      <c r="AN322" s="521"/>
      <c r="AO322" s="374" t="e">
        <f>AA322/X322*1000</f>
        <v>#DIV/0!</v>
      </c>
      <c r="AP322" s="402" t="e">
        <f>AA322/Y322</f>
        <v>#DIV/0!</v>
      </c>
      <c r="AQ322" s="599"/>
      <c r="AR322" s="587"/>
      <c r="AS322" s="587"/>
      <c r="AT322" s="426"/>
      <c r="AU322" s="401"/>
      <c r="AV322" s="401"/>
      <c r="AW322" s="401"/>
      <c r="AX322" s="401"/>
      <c r="AY322" s="401"/>
      <c r="AZ322" s="401"/>
      <c r="BA322" s="401"/>
      <c r="BB322" s="401"/>
      <c r="BC322" s="401"/>
      <c r="BD322" s="385"/>
      <c r="BE322" s="439"/>
      <c r="BF322" s="389"/>
      <c r="BG322" s="521"/>
      <c r="BH322" s="374" t="e">
        <f t="shared" si="155"/>
        <v>#DIV/0!</v>
      </c>
      <c r="BI322" s="402" t="e">
        <f t="shared" si="156"/>
        <v>#DIV/0!</v>
      </c>
    </row>
    <row r="323" spans="1:61" s="359" customFormat="1" ht="19.2" x14ac:dyDescent="0.3">
      <c r="A323" s="360" t="s">
        <v>179</v>
      </c>
      <c r="B323" s="569" t="s">
        <v>568</v>
      </c>
      <c r="C323" s="429" t="s">
        <v>480</v>
      </c>
      <c r="D323" s="361">
        <v>6</v>
      </c>
      <c r="E323" s="408"/>
      <c r="F323" s="404"/>
      <c r="G323" s="404"/>
      <c r="H323" s="414"/>
      <c r="I323" s="401"/>
      <c r="J323" s="401"/>
      <c r="K323" s="401"/>
      <c r="L323" s="401"/>
      <c r="M323" s="401"/>
      <c r="N323" s="401"/>
      <c r="O323" s="401"/>
      <c r="P323" s="401"/>
      <c r="Q323" s="401"/>
      <c r="R323" s="389"/>
      <c r="S323" s="389"/>
      <c r="T323" s="389"/>
      <c r="U323" s="521"/>
      <c r="V323" s="374"/>
      <c r="W323" s="402" t="e">
        <v>#DIV/0!</v>
      </c>
      <c r="X323" s="408">
        <v>134</v>
      </c>
      <c r="Y323" s="575">
        <v>426.25</v>
      </c>
      <c r="Z323" s="576">
        <v>426.25</v>
      </c>
      <c r="AA323" s="546">
        <v>486.32351999999997</v>
      </c>
      <c r="AB323" s="401">
        <v>349.64792</v>
      </c>
      <c r="AC323" s="401">
        <v>240.44399999999999</v>
      </c>
      <c r="AD323" s="401">
        <f>10.27355+11.27142</f>
        <v>21.544969999999999</v>
      </c>
      <c r="AE323" s="401">
        <v>53.424030000000002</v>
      </c>
      <c r="AF323" s="401">
        <v>0</v>
      </c>
      <c r="AG323" s="401">
        <v>0</v>
      </c>
      <c r="AH323" s="401">
        <v>36.423650000000002</v>
      </c>
      <c r="AI323" s="401">
        <v>601.11</v>
      </c>
      <c r="AJ323" s="401">
        <v>3.7571400000000001</v>
      </c>
      <c r="AK323" s="385" t="s">
        <v>167</v>
      </c>
      <c r="AL323" s="439" t="s">
        <v>175</v>
      </c>
      <c r="AM323" s="510"/>
      <c r="AN323" s="521">
        <v>405</v>
      </c>
      <c r="AO323" s="374">
        <f>AA323/X323*1000</f>
        <v>3629.2799999999997</v>
      </c>
      <c r="AP323" s="402">
        <f>AA323/Y323</f>
        <v>1.1409349442815249</v>
      </c>
      <c r="AQ323" s="599"/>
      <c r="AR323" s="576"/>
      <c r="AS323" s="576"/>
      <c r="AT323" s="546"/>
      <c r="AU323" s="401"/>
      <c r="AV323" s="401"/>
      <c r="AW323" s="401"/>
      <c r="AX323" s="401"/>
      <c r="AY323" s="401"/>
      <c r="AZ323" s="401"/>
      <c r="BA323" s="401"/>
      <c r="BB323" s="401"/>
      <c r="BC323" s="401"/>
      <c r="BD323" s="385"/>
      <c r="BE323" s="439"/>
      <c r="BF323" s="510"/>
      <c r="BG323" s="521"/>
      <c r="BH323" s="374" t="e">
        <f t="shared" si="155"/>
        <v>#DIV/0!</v>
      </c>
      <c r="BI323" s="402" t="e">
        <f t="shared" si="156"/>
        <v>#DIV/0!</v>
      </c>
    </row>
    <row r="324" spans="1:61" s="359" customFormat="1" ht="19.2" x14ac:dyDescent="0.3">
      <c r="A324" s="360" t="s">
        <v>179</v>
      </c>
      <c r="B324" s="579" t="s">
        <v>1104</v>
      </c>
      <c r="C324" s="435" t="s">
        <v>673</v>
      </c>
      <c r="D324" s="361">
        <v>6</v>
      </c>
      <c r="E324" s="408"/>
      <c r="F324" s="404"/>
      <c r="G324" s="404"/>
      <c r="H324" s="414"/>
      <c r="I324" s="401"/>
      <c r="J324" s="401"/>
      <c r="K324" s="401"/>
      <c r="L324" s="401"/>
      <c r="M324" s="401"/>
      <c r="N324" s="401"/>
      <c r="O324" s="401"/>
      <c r="P324" s="401"/>
      <c r="Q324" s="401"/>
      <c r="R324" s="389"/>
      <c r="S324" s="389"/>
      <c r="T324" s="389"/>
      <c r="U324" s="521"/>
      <c r="V324" s="374"/>
      <c r="W324" s="402"/>
      <c r="X324" s="408"/>
      <c r="Y324" s="575"/>
      <c r="Z324" s="576"/>
      <c r="AA324" s="546"/>
      <c r="AB324" s="401"/>
      <c r="AC324" s="401"/>
      <c r="AD324" s="401"/>
      <c r="AE324" s="401"/>
      <c r="AF324" s="401"/>
      <c r="AG324" s="401"/>
      <c r="AH324" s="401"/>
      <c r="AI324" s="401"/>
      <c r="AJ324" s="401"/>
      <c r="AK324" s="385"/>
      <c r="AL324" s="439"/>
      <c r="AM324" s="510"/>
      <c r="AN324" s="521"/>
      <c r="AO324" s="374"/>
      <c r="AP324" s="402"/>
      <c r="AQ324" s="599">
        <v>120</v>
      </c>
      <c r="AR324" s="587">
        <v>60</v>
      </c>
      <c r="AS324" s="587">
        <v>60</v>
      </c>
      <c r="AT324" s="593">
        <v>145.74942999999999</v>
      </c>
      <c r="AU324" s="401">
        <v>110.92854</v>
      </c>
      <c r="AV324" s="401">
        <v>86.938800000000001</v>
      </c>
      <c r="AW324" s="401">
        <v>19.879079999999998</v>
      </c>
      <c r="AX324" s="401">
        <v>4.8180500000000004</v>
      </c>
      <c r="AY324" s="401">
        <v>0</v>
      </c>
      <c r="AZ324" s="401">
        <v>0</v>
      </c>
      <c r="BA324" s="401">
        <v>11.371740000000001</v>
      </c>
      <c r="BB324" s="401">
        <v>724.49</v>
      </c>
      <c r="BC324" s="401">
        <v>4.9697699999999996</v>
      </c>
      <c r="BD324" s="385" t="s">
        <v>167</v>
      </c>
      <c r="BE324" s="439" t="s">
        <v>175</v>
      </c>
      <c r="BF324" s="510"/>
      <c r="BG324" s="521">
        <v>398</v>
      </c>
      <c r="BH324" s="374">
        <f t="shared" ref="BH324:BH325" si="160">AT324/AQ324*1000</f>
        <v>1214.5785833333334</v>
      </c>
      <c r="BI324" s="402">
        <f t="shared" ref="BI324:BI325" si="161">AT324/AR324</f>
        <v>2.4291571666666667</v>
      </c>
    </row>
    <row r="325" spans="1:61" s="359" customFormat="1" x14ac:dyDescent="0.3">
      <c r="A325" s="360"/>
      <c r="B325" s="388"/>
      <c r="C325" s="429"/>
      <c r="D325" s="361">
        <v>6</v>
      </c>
      <c r="E325" s="408"/>
      <c r="F325" s="404"/>
      <c r="G325" s="404"/>
      <c r="H325" s="414"/>
      <c r="I325" s="401"/>
      <c r="J325" s="401"/>
      <c r="K325" s="401"/>
      <c r="L325" s="401"/>
      <c r="M325" s="401"/>
      <c r="N325" s="401"/>
      <c r="O325" s="401"/>
      <c r="P325" s="401"/>
      <c r="Q325" s="401"/>
      <c r="R325" s="389"/>
      <c r="S325" s="389"/>
      <c r="T325" s="389"/>
      <c r="U325" s="521"/>
      <c r="V325" s="374"/>
      <c r="W325" s="402"/>
      <c r="X325" s="408"/>
      <c r="Y325" s="575"/>
      <c r="Z325" s="576"/>
      <c r="AA325" s="414"/>
      <c r="AB325" s="401"/>
      <c r="AC325" s="401"/>
      <c r="AD325" s="401"/>
      <c r="AE325" s="401"/>
      <c r="AF325" s="401"/>
      <c r="AG325" s="401"/>
      <c r="AH325" s="401"/>
      <c r="AI325" s="401"/>
      <c r="AJ325" s="401"/>
      <c r="AK325" s="385"/>
      <c r="AL325" s="439"/>
      <c r="AM325" s="510"/>
      <c r="AN325" s="521"/>
      <c r="AO325" s="374"/>
      <c r="AP325" s="402"/>
      <c r="AQ325" s="599"/>
      <c r="AR325" s="576"/>
      <c r="AS325" s="576"/>
      <c r="AT325" s="414"/>
      <c r="AU325" s="401"/>
      <c r="AV325" s="401"/>
      <c r="AW325" s="401"/>
      <c r="AX325" s="401"/>
      <c r="AY325" s="401"/>
      <c r="AZ325" s="401"/>
      <c r="BA325" s="401"/>
      <c r="BB325" s="401"/>
      <c r="BC325" s="401"/>
      <c r="BD325" s="385"/>
      <c r="BE325" s="439"/>
      <c r="BF325" s="510"/>
      <c r="BG325" s="521"/>
      <c r="BH325" s="374" t="e">
        <f t="shared" si="160"/>
        <v>#DIV/0!</v>
      </c>
      <c r="BI325" s="402" t="e">
        <f t="shared" si="161"/>
        <v>#DIV/0!</v>
      </c>
    </row>
    <row r="326" spans="1:61" s="359" customFormat="1" x14ac:dyDescent="0.3">
      <c r="A326" s="360"/>
      <c r="B326" s="382"/>
      <c r="C326" s="429"/>
      <c r="D326" s="361"/>
      <c r="E326" s="408"/>
      <c r="F326" s="404"/>
      <c r="G326" s="400"/>
      <c r="H326" s="414"/>
      <c r="I326" s="401"/>
      <c r="J326" s="401"/>
      <c r="K326" s="401"/>
      <c r="L326" s="401"/>
      <c r="M326" s="401"/>
      <c r="N326" s="401"/>
      <c r="O326" s="401"/>
      <c r="P326" s="401"/>
      <c r="Q326" s="401"/>
      <c r="R326" s="389"/>
      <c r="S326" s="389"/>
      <c r="T326" s="389"/>
      <c r="U326" s="521"/>
      <c r="V326" s="374" t="e">
        <f>H326/E326*1000</f>
        <v>#DIV/0!</v>
      </c>
      <c r="W326" s="402" t="e">
        <f>H326/F326</f>
        <v>#DIV/0!</v>
      </c>
      <c r="X326" s="408"/>
      <c r="Y326" s="404"/>
      <c r="Z326" s="400"/>
      <c r="AA326" s="414"/>
      <c r="AB326" s="401"/>
      <c r="AC326" s="401"/>
      <c r="AD326" s="401"/>
      <c r="AE326" s="401"/>
      <c r="AF326" s="401"/>
      <c r="AG326" s="401"/>
      <c r="AH326" s="401"/>
      <c r="AI326" s="401"/>
      <c r="AJ326" s="401"/>
      <c r="AK326" s="389"/>
      <c r="AL326" s="389"/>
      <c r="AM326" s="389"/>
      <c r="AN326" s="521"/>
      <c r="AO326" s="374" t="e">
        <f>AA326/X326*1000</f>
        <v>#DIV/0!</v>
      </c>
      <c r="AP326" s="402" t="e">
        <f>AA326/Y326</f>
        <v>#DIV/0!</v>
      </c>
      <c r="AQ326" s="599"/>
      <c r="AR326" s="587"/>
      <c r="AS326" s="400"/>
      <c r="AT326" s="414"/>
      <c r="AU326" s="401"/>
      <c r="AV326" s="401"/>
      <c r="AW326" s="401"/>
      <c r="AX326" s="401"/>
      <c r="AY326" s="401"/>
      <c r="AZ326" s="401"/>
      <c r="BA326" s="401"/>
      <c r="BB326" s="401"/>
      <c r="BC326" s="401"/>
      <c r="BD326" s="389"/>
      <c r="BE326" s="389"/>
      <c r="BF326" s="389"/>
      <c r="BG326" s="521"/>
      <c r="BH326" s="374" t="e">
        <f t="shared" si="155"/>
        <v>#DIV/0!</v>
      </c>
      <c r="BI326" s="402" t="e">
        <f t="shared" si="156"/>
        <v>#DIV/0!</v>
      </c>
    </row>
    <row r="327" spans="1:61" s="359" customFormat="1" ht="24.75" customHeight="1" x14ac:dyDescent="0.3">
      <c r="A327" s="355" t="s">
        <v>187</v>
      </c>
      <c r="B327" s="356" t="s">
        <v>204</v>
      </c>
      <c r="C327" s="432"/>
      <c r="D327" s="357">
        <v>6</v>
      </c>
      <c r="E327" s="396">
        <f t="shared" ref="E327:Q327" si="162">SUM(E328:E335)</f>
        <v>390</v>
      </c>
      <c r="F327" s="396">
        <f t="shared" si="162"/>
        <v>385</v>
      </c>
      <c r="G327" s="396">
        <f t="shared" si="162"/>
        <v>385</v>
      </c>
      <c r="H327" s="397">
        <f t="shared" si="162"/>
        <v>315.404</v>
      </c>
      <c r="I327" s="397">
        <f t="shared" si="162"/>
        <v>270.01</v>
      </c>
      <c r="J327" s="397">
        <f t="shared" si="162"/>
        <v>242.8998</v>
      </c>
      <c r="K327" s="397">
        <f t="shared" si="162"/>
        <v>16.925000000000001</v>
      </c>
      <c r="L327" s="397">
        <f t="shared" si="162"/>
        <v>7.1349999999999998</v>
      </c>
      <c r="M327" s="397">
        <f t="shared" si="162"/>
        <v>0</v>
      </c>
      <c r="N327" s="397">
        <f t="shared" si="162"/>
        <v>0</v>
      </c>
      <c r="O327" s="397">
        <f t="shared" si="162"/>
        <v>13.291</v>
      </c>
      <c r="P327" s="397">
        <f t="shared" si="162"/>
        <v>622.82000000000005</v>
      </c>
      <c r="Q327" s="397">
        <f t="shared" si="162"/>
        <v>107.16</v>
      </c>
      <c r="R327" s="398"/>
      <c r="S327" s="398"/>
      <c r="T327" s="398"/>
      <c r="U327" s="520"/>
      <c r="V327" s="373">
        <f>H327/E327*1000</f>
        <v>808.7282051282051</v>
      </c>
      <c r="W327" s="399">
        <f>H327/F327</f>
        <v>0.81923116883116887</v>
      </c>
      <c r="X327" s="396">
        <f t="shared" ref="X327:AJ327" si="163">SUM(X328:X335)</f>
        <v>283</v>
      </c>
      <c r="Y327" s="396">
        <f t="shared" si="163"/>
        <v>825</v>
      </c>
      <c r="Z327" s="396">
        <f t="shared" si="163"/>
        <v>825</v>
      </c>
      <c r="AA327" s="397">
        <f t="shared" si="163"/>
        <v>836.00260000000003</v>
      </c>
      <c r="AB327" s="397">
        <f t="shared" si="163"/>
        <v>652.28610000000003</v>
      </c>
      <c r="AC327" s="397">
        <f t="shared" si="163"/>
        <v>545.78950000000009</v>
      </c>
      <c r="AD327" s="397">
        <f t="shared" si="163"/>
        <v>47.740299999999998</v>
      </c>
      <c r="AE327" s="397">
        <f t="shared" si="163"/>
        <v>34.166899999999998</v>
      </c>
      <c r="AF327" s="397">
        <f t="shared" si="163"/>
        <v>0</v>
      </c>
      <c r="AG327" s="397">
        <f t="shared" si="163"/>
        <v>0</v>
      </c>
      <c r="AH327" s="397">
        <f t="shared" si="163"/>
        <v>55.423609999999996</v>
      </c>
      <c r="AI327" s="397">
        <f t="shared" si="163"/>
        <v>1905.2900000000002</v>
      </c>
      <c r="AJ327" s="397">
        <f t="shared" si="163"/>
        <v>37.196110000000004</v>
      </c>
      <c r="AK327" s="398"/>
      <c r="AL327" s="398"/>
      <c r="AM327" s="398"/>
      <c r="AN327" s="520"/>
      <c r="AO327" s="373">
        <f>AA327/X327*1000</f>
        <v>2954.0727915194348</v>
      </c>
      <c r="AP327" s="399">
        <f>AA327/Y327</f>
        <v>1.0133364848484849</v>
      </c>
      <c r="AQ327" s="396">
        <f t="shared" ref="AQ327:BC327" si="164">SUM(AQ328:AQ335)</f>
        <v>861</v>
      </c>
      <c r="AR327" s="396">
        <f t="shared" si="164"/>
        <v>1220</v>
      </c>
      <c r="AS327" s="396">
        <f t="shared" si="164"/>
        <v>1220</v>
      </c>
      <c r="AT327" s="397">
        <f t="shared" si="164"/>
        <v>961.50576999999998</v>
      </c>
      <c r="AU327" s="397">
        <f t="shared" si="164"/>
        <v>749.42563999999993</v>
      </c>
      <c r="AV327" s="397">
        <f t="shared" si="164"/>
        <v>619.85663</v>
      </c>
      <c r="AW327" s="397">
        <f t="shared" si="164"/>
        <v>34.508189999999999</v>
      </c>
      <c r="AX327" s="397">
        <f t="shared" si="164"/>
        <v>35.69688</v>
      </c>
      <c r="AY327" s="397">
        <f t="shared" si="164"/>
        <v>20</v>
      </c>
      <c r="AZ327" s="397">
        <f t="shared" si="164"/>
        <v>0</v>
      </c>
      <c r="BA327" s="397">
        <f t="shared" si="164"/>
        <v>52.068130000000004</v>
      </c>
      <c r="BB327" s="397">
        <f t="shared" si="164"/>
        <v>1513.56</v>
      </c>
      <c r="BC327" s="397">
        <f t="shared" si="164"/>
        <v>13.103400000000001</v>
      </c>
      <c r="BD327" s="398"/>
      <c r="BE327" s="398"/>
      <c r="BF327" s="398"/>
      <c r="BG327" s="520"/>
      <c r="BH327" s="373">
        <f t="shared" si="155"/>
        <v>1116.7314401858305</v>
      </c>
      <c r="BI327" s="399">
        <f t="shared" si="156"/>
        <v>0.78811948360655737</v>
      </c>
    </row>
    <row r="328" spans="1:61" s="359" customFormat="1" ht="19.2" x14ac:dyDescent="0.3">
      <c r="A328" s="360" t="s">
        <v>179</v>
      </c>
      <c r="B328" s="513" t="s">
        <v>388</v>
      </c>
      <c r="C328" s="433" t="s">
        <v>389</v>
      </c>
      <c r="D328" s="361">
        <v>6</v>
      </c>
      <c r="E328" s="412">
        <v>390</v>
      </c>
      <c r="F328" s="409">
        <v>385</v>
      </c>
      <c r="G328" s="400">
        <v>385</v>
      </c>
      <c r="H328" s="427">
        <v>315.404</v>
      </c>
      <c r="I328" s="401">
        <v>270.01</v>
      </c>
      <c r="J328" s="401">
        <v>242.8998</v>
      </c>
      <c r="K328" s="401">
        <v>16.925000000000001</v>
      </c>
      <c r="L328" s="401">
        <v>7.1349999999999998</v>
      </c>
      <c r="M328" s="401">
        <v>0</v>
      </c>
      <c r="N328" s="401">
        <v>0</v>
      </c>
      <c r="O328" s="401">
        <v>13.291</v>
      </c>
      <c r="P328" s="401">
        <v>622.82000000000005</v>
      </c>
      <c r="Q328" s="401">
        <v>107.16</v>
      </c>
      <c r="R328" s="385" t="s">
        <v>167</v>
      </c>
      <c r="S328" s="439" t="s">
        <v>175</v>
      </c>
      <c r="T328" s="389"/>
      <c r="U328" s="521">
        <v>320</v>
      </c>
      <c r="V328" s="402">
        <f>H328/E328*1000</f>
        <v>808.7282051282051</v>
      </c>
      <c r="W328" s="402">
        <f>H328/F328</f>
        <v>0.81923116883116887</v>
      </c>
      <c r="X328" s="412"/>
      <c r="Y328" s="409"/>
      <c r="Z328" s="400"/>
      <c r="AA328" s="427"/>
      <c r="AB328" s="401"/>
      <c r="AC328" s="401"/>
      <c r="AD328" s="401"/>
      <c r="AE328" s="401"/>
      <c r="AF328" s="401"/>
      <c r="AG328" s="401"/>
      <c r="AH328" s="401"/>
      <c r="AI328" s="401"/>
      <c r="AJ328" s="401"/>
      <c r="AK328" s="385"/>
      <c r="AL328" s="439"/>
      <c r="AM328" s="389"/>
      <c r="AN328" s="521"/>
      <c r="AO328" s="402" t="e">
        <f>AA328/X328*1000</f>
        <v>#DIV/0!</v>
      </c>
      <c r="AP328" s="402" t="e">
        <f>AA328/Y328</f>
        <v>#DIV/0!</v>
      </c>
      <c r="AQ328" s="600"/>
      <c r="AR328" s="601"/>
      <c r="AS328" s="400"/>
      <c r="AT328" s="427"/>
      <c r="AU328" s="401"/>
      <c r="AV328" s="401"/>
      <c r="AW328" s="401"/>
      <c r="AX328" s="401"/>
      <c r="AY328" s="401"/>
      <c r="AZ328" s="401"/>
      <c r="BA328" s="401"/>
      <c r="BB328" s="401"/>
      <c r="BC328" s="401"/>
      <c r="BD328" s="385"/>
      <c r="BE328" s="439"/>
      <c r="BF328" s="389"/>
      <c r="BG328" s="521"/>
      <c r="BH328" s="402" t="e">
        <f t="shared" si="155"/>
        <v>#DIV/0!</v>
      </c>
      <c r="BI328" s="402" t="e">
        <f t="shared" si="156"/>
        <v>#DIV/0!</v>
      </c>
    </row>
    <row r="329" spans="1:61" s="359" customFormat="1" ht="19.2" x14ac:dyDescent="0.3">
      <c r="A329" s="360" t="s">
        <v>179</v>
      </c>
      <c r="B329" s="543" t="s">
        <v>561</v>
      </c>
      <c r="C329" s="429" t="s">
        <v>424</v>
      </c>
      <c r="D329" s="361">
        <v>6</v>
      </c>
      <c r="E329" s="408"/>
      <c r="F329" s="404"/>
      <c r="G329" s="400"/>
      <c r="H329" s="414"/>
      <c r="I329" s="401"/>
      <c r="J329" s="401"/>
      <c r="K329" s="401"/>
      <c r="L329" s="401"/>
      <c r="M329" s="401"/>
      <c r="N329" s="401"/>
      <c r="O329" s="401"/>
      <c r="P329" s="401"/>
      <c r="Q329" s="401"/>
      <c r="R329" s="389"/>
      <c r="S329" s="389"/>
      <c r="T329" s="389"/>
      <c r="U329" s="521"/>
      <c r="V329" s="374" t="e">
        <f>H329/E329*1000</f>
        <v>#DIV/0!</v>
      </c>
      <c r="W329" s="402" t="e">
        <f>H329/F329</f>
        <v>#DIV/0!</v>
      </c>
      <c r="X329" s="408">
        <v>20</v>
      </c>
      <c r="Y329" s="404">
        <v>255</v>
      </c>
      <c r="Z329" s="400">
        <v>255</v>
      </c>
      <c r="AA329" s="546">
        <f>56.29551+4.20728</f>
        <v>60.502789999999997</v>
      </c>
      <c r="AB329" s="401">
        <v>40.348529999999997</v>
      </c>
      <c r="AC329" s="401">
        <v>31.140999999999998</v>
      </c>
      <c r="AD329" s="401">
        <v>7.8900800000000002</v>
      </c>
      <c r="AE329" s="401">
        <v>3.6507900000000002</v>
      </c>
      <c r="AF329" s="401">
        <v>0</v>
      </c>
      <c r="AG329" s="401">
        <v>0</v>
      </c>
      <c r="AH329" s="401">
        <f>4.86187+1.18046</f>
        <v>6.0423299999999998</v>
      </c>
      <c r="AI329" s="401">
        <v>622.82000000000005</v>
      </c>
      <c r="AJ329" s="401">
        <v>1.9725200000000001</v>
      </c>
      <c r="AK329" s="385" t="s">
        <v>167</v>
      </c>
      <c r="AL329" s="439" t="s">
        <v>175</v>
      </c>
      <c r="AM329" s="389"/>
      <c r="AN329" s="521">
        <v>126</v>
      </c>
      <c r="AO329" s="374">
        <f>AA329/X329*1000</f>
        <v>3025.1394999999998</v>
      </c>
      <c r="AP329" s="402">
        <f>AA329/Y329</f>
        <v>0.23726584313725488</v>
      </c>
      <c r="AQ329" s="599"/>
      <c r="AR329" s="587"/>
      <c r="AS329" s="400"/>
      <c r="AT329" s="546"/>
      <c r="AU329" s="401"/>
      <c r="AV329" s="401"/>
      <c r="AW329" s="401"/>
      <c r="AX329" s="401"/>
      <c r="AY329" s="401"/>
      <c r="AZ329" s="401"/>
      <c r="BA329" s="401"/>
      <c r="BB329" s="401"/>
      <c r="BC329" s="401"/>
      <c r="BD329" s="385"/>
      <c r="BE329" s="439"/>
      <c r="BF329" s="389"/>
      <c r="BG329" s="521"/>
      <c r="BH329" s="374" t="e">
        <f t="shared" si="155"/>
        <v>#DIV/0!</v>
      </c>
      <c r="BI329" s="402" t="e">
        <f t="shared" si="156"/>
        <v>#DIV/0!</v>
      </c>
    </row>
    <row r="330" spans="1:61" s="359" customFormat="1" ht="19.2" x14ac:dyDescent="0.3">
      <c r="A330" s="360" t="s">
        <v>183</v>
      </c>
      <c r="B330" s="543" t="s">
        <v>564</v>
      </c>
      <c r="C330" s="429" t="s">
        <v>490</v>
      </c>
      <c r="D330" s="361">
        <v>6</v>
      </c>
      <c r="E330" s="408"/>
      <c r="F330" s="404"/>
      <c r="G330" s="400"/>
      <c r="H330" s="414"/>
      <c r="I330" s="401"/>
      <c r="J330" s="401"/>
      <c r="K330" s="401"/>
      <c r="L330" s="401"/>
      <c r="M330" s="401"/>
      <c r="N330" s="401"/>
      <c r="O330" s="401"/>
      <c r="P330" s="401"/>
      <c r="Q330" s="401"/>
      <c r="R330" s="389"/>
      <c r="S330" s="389"/>
      <c r="T330" s="389"/>
      <c r="U330" s="521"/>
      <c r="V330" s="374" t="e">
        <f>H330/E330*1000</f>
        <v>#DIV/0!</v>
      </c>
      <c r="W330" s="402" t="e">
        <f>H330/F330</f>
        <v>#DIV/0!</v>
      </c>
      <c r="X330" s="408">
        <v>138</v>
      </c>
      <c r="Y330" s="404">
        <v>370</v>
      </c>
      <c r="Z330" s="400">
        <v>370</v>
      </c>
      <c r="AA330" s="546">
        <v>539.88207999999997</v>
      </c>
      <c r="AB330" s="401">
        <v>422.39042000000001</v>
      </c>
      <c r="AC330" s="401">
        <v>355.7235</v>
      </c>
      <c r="AD330" s="401">
        <f>12.3282+18.26876</f>
        <v>30.596960000000003</v>
      </c>
      <c r="AE330" s="401">
        <v>19.086559999999999</v>
      </c>
      <c r="AF330" s="401">
        <v>0</v>
      </c>
      <c r="AG330" s="401">
        <v>0</v>
      </c>
      <c r="AH330" s="401">
        <v>37.269629999999999</v>
      </c>
      <c r="AI330" s="401">
        <v>646.77</v>
      </c>
      <c r="AJ330" s="401">
        <f>12.3282+18.26876</f>
        <v>30.596960000000003</v>
      </c>
      <c r="AK330" s="385" t="s">
        <v>167</v>
      </c>
      <c r="AL330" s="439" t="s">
        <v>175</v>
      </c>
      <c r="AM330" s="389"/>
      <c r="AN330" s="521">
        <v>487</v>
      </c>
      <c r="AO330" s="374">
        <f>AA330/X330*1000</f>
        <v>3912.1889855072459</v>
      </c>
      <c r="AP330" s="402">
        <f>AA330/Y330</f>
        <v>1.4591407567567567</v>
      </c>
      <c r="AQ330" s="599"/>
      <c r="AR330" s="587"/>
      <c r="AS330" s="400"/>
      <c r="AT330" s="546"/>
      <c r="AU330" s="401"/>
      <c r="AV330" s="401"/>
      <c r="AW330" s="401"/>
      <c r="AX330" s="401"/>
      <c r="AY330" s="401"/>
      <c r="AZ330" s="401"/>
      <c r="BA330" s="401"/>
      <c r="BB330" s="401"/>
      <c r="BC330" s="401"/>
      <c r="BD330" s="385"/>
      <c r="BE330" s="439"/>
      <c r="BF330" s="389"/>
      <c r="BG330" s="521"/>
      <c r="BH330" s="374" t="e">
        <f t="shared" si="155"/>
        <v>#DIV/0!</v>
      </c>
      <c r="BI330" s="402" t="e">
        <f t="shared" si="156"/>
        <v>#DIV/0!</v>
      </c>
    </row>
    <row r="331" spans="1:61" s="359" customFormat="1" ht="19.2" x14ac:dyDescent="0.3">
      <c r="A331" s="360" t="s">
        <v>185</v>
      </c>
      <c r="B331" s="543" t="s">
        <v>557</v>
      </c>
      <c r="C331" s="435" t="s">
        <v>467</v>
      </c>
      <c r="D331" s="361">
        <v>6</v>
      </c>
      <c r="E331" s="405"/>
      <c r="F331" s="405"/>
      <c r="G331" s="405"/>
      <c r="H331" s="415"/>
      <c r="I331" s="401"/>
      <c r="J331" s="401"/>
      <c r="K331" s="401"/>
      <c r="L331" s="401"/>
      <c r="M331" s="401"/>
      <c r="N331" s="401"/>
      <c r="O331" s="401"/>
      <c r="P331" s="401"/>
      <c r="Q331" s="401"/>
      <c r="R331" s="389"/>
      <c r="S331" s="389"/>
      <c r="T331" s="389"/>
      <c r="U331" s="521"/>
      <c r="V331" s="402"/>
      <c r="W331" s="402"/>
      <c r="X331" s="403">
        <v>125</v>
      </c>
      <c r="Y331" s="404">
        <v>200</v>
      </c>
      <c r="Z331" s="400">
        <v>200</v>
      </c>
      <c r="AA331" s="574">
        <v>235.61772999999999</v>
      </c>
      <c r="AB331" s="401">
        <v>189.54714999999999</v>
      </c>
      <c r="AC331" s="401">
        <v>158.92500000000001</v>
      </c>
      <c r="AD331" s="401">
        <v>9.2532599999999992</v>
      </c>
      <c r="AE331" s="401">
        <v>11.429550000000001</v>
      </c>
      <c r="AF331" s="401">
        <v>0</v>
      </c>
      <c r="AG331" s="401">
        <v>0</v>
      </c>
      <c r="AH331" s="401">
        <v>12.111649999999999</v>
      </c>
      <c r="AI331" s="401">
        <v>635.70000000000005</v>
      </c>
      <c r="AJ331" s="401">
        <v>4.6266299999999996</v>
      </c>
      <c r="AK331" s="385" t="s">
        <v>167</v>
      </c>
      <c r="AL331" s="439" t="s">
        <v>175</v>
      </c>
      <c r="AM331" s="510"/>
      <c r="AN331" s="521">
        <v>333</v>
      </c>
      <c r="AO331" s="402"/>
      <c r="AP331" s="402"/>
      <c r="AQ331" s="595"/>
      <c r="AR331" s="587"/>
      <c r="AS331" s="400"/>
      <c r="AT331" s="574"/>
      <c r="AU331" s="401"/>
      <c r="AV331" s="401"/>
      <c r="AW331" s="401"/>
      <c r="AX331" s="401"/>
      <c r="AY331" s="401"/>
      <c r="AZ331" s="401"/>
      <c r="BA331" s="401"/>
      <c r="BB331" s="401"/>
      <c r="BC331" s="401"/>
      <c r="BD331" s="385"/>
      <c r="BE331" s="439"/>
      <c r="BF331" s="510"/>
      <c r="BG331" s="521"/>
      <c r="BH331" s="374" t="e">
        <f t="shared" si="155"/>
        <v>#DIV/0!</v>
      </c>
      <c r="BI331" s="402" t="e">
        <f t="shared" si="156"/>
        <v>#DIV/0!</v>
      </c>
    </row>
    <row r="332" spans="1:61" s="359" customFormat="1" ht="19.2" x14ac:dyDescent="0.3">
      <c r="A332" s="360" t="s">
        <v>179</v>
      </c>
      <c r="B332" s="579" t="s">
        <v>253</v>
      </c>
      <c r="C332" s="435" t="s">
        <v>644</v>
      </c>
      <c r="D332" s="361">
        <v>6</v>
      </c>
      <c r="E332" s="405"/>
      <c r="F332" s="405"/>
      <c r="G332" s="405"/>
      <c r="H332" s="415"/>
      <c r="I332" s="401"/>
      <c r="J332" s="401"/>
      <c r="K332" s="401"/>
      <c r="L332" s="401"/>
      <c r="M332" s="401"/>
      <c r="N332" s="401"/>
      <c r="O332" s="401"/>
      <c r="P332" s="401"/>
      <c r="Q332" s="401"/>
      <c r="R332" s="389"/>
      <c r="S332" s="389"/>
      <c r="T332" s="389"/>
      <c r="U332" s="521"/>
      <c r="V332" s="402"/>
      <c r="W332" s="402"/>
      <c r="X332" s="403"/>
      <c r="Y332" s="404"/>
      <c r="Z332" s="400"/>
      <c r="AA332" s="415"/>
      <c r="AB332" s="401"/>
      <c r="AC332" s="401"/>
      <c r="AD332" s="401"/>
      <c r="AE332" s="401"/>
      <c r="AF332" s="401"/>
      <c r="AG332" s="401"/>
      <c r="AH332" s="401"/>
      <c r="AI332" s="401"/>
      <c r="AJ332" s="401"/>
      <c r="AK332" s="385"/>
      <c r="AL332" s="439"/>
      <c r="AM332" s="510"/>
      <c r="AN332" s="521"/>
      <c r="AO332" s="402"/>
      <c r="AP332" s="402"/>
      <c r="AQ332" s="595">
        <v>562</v>
      </c>
      <c r="AR332" s="587">
        <v>800</v>
      </c>
      <c r="AS332" s="400">
        <v>800</v>
      </c>
      <c r="AT332" s="581">
        <v>604.22256000000004</v>
      </c>
      <c r="AU332" s="401">
        <v>460.09658999999999</v>
      </c>
      <c r="AV332" s="401">
        <v>357.50506000000001</v>
      </c>
      <c r="AW332" s="401">
        <f>14.3829+9.13438</f>
        <v>23.51728</v>
      </c>
      <c r="AX332" s="401">
        <v>17.60012</v>
      </c>
      <c r="AY332" s="401">
        <v>20</v>
      </c>
      <c r="AZ332" s="401">
        <v>0</v>
      </c>
      <c r="BA332" s="401">
        <v>39.907850000000003</v>
      </c>
      <c r="BB332" s="401">
        <v>636.13</v>
      </c>
      <c r="BC332" s="401">
        <v>4.5671900000000001</v>
      </c>
      <c r="BD332" s="385" t="s">
        <v>167</v>
      </c>
      <c r="BE332" s="439" t="s">
        <v>175</v>
      </c>
      <c r="BF332" s="510"/>
      <c r="BG332" s="521">
        <v>569</v>
      </c>
      <c r="BH332" s="374">
        <f t="shared" si="155"/>
        <v>1075.1291103202848</v>
      </c>
      <c r="BI332" s="402">
        <f t="shared" si="156"/>
        <v>0.75527820000000001</v>
      </c>
    </row>
    <row r="333" spans="1:61" s="359" customFormat="1" ht="19.2" x14ac:dyDescent="0.3">
      <c r="A333" s="360" t="s">
        <v>183</v>
      </c>
      <c r="B333" s="579" t="s">
        <v>795</v>
      </c>
      <c r="C333" s="435" t="s">
        <v>686</v>
      </c>
      <c r="D333" s="361">
        <v>6</v>
      </c>
      <c r="E333" s="405"/>
      <c r="F333" s="405"/>
      <c r="G333" s="405"/>
      <c r="H333" s="415"/>
      <c r="I333" s="401"/>
      <c r="J333" s="401"/>
      <c r="K333" s="401"/>
      <c r="L333" s="401"/>
      <c r="M333" s="401"/>
      <c r="N333" s="401"/>
      <c r="O333" s="401"/>
      <c r="P333" s="401"/>
      <c r="Q333" s="401"/>
      <c r="R333" s="389"/>
      <c r="S333" s="389"/>
      <c r="T333" s="389"/>
      <c r="U333" s="521"/>
      <c r="V333" s="402"/>
      <c r="W333" s="402"/>
      <c r="X333" s="403"/>
      <c r="Y333" s="404"/>
      <c r="Z333" s="400"/>
      <c r="AA333" s="415"/>
      <c r="AB333" s="401"/>
      <c r="AC333" s="401"/>
      <c r="AD333" s="401"/>
      <c r="AE333" s="401"/>
      <c r="AF333" s="401"/>
      <c r="AG333" s="401"/>
      <c r="AH333" s="401"/>
      <c r="AI333" s="401"/>
      <c r="AJ333" s="401"/>
      <c r="AK333" s="385"/>
      <c r="AL333" s="439"/>
      <c r="AM333" s="510"/>
      <c r="AN333" s="521"/>
      <c r="AO333" s="402"/>
      <c r="AP333" s="402"/>
      <c r="AQ333" s="595">
        <v>299</v>
      </c>
      <c r="AR333" s="587">
        <v>420</v>
      </c>
      <c r="AS333" s="400">
        <v>420</v>
      </c>
      <c r="AT333" s="581">
        <v>357.28321</v>
      </c>
      <c r="AU333" s="401">
        <v>289.32905</v>
      </c>
      <c r="AV333" s="401">
        <v>262.35156999999998</v>
      </c>
      <c r="AW333" s="401">
        <f>4.9094+6.08151</f>
        <v>10.99091</v>
      </c>
      <c r="AX333" s="401">
        <v>18.09676</v>
      </c>
      <c r="AY333" s="401">
        <v>0</v>
      </c>
      <c r="AZ333" s="401">
        <v>0</v>
      </c>
      <c r="BA333" s="401">
        <v>12.16028</v>
      </c>
      <c r="BB333" s="401">
        <v>877.43</v>
      </c>
      <c r="BC333" s="401">
        <f>2.4547+6.08151</f>
        <v>8.5362100000000005</v>
      </c>
      <c r="BD333" s="385" t="s">
        <v>167</v>
      </c>
      <c r="BE333" s="439" t="s">
        <v>175</v>
      </c>
      <c r="BF333" s="510"/>
      <c r="BG333" s="521">
        <v>460</v>
      </c>
      <c r="BH333" s="374">
        <f t="shared" si="155"/>
        <v>1194.9271237458195</v>
      </c>
      <c r="BI333" s="402">
        <f t="shared" si="156"/>
        <v>0.85067430952380951</v>
      </c>
    </row>
    <row r="334" spans="1:61" s="359" customFormat="1" x14ac:dyDescent="0.3">
      <c r="A334" s="360"/>
      <c r="B334" s="382"/>
      <c r="C334" s="435"/>
      <c r="D334" s="361">
        <v>6</v>
      </c>
      <c r="E334" s="405"/>
      <c r="F334" s="405"/>
      <c r="G334" s="405"/>
      <c r="H334" s="415"/>
      <c r="I334" s="401"/>
      <c r="J334" s="401"/>
      <c r="K334" s="401"/>
      <c r="L334" s="401"/>
      <c r="M334" s="401"/>
      <c r="N334" s="401"/>
      <c r="O334" s="401"/>
      <c r="P334" s="401"/>
      <c r="Q334" s="401"/>
      <c r="R334" s="389"/>
      <c r="S334" s="389"/>
      <c r="T334" s="389"/>
      <c r="U334" s="521"/>
      <c r="V334" s="402"/>
      <c r="W334" s="402"/>
      <c r="X334" s="403"/>
      <c r="Y334" s="404"/>
      <c r="Z334" s="400"/>
      <c r="AA334" s="415"/>
      <c r="AB334" s="401"/>
      <c r="AC334" s="401"/>
      <c r="AD334" s="401"/>
      <c r="AE334" s="401"/>
      <c r="AF334" s="401"/>
      <c r="AG334" s="401"/>
      <c r="AH334" s="401"/>
      <c r="AI334" s="401"/>
      <c r="AJ334" s="401"/>
      <c r="AK334" s="385"/>
      <c r="AL334" s="439"/>
      <c r="AM334" s="510"/>
      <c r="AN334" s="521"/>
      <c r="AO334" s="402"/>
      <c r="AP334" s="402"/>
      <c r="AQ334" s="595"/>
      <c r="AR334" s="587"/>
      <c r="AS334" s="400"/>
      <c r="AT334" s="415"/>
      <c r="AU334" s="401"/>
      <c r="AV334" s="401"/>
      <c r="AW334" s="401"/>
      <c r="AX334" s="401"/>
      <c r="AY334" s="401"/>
      <c r="AZ334" s="401"/>
      <c r="BA334" s="401"/>
      <c r="BB334" s="401"/>
      <c r="BC334" s="401"/>
      <c r="BD334" s="385"/>
      <c r="BE334" s="439"/>
      <c r="BF334" s="510"/>
      <c r="BG334" s="521"/>
      <c r="BH334" s="374" t="e">
        <f t="shared" si="155"/>
        <v>#DIV/0!</v>
      </c>
      <c r="BI334" s="402" t="e">
        <f t="shared" si="156"/>
        <v>#DIV/0!</v>
      </c>
    </row>
    <row r="335" spans="1:61" s="359" customFormat="1" x14ac:dyDescent="0.3">
      <c r="A335" s="360"/>
      <c r="B335" s="382"/>
      <c r="C335" s="429"/>
      <c r="D335" s="361"/>
      <c r="E335" s="408"/>
      <c r="F335" s="404"/>
      <c r="G335" s="400"/>
      <c r="H335" s="414"/>
      <c r="I335" s="401"/>
      <c r="J335" s="401"/>
      <c r="K335" s="401"/>
      <c r="L335" s="401"/>
      <c r="M335" s="401"/>
      <c r="N335" s="401"/>
      <c r="O335" s="401"/>
      <c r="P335" s="401"/>
      <c r="Q335" s="401"/>
      <c r="R335" s="389"/>
      <c r="S335" s="389"/>
      <c r="T335" s="389"/>
      <c r="U335" s="521"/>
      <c r="V335" s="374" t="e">
        <f>H335/E335*1000</f>
        <v>#DIV/0!</v>
      </c>
      <c r="W335" s="402" t="e">
        <f>H335/F335</f>
        <v>#DIV/0!</v>
      </c>
      <c r="X335" s="408"/>
      <c r="Y335" s="404"/>
      <c r="Z335" s="400"/>
      <c r="AA335" s="414"/>
      <c r="AB335" s="401"/>
      <c r="AC335" s="401"/>
      <c r="AD335" s="401"/>
      <c r="AE335" s="401"/>
      <c r="AF335" s="401"/>
      <c r="AG335" s="401"/>
      <c r="AH335" s="401"/>
      <c r="AI335" s="401"/>
      <c r="AJ335" s="401"/>
      <c r="AK335" s="389"/>
      <c r="AL335" s="389"/>
      <c r="AM335" s="389"/>
      <c r="AN335" s="521"/>
      <c r="AO335" s="374" t="e">
        <f>AA335/X335*1000</f>
        <v>#DIV/0!</v>
      </c>
      <c r="AP335" s="402" t="e">
        <f>AA335/Y335</f>
        <v>#DIV/0!</v>
      </c>
      <c r="AQ335" s="599"/>
      <c r="AR335" s="587"/>
      <c r="AS335" s="400"/>
      <c r="AT335" s="414"/>
      <c r="AU335" s="401"/>
      <c r="AV335" s="401"/>
      <c r="AW335" s="401"/>
      <c r="AX335" s="401"/>
      <c r="AY335" s="401"/>
      <c r="AZ335" s="401"/>
      <c r="BA335" s="401"/>
      <c r="BB335" s="401"/>
      <c r="BC335" s="401"/>
      <c r="BD335" s="389"/>
      <c r="BE335" s="389"/>
      <c r="BF335" s="389"/>
      <c r="BG335" s="521"/>
      <c r="BH335" s="374" t="e">
        <f t="shared" si="155"/>
        <v>#DIV/0!</v>
      </c>
      <c r="BI335" s="402" t="e">
        <f t="shared" si="156"/>
        <v>#DIV/0!</v>
      </c>
    </row>
    <row r="336" spans="1:61" s="359" customFormat="1" ht="24.75" customHeight="1" x14ac:dyDescent="0.3">
      <c r="A336" s="355" t="s">
        <v>190</v>
      </c>
      <c r="B336" s="356" t="s">
        <v>205</v>
      </c>
      <c r="C336" s="432"/>
      <c r="D336" s="357">
        <v>6</v>
      </c>
      <c r="E336" s="396">
        <f t="shared" ref="E336:Q336" si="165">SUM(E337:E338)</f>
        <v>0</v>
      </c>
      <c r="F336" s="396">
        <f t="shared" si="165"/>
        <v>0</v>
      </c>
      <c r="G336" s="396">
        <f t="shared" si="165"/>
        <v>0</v>
      </c>
      <c r="H336" s="397">
        <f t="shared" si="165"/>
        <v>0</v>
      </c>
      <c r="I336" s="397">
        <f t="shared" si="165"/>
        <v>0</v>
      </c>
      <c r="J336" s="397">
        <f t="shared" si="165"/>
        <v>0</v>
      </c>
      <c r="K336" s="397">
        <f t="shared" si="165"/>
        <v>0</v>
      </c>
      <c r="L336" s="397">
        <f t="shared" si="165"/>
        <v>0</v>
      </c>
      <c r="M336" s="397">
        <f t="shared" si="165"/>
        <v>0</v>
      </c>
      <c r="N336" s="397">
        <f t="shared" si="165"/>
        <v>0</v>
      </c>
      <c r="O336" s="397">
        <f t="shared" si="165"/>
        <v>0</v>
      </c>
      <c r="P336" s="397">
        <f t="shared" si="165"/>
        <v>0</v>
      </c>
      <c r="Q336" s="397">
        <f t="shared" si="165"/>
        <v>0</v>
      </c>
      <c r="R336" s="398"/>
      <c r="S336" s="398"/>
      <c r="T336" s="398"/>
      <c r="U336" s="520"/>
      <c r="V336" s="399" t="e">
        <f>H336/E336*1000</f>
        <v>#DIV/0!</v>
      </c>
      <c r="W336" s="399" t="e">
        <f>H336/F336</f>
        <v>#DIV/0!</v>
      </c>
      <c r="X336" s="396">
        <f t="shared" ref="X336:AJ336" si="166">SUM(X337:X338)</f>
        <v>0</v>
      </c>
      <c r="Y336" s="396">
        <f t="shared" si="166"/>
        <v>0</v>
      </c>
      <c r="Z336" s="396">
        <f t="shared" si="166"/>
        <v>0</v>
      </c>
      <c r="AA336" s="397">
        <f t="shared" si="166"/>
        <v>0</v>
      </c>
      <c r="AB336" s="397">
        <f t="shared" si="166"/>
        <v>0</v>
      </c>
      <c r="AC336" s="397">
        <f t="shared" si="166"/>
        <v>0</v>
      </c>
      <c r="AD336" s="397">
        <f t="shared" si="166"/>
        <v>0</v>
      </c>
      <c r="AE336" s="397">
        <f t="shared" si="166"/>
        <v>0</v>
      </c>
      <c r="AF336" s="397">
        <f t="shared" si="166"/>
        <v>0</v>
      </c>
      <c r="AG336" s="397">
        <f t="shared" si="166"/>
        <v>0</v>
      </c>
      <c r="AH336" s="397">
        <f t="shared" si="166"/>
        <v>0</v>
      </c>
      <c r="AI336" s="397">
        <f t="shared" si="166"/>
        <v>0</v>
      </c>
      <c r="AJ336" s="397">
        <f t="shared" si="166"/>
        <v>0</v>
      </c>
      <c r="AK336" s="398"/>
      <c r="AL336" s="398"/>
      <c r="AM336" s="398"/>
      <c r="AN336" s="520"/>
      <c r="AO336" s="399" t="e">
        <f>AA336/X336*1000</f>
        <v>#DIV/0!</v>
      </c>
      <c r="AP336" s="399" t="e">
        <f>AA336/Y336</f>
        <v>#DIV/0!</v>
      </c>
      <c r="AQ336" s="396">
        <f t="shared" ref="AQ336:BC336" si="167">SUM(AQ337:AQ338)</f>
        <v>0</v>
      </c>
      <c r="AR336" s="396">
        <f t="shared" si="167"/>
        <v>0</v>
      </c>
      <c r="AS336" s="396">
        <f t="shared" si="167"/>
        <v>0</v>
      </c>
      <c r="AT336" s="397">
        <f t="shared" si="167"/>
        <v>0</v>
      </c>
      <c r="AU336" s="397">
        <f t="shared" si="167"/>
        <v>0</v>
      </c>
      <c r="AV336" s="397">
        <f t="shared" si="167"/>
        <v>0</v>
      </c>
      <c r="AW336" s="397">
        <f t="shared" si="167"/>
        <v>0</v>
      </c>
      <c r="AX336" s="397">
        <f t="shared" si="167"/>
        <v>0</v>
      </c>
      <c r="AY336" s="397">
        <f t="shared" si="167"/>
        <v>0</v>
      </c>
      <c r="AZ336" s="397">
        <f t="shared" si="167"/>
        <v>0</v>
      </c>
      <c r="BA336" s="397">
        <f t="shared" si="167"/>
        <v>0</v>
      </c>
      <c r="BB336" s="397">
        <f t="shared" si="167"/>
        <v>0</v>
      </c>
      <c r="BC336" s="397">
        <f t="shared" si="167"/>
        <v>0</v>
      </c>
      <c r="BD336" s="398"/>
      <c r="BE336" s="398"/>
      <c r="BF336" s="398"/>
      <c r="BG336" s="520"/>
      <c r="BH336" s="399" t="e">
        <f t="shared" si="155"/>
        <v>#DIV/0!</v>
      </c>
      <c r="BI336" s="399" t="e">
        <f t="shared" si="156"/>
        <v>#DIV/0!</v>
      </c>
    </row>
    <row r="337" spans="1:61" s="359" customFormat="1" x14ac:dyDescent="0.3">
      <c r="A337" s="360"/>
      <c r="B337" s="382"/>
      <c r="C337" s="429"/>
      <c r="D337" s="361"/>
      <c r="E337" s="408"/>
      <c r="F337" s="404"/>
      <c r="G337" s="400"/>
      <c r="H337" s="414"/>
      <c r="I337" s="401"/>
      <c r="J337" s="401"/>
      <c r="K337" s="401"/>
      <c r="L337" s="401"/>
      <c r="M337" s="401"/>
      <c r="N337" s="401"/>
      <c r="O337" s="401"/>
      <c r="P337" s="401"/>
      <c r="Q337" s="401"/>
      <c r="R337" s="389"/>
      <c r="S337" s="389"/>
      <c r="T337" s="389"/>
      <c r="U337" s="521"/>
      <c r="V337" s="374"/>
      <c r="W337" s="402"/>
      <c r="X337" s="408"/>
      <c r="Y337" s="404"/>
      <c r="Z337" s="400"/>
      <c r="AA337" s="414"/>
      <c r="AB337" s="401"/>
      <c r="AC337" s="401"/>
      <c r="AD337" s="401"/>
      <c r="AE337" s="401"/>
      <c r="AF337" s="401"/>
      <c r="AG337" s="401"/>
      <c r="AH337" s="401"/>
      <c r="AI337" s="401"/>
      <c r="AJ337" s="401"/>
      <c r="AK337" s="389"/>
      <c r="AL337" s="389"/>
      <c r="AM337" s="389"/>
      <c r="AN337" s="521"/>
      <c r="AO337" s="374"/>
      <c r="AP337" s="402"/>
      <c r="AQ337" s="599"/>
      <c r="AR337" s="587"/>
      <c r="AS337" s="400"/>
      <c r="AT337" s="414"/>
      <c r="AU337" s="401"/>
      <c r="AV337" s="401"/>
      <c r="AW337" s="401"/>
      <c r="AX337" s="401"/>
      <c r="AY337" s="401"/>
      <c r="AZ337" s="401"/>
      <c r="BA337" s="401"/>
      <c r="BB337" s="401"/>
      <c r="BC337" s="401"/>
      <c r="BD337" s="389"/>
      <c r="BE337" s="389"/>
      <c r="BF337" s="389"/>
      <c r="BG337" s="521"/>
      <c r="BH337" s="399" t="e">
        <f t="shared" ref="BH337" si="168">AT337/AQ337*1000</f>
        <v>#DIV/0!</v>
      </c>
      <c r="BI337" s="399" t="e">
        <f t="shared" ref="BI337" si="169">AT337/AR337</f>
        <v>#DIV/0!</v>
      </c>
    </row>
    <row r="338" spans="1:61" s="359" customFormat="1" x14ac:dyDescent="0.3">
      <c r="A338" s="360"/>
      <c r="B338" s="382"/>
      <c r="C338" s="429"/>
      <c r="D338" s="361"/>
      <c r="E338" s="408"/>
      <c r="F338" s="404"/>
      <c r="G338" s="400"/>
      <c r="H338" s="414"/>
      <c r="I338" s="401"/>
      <c r="J338" s="401"/>
      <c r="K338" s="401"/>
      <c r="L338" s="401"/>
      <c r="M338" s="401"/>
      <c r="N338" s="401"/>
      <c r="O338" s="401"/>
      <c r="P338" s="401"/>
      <c r="Q338" s="401"/>
      <c r="R338" s="389"/>
      <c r="S338" s="389"/>
      <c r="T338" s="389"/>
      <c r="U338" s="521"/>
      <c r="V338" s="374" t="e">
        <f>H338/E338*1000</f>
        <v>#DIV/0!</v>
      </c>
      <c r="W338" s="402" t="e">
        <f>H338/F338</f>
        <v>#DIV/0!</v>
      </c>
      <c r="X338" s="408"/>
      <c r="Y338" s="404"/>
      <c r="Z338" s="400"/>
      <c r="AA338" s="414"/>
      <c r="AB338" s="401"/>
      <c r="AC338" s="401"/>
      <c r="AD338" s="401"/>
      <c r="AE338" s="401"/>
      <c r="AF338" s="401"/>
      <c r="AG338" s="401"/>
      <c r="AH338" s="401"/>
      <c r="AI338" s="401"/>
      <c r="AJ338" s="401"/>
      <c r="AK338" s="389"/>
      <c r="AL338" s="389"/>
      <c r="AM338" s="389"/>
      <c r="AN338" s="521"/>
      <c r="AO338" s="374" t="e">
        <f>AA338/X338*1000</f>
        <v>#DIV/0!</v>
      </c>
      <c r="AP338" s="402" t="e">
        <f>AA338/Y338</f>
        <v>#DIV/0!</v>
      </c>
      <c r="AQ338" s="599"/>
      <c r="AR338" s="587"/>
      <c r="AS338" s="400"/>
      <c r="AT338" s="414"/>
      <c r="AU338" s="401"/>
      <c r="AV338" s="401"/>
      <c r="AW338" s="401"/>
      <c r="AX338" s="401"/>
      <c r="AY338" s="401"/>
      <c r="AZ338" s="401"/>
      <c r="BA338" s="401"/>
      <c r="BB338" s="401"/>
      <c r="BC338" s="401"/>
      <c r="BD338" s="389"/>
      <c r="BE338" s="389"/>
      <c r="BF338" s="389"/>
      <c r="BG338" s="521"/>
      <c r="BH338" s="374" t="e">
        <f t="shared" ref="BH338:BH348" si="170">AT338/AQ338*1000</f>
        <v>#DIV/0!</v>
      </c>
      <c r="BI338" s="402" t="e">
        <f t="shared" ref="BI338:BI348" si="171">AT338/AR338</f>
        <v>#DIV/0!</v>
      </c>
    </row>
    <row r="339" spans="1:61" s="359" customFormat="1" ht="79.2" customHeight="1" x14ac:dyDescent="0.3">
      <c r="A339" s="449" t="s">
        <v>206</v>
      </c>
      <c r="B339" s="450" t="s">
        <v>207</v>
      </c>
      <c r="C339" s="451"/>
      <c r="D339" s="452"/>
      <c r="E339" s="453">
        <f t="shared" ref="E339:Q339" si="172">E340+E343</f>
        <v>0</v>
      </c>
      <c r="F339" s="453">
        <f t="shared" si="172"/>
        <v>0</v>
      </c>
      <c r="G339" s="453">
        <f t="shared" si="172"/>
        <v>0</v>
      </c>
      <c r="H339" s="454">
        <f t="shared" si="172"/>
        <v>0</v>
      </c>
      <c r="I339" s="454">
        <f t="shared" si="172"/>
        <v>0</v>
      </c>
      <c r="J339" s="454">
        <f t="shared" si="172"/>
        <v>0</v>
      </c>
      <c r="K339" s="454">
        <f t="shared" si="172"/>
        <v>0</v>
      </c>
      <c r="L339" s="454">
        <f t="shared" si="172"/>
        <v>0</v>
      </c>
      <c r="M339" s="454">
        <f t="shared" si="172"/>
        <v>0</v>
      </c>
      <c r="N339" s="454">
        <f t="shared" si="172"/>
        <v>0</v>
      </c>
      <c r="O339" s="454">
        <f t="shared" si="172"/>
        <v>0</v>
      </c>
      <c r="P339" s="454">
        <f t="shared" si="172"/>
        <v>0</v>
      </c>
      <c r="Q339" s="454">
        <f t="shared" si="172"/>
        <v>0</v>
      </c>
      <c r="R339" s="455"/>
      <c r="S339" s="455"/>
      <c r="T339" s="455"/>
      <c r="U339" s="522"/>
      <c r="V339" s="457" t="e">
        <f>H339/E339*1000</f>
        <v>#DIV/0!</v>
      </c>
      <c r="W339" s="457" t="e">
        <f>H339/F339</f>
        <v>#DIV/0!</v>
      </c>
      <c r="X339" s="453">
        <f t="shared" ref="X339:AJ339" si="173">X340+X343</f>
        <v>200</v>
      </c>
      <c r="Y339" s="453">
        <f t="shared" si="173"/>
        <v>15</v>
      </c>
      <c r="Z339" s="453">
        <f t="shared" si="173"/>
        <v>15</v>
      </c>
      <c r="AA339" s="454">
        <f t="shared" si="173"/>
        <v>467.94117999999997</v>
      </c>
      <c r="AB339" s="454">
        <f t="shared" si="173"/>
        <v>394.14280000000002</v>
      </c>
      <c r="AC339" s="454">
        <f t="shared" si="173"/>
        <v>360.66289999999998</v>
      </c>
      <c r="AD339" s="454">
        <f t="shared" si="173"/>
        <v>18.47533</v>
      </c>
      <c r="AE339" s="454">
        <f t="shared" si="173"/>
        <v>21.571339999999999</v>
      </c>
      <c r="AF339" s="454">
        <f t="shared" si="173"/>
        <v>0</v>
      </c>
      <c r="AG339" s="454">
        <f t="shared" si="173"/>
        <v>0</v>
      </c>
      <c r="AH339" s="454">
        <f t="shared" si="173"/>
        <v>21.645710000000001</v>
      </c>
      <c r="AI339" s="454">
        <f t="shared" si="173"/>
        <v>853.64</v>
      </c>
      <c r="AJ339" s="454">
        <f t="shared" si="173"/>
        <v>4.1427699999999996</v>
      </c>
      <c r="AK339" s="455"/>
      <c r="AL339" s="455"/>
      <c r="AM339" s="455"/>
      <c r="AN339" s="522"/>
      <c r="AO339" s="457">
        <f>AA339/X339*1000</f>
        <v>2339.7058999999999</v>
      </c>
      <c r="AP339" s="457">
        <f>AA339/Y339</f>
        <v>31.196078666666665</v>
      </c>
      <c r="AQ339" s="453">
        <f t="shared" ref="AQ339:BC339" si="174">AQ340+AQ343</f>
        <v>0</v>
      </c>
      <c r="AR339" s="453">
        <f t="shared" si="174"/>
        <v>0</v>
      </c>
      <c r="AS339" s="453">
        <f t="shared" si="174"/>
        <v>0</v>
      </c>
      <c r="AT339" s="454">
        <f t="shared" si="174"/>
        <v>0</v>
      </c>
      <c r="AU339" s="454">
        <f t="shared" si="174"/>
        <v>0</v>
      </c>
      <c r="AV339" s="454">
        <f t="shared" si="174"/>
        <v>0</v>
      </c>
      <c r="AW339" s="454">
        <f t="shared" si="174"/>
        <v>0</v>
      </c>
      <c r="AX339" s="454">
        <f t="shared" si="174"/>
        <v>0</v>
      </c>
      <c r="AY339" s="454">
        <f t="shared" si="174"/>
        <v>0</v>
      </c>
      <c r="AZ339" s="454">
        <f t="shared" si="174"/>
        <v>0</v>
      </c>
      <c r="BA339" s="454">
        <f t="shared" si="174"/>
        <v>0</v>
      </c>
      <c r="BB339" s="454">
        <f t="shared" si="174"/>
        <v>0</v>
      </c>
      <c r="BC339" s="454">
        <f t="shared" si="174"/>
        <v>0</v>
      </c>
      <c r="BD339" s="455"/>
      <c r="BE339" s="455"/>
      <c r="BF339" s="455"/>
      <c r="BG339" s="522"/>
      <c r="BH339" s="457" t="e">
        <f t="shared" si="170"/>
        <v>#DIV/0!</v>
      </c>
      <c r="BI339" s="457" t="e">
        <f t="shared" si="171"/>
        <v>#DIV/0!</v>
      </c>
    </row>
    <row r="340" spans="1:61" s="359" customFormat="1" ht="24.75" customHeight="1" x14ac:dyDescent="0.3">
      <c r="A340" s="355" t="s">
        <v>179</v>
      </c>
      <c r="B340" s="356" t="s">
        <v>209</v>
      </c>
      <c r="C340" s="432"/>
      <c r="D340" s="357">
        <v>0.4</v>
      </c>
      <c r="E340" s="396">
        <f t="shared" ref="E340:Q340" si="175">SUM(E341:E342)</f>
        <v>0</v>
      </c>
      <c r="F340" s="396">
        <f t="shared" si="175"/>
        <v>0</v>
      </c>
      <c r="G340" s="396">
        <f t="shared" si="175"/>
        <v>0</v>
      </c>
      <c r="H340" s="397">
        <f t="shared" si="175"/>
        <v>0</v>
      </c>
      <c r="I340" s="397">
        <f t="shared" si="175"/>
        <v>0</v>
      </c>
      <c r="J340" s="397">
        <f t="shared" si="175"/>
        <v>0</v>
      </c>
      <c r="K340" s="397">
        <f t="shared" si="175"/>
        <v>0</v>
      </c>
      <c r="L340" s="397">
        <f t="shared" si="175"/>
        <v>0</v>
      </c>
      <c r="M340" s="397">
        <f t="shared" si="175"/>
        <v>0</v>
      </c>
      <c r="N340" s="397">
        <f t="shared" si="175"/>
        <v>0</v>
      </c>
      <c r="O340" s="397">
        <f t="shared" si="175"/>
        <v>0</v>
      </c>
      <c r="P340" s="397">
        <f t="shared" si="175"/>
        <v>0</v>
      </c>
      <c r="Q340" s="397">
        <f t="shared" si="175"/>
        <v>0</v>
      </c>
      <c r="R340" s="398"/>
      <c r="S340" s="398"/>
      <c r="T340" s="398"/>
      <c r="U340" s="520"/>
      <c r="V340" s="399" t="e">
        <f>H340/E340*1000</f>
        <v>#DIV/0!</v>
      </c>
      <c r="W340" s="399" t="e">
        <f>H340/F340</f>
        <v>#DIV/0!</v>
      </c>
      <c r="X340" s="396">
        <f t="shared" ref="X340:AJ340" si="176">SUM(X341:X342)</f>
        <v>0</v>
      </c>
      <c r="Y340" s="396">
        <f t="shared" si="176"/>
        <v>0</v>
      </c>
      <c r="Z340" s="396">
        <f t="shared" si="176"/>
        <v>0</v>
      </c>
      <c r="AA340" s="397">
        <f t="shared" si="176"/>
        <v>0</v>
      </c>
      <c r="AB340" s="397">
        <f t="shared" si="176"/>
        <v>0</v>
      </c>
      <c r="AC340" s="397">
        <f t="shared" si="176"/>
        <v>0</v>
      </c>
      <c r="AD340" s="397">
        <f t="shared" si="176"/>
        <v>0</v>
      </c>
      <c r="AE340" s="397">
        <f t="shared" si="176"/>
        <v>0</v>
      </c>
      <c r="AF340" s="397">
        <f t="shared" si="176"/>
        <v>0</v>
      </c>
      <c r="AG340" s="397">
        <f t="shared" si="176"/>
        <v>0</v>
      </c>
      <c r="AH340" s="397">
        <f t="shared" si="176"/>
        <v>0</v>
      </c>
      <c r="AI340" s="397">
        <f t="shared" si="176"/>
        <v>0</v>
      </c>
      <c r="AJ340" s="397">
        <f t="shared" si="176"/>
        <v>0</v>
      </c>
      <c r="AK340" s="398"/>
      <c r="AL340" s="398"/>
      <c r="AM340" s="398"/>
      <c r="AN340" s="520"/>
      <c r="AO340" s="399" t="e">
        <f>AA340/X340*1000</f>
        <v>#DIV/0!</v>
      </c>
      <c r="AP340" s="399" t="e">
        <f>AA340/Y340</f>
        <v>#DIV/0!</v>
      </c>
      <c r="AQ340" s="396">
        <f t="shared" ref="AQ340:BC340" si="177">SUM(AQ341:AQ342)</f>
        <v>0</v>
      </c>
      <c r="AR340" s="396">
        <f t="shared" si="177"/>
        <v>0</v>
      </c>
      <c r="AS340" s="396">
        <f t="shared" si="177"/>
        <v>0</v>
      </c>
      <c r="AT340" s="397">
        <f t="shared" si="177"/>
        <v>0</v>
      </c>
      <c r="AU340" s="397">
        <f t="shared" si="177"/>
        <v>0</v>
      </c>
      <c r="AV340" s="397">
        <f t="shared" si="177"/>
        <v>0</v>
      </c>
      <c r="AW340" s="397">
        <f t="shared" si="177"/>
        <v>0</v>
      </c>
      <c r="AX340" s="397">
        <f t="shared" si="177"/>
        <v>0</v>
      </c>
      <c r="AY340" s="397">
        <f t="shared" si="177"/>
        <v>0</v>
      </c>
      <c r="AZ340" s="397">
        <f t="shared" si="177"/>
        <v>0</v>
      </c>
      <c r="BA340" s="397">
        <f t="shared" si="177"/>
        <v>0</v>
      </c>
      <c r="BB340" s="397">
        <f t="shared" si="177"/>
        <v>0</v>
      </c>
      <c r="BC340" s="397">
        <f t="shared" si="177"/>
        <v>0</v>
      </c>
      <c r="BD340" s="398"/>
      <c r="BE340" s="398"/>
      <c r="BF340" s="398"/>
      <c r="BG340" s="520"/>
      <c r="BH340" s="399" t="e">
        <f t="shared" si="170"/>
        <v>#DIV/0!</v>
      </c>
      <c r="BI340" s="399" t="e">
        <f t="shared" si="171"/>
        <v>#DIV/0!</v>
      </c>
    </row>
    <row r="341" spans="1:61" s="359" customFormat="1" x14ac:dyDescent="0.3">
      <c r="A341" s="360"/>
      <c r="B341" s="382"/>
      <c r="C341" s="435"/>
      <c r="D341" s="361">
        <v>0.4</v>
      </c>
      <c r="E341" s="405"/>
      <c r="F341" s="405"/>
      <c r="G341" s="405"/>
      <c r="H341" s="415"/>
      <c r="I341" s="401"/>
      <c r="J341" s="401"/>
      <c r="K341" s="401"/>
      <c r="L341" s="401"/>
      <c r="M341" s="401"/>
      <c r="N341" s="401"/>
      <c r="O341" s="401"/>
      <c r="P341" s="401"/>
      <c r="Q341" s="401"/>
      <c r="R341" s="389"/>
      <c r="S341" s="389"/>
      <c r="T341" s="389"/>
      <c r="U341" s="521"/>
      <c r="V341" s="402"/>
      <c r="W341" s="402"/>
      <c r="X341" s="405"/>
      <c r="Y341" s="405"/>
      <c r="Z341" s="405"/>
      <c r="AA341" s="415"/>
      <c r="AB341" s="401"/>
      <c r="AC341" s="401"/>
      <c r="AD341" s="401"/>
      <c r="AE341" s="401"/>
      <c r="AF341" s="401"/>
      <c r="AG341" s="401"/>
      <c r="AH341" s="401"/>
      <c r="AI341" s="401"/>
      <c r="AJ341" s="401"/>
      <c r="AK341" s="389"/>
      <c r="AL341" s="389"/>
      <c r="AM341" s="389"/>
      <c r="AN341" s="521"/>
      <c r="AO341" s="402"/>
      <c r="AP341" s="402"/>
      <c r="AQ341" s="588"/>
      <c r="AR341" s="588"/>
      <c r="AS341" s="588"/>
      <c r="AT341" s="415"/>
      <c r="AU341" s="401"/>
      <c r="AV341" s="401"/>
      <c r="AW341" s="401"/>
      <c r="AX341" s="401"/>
      <c r="AY341" s="401"/>
      <c r="AZ341" s="401"/>
      <c r="BA341" s="401"/>
      <c r="BB341" s="401"/>
      <c r="BC341" s="401"/>
      <c r="BD341" s="389"/>
      <c r="BE341" s="389"/>
      <c r="BF341" s="389"/>
      <c r="BG341" s="521"/>
      <c r="BH341" s="402" t="e">
        <f t="shared" si="170"/>
        <v>#DIV/0!</v>
      </c>
      <c r="BI341" s="402" t="e">
        <f t="shared" si="171"/>
        <v>#DIV/0!</v>
      </c>
    </row>
    <row r="342" spans="1:61" s="359" customFormat="1" x14ac:dyDescent="0.3">
      <c r="A342" s="360"/>
      <c r="B342" s="382"/>
      <c r="C342" s="435"/>
      <c r="D342" s="361"/>
      <c r="E342" s="412"/>
      <c r="F342" s="409"/>
      <c r="G342" s="400"/>
      <c r="H342" s="415"/>
      <c r="I342" s="401"/>
      <c r="J342" s="401"/>
      <c r="K342" s="401"/>
      <c r="L342" s="401"/>
      <c r="M342" s="401"/>
      <c r="N342" s="401"/>
      <c r="O342" s="401"/>
      <c r="P342" s="401"/>
      <c r="Q342" s="401"/>
      <c r="R342" s="389"/>
      <c r="S342" s="389"/>
      <c r="T342" s="389"/>
      <c r="U342" s="521"/>
      <c r="V342" s="402" t="e">
        <f>H342/E342*1000</f>
        <v>#DIV/0!</v>
      </c>
      <c r="W342" s="402" t="e">
        <f>H342/F342</f>
        <v>#DIV/0!</v>
      </c>
      <c r="X342" s="412"/>
      <c r="Y342" s="409"/>
      <c r="Z342" s="400"/>
      <c r="AA342" s="415"/>
      <c r="AB342" s="401"/>
      <c r="AC342" s="401"/>
      <c r="AD342" s="401"/>
      <c r="AE342" s="401"/>
      <c r="AF342" s="401"/>
      <c r="AG342" s="401"/>
      <c r="AH342" s="401"/>
      <c r="AI342" s="401"/>
      <c r="AJ342" s="401"/>
      <c r="AK342" s="389"/>
      <c r="AL342" s="389"/>
      <c r="AM342" s="389"/>
      <c r="AN342" s="521"/>
      <c r="AO342" s="402" t="e">
        <f>AA342/X342*1000</f>
        <v>#DIV/0!</v>
      </c>
      <c r="AP342" s="402" t="e">
        <f>AA342/Y342</f>
        <v>#DIV/0!</v>
      </c>
      <c r="AQ342" s="600"/>
      <c r="AR342" s="601"/>
      <c r="AS342" s="400"/>
      <c r="AT342" s="415"/>
      <c r="AU342" s="401"/>
      <c r="AV342" s="401"/>
      <c r="AW342" s="401"/>
      <c r="AX342" s="401"/>
      <c r="AY342" s="401"/>
      <c r="AZ342" s="401"/>
      <c r="BA342" s="401"/>
      <c r="BB342" s="401"/>
      <c r="BC342" s="401"/>
      <c r="BD342" s="389"/>
      <c r="BE342" s="389"/>
      <c r="BF342" s="389"/>
      <c r="BG342" s="521"/>
      <c r="BH342" s="402" t="e">
        <f t="shared" si="170"/>
        <v>#DIV/0!</v>
      </c>
      <c r="BI342" s="402" t="e">
        <f t="shared" si="171"/>
        <v>#DIV/0!</v>
      </c>
    </row>
    <row r="343" spans="1:61" s="359" customFormat="1" ht="24.75" customHeight="1" x14ac:dyDescent="0.3">
      <c r="A343" s="355" t="s">
        <v>4</v>
      </c>
      <c r="B343" s="356" t="s">
        <v>249</v>
      </c>
      <c r="C343" s="432"/>
      <c r="D343" s="357">
        <v>6</v>
      </c>
      <c r="E343" s="396">
        <f t="shared" ref="E343:Q343" si="178">SUM(E344:E346)</f>
        <v>0</v>
      </c>
      <c r="F343" s="396">
        <f t="shared" si="178"/>
        <v>0</v>
      </c>
      <c r="G343" s="396">
        <f t="shared" si="178"/>
        <v>0</v>
      </c>
      <c r="H343" s="397">
        <f t="shared" si="178"/>
        <v>0</v>
      </c>
      <c r="I343" s="397">
        <f t="shared" si="178"/>
        <v>0</v>
      </c>
      <c r="J343" s="397">
        <f t="shared" si="178"/>
        <v>0</v>
      </c>
      <c r="K343" s="397">
        <f t="shared" si="178"/>
        <v>0</v>
      </c>
      <c r="L343" s="397">
        <f t="shared" si="178"/>
        <v>0</v>
      </c>
      <c r="M343" s="397">
        <f t="shared" si="178"/>
        <v>0</v>
      </c>
      <c r="N343" s="397">
        <f t="shared" si="178"/>
        <v>0</v>
      </c>
      <c r="O343" s="397">
        <f t="shared" si="178"/>
        <v>0</v>
      </c>
      <c r="P343" s="397">
        <f t="shared" si="178"/>
        <v>0</v>
      </c>
      <c r="Q343" s="397">
        <f t="shared" si="178"/>
        <v>0</v>
      </c>
      <c r="R343" s="398"/>
      <c r="S343" s="398"/>
      <c r="T343" s="398"/>
      <c r="U343" s="520"/>
      <c r="V343" s="399" t="e">
        <f>H343/E343*1000</f>
        <v>#DIV/0!</v>
      </c>
      <c r="W343" s="399" t="e">
        <f>H343/F343</f>
        <v>#DIV/0!</v>
      </c>
      <c r="X343" s="396">
        <f t="shared" ref="X343:AJ343" si="179">SUM(X344:X346)</f>
        <v>200</v>
      </c>
      <c r="Y343" s="396">
        <f t="shared" si="179"/>
        <v>15</v>
      </c>
      <c r="Z343" s="396">
        <f t="shared" si="179"/>
        <v>15</v>
      </c>
      <c r="AA343" s="397">
        <f t="shared" si="179"/>
        <v>467.94117999999997</v>
      </c>
      <c r="AB343" s="397">
        <f t="shared" si="179"/>
        <v>394.14280000000002</v>
      </c>
      <c r="AC343" s="397">
        <f t="shared" si="179"/>
        <v>360.66289999999998</v>
      </c>
      <c r="AD343" s="397">
        <f t="shared" si="179"/>
        <v>18.47533</v>
      </c>
      <c r="AE343" s="397">
        <f t="shared" si="179"/>
        <v>21.571339999999999</v>
      </c>
      <c r="AF343" s="397">
        <f t="shared" si="179"/>
        <v>0</v>
      </c>
      <c r="AG343" s="397">
        <f t="shared" si="179"/>
        <v>0</v>
      </c>
      <c r="AH343" s="397">
        <f t="shared" si="179"/>
        <v>21.645710000000001</v>
      </c>
      <c r="AI343" s="397">
        <f t="shared" si="179"/>
        <v>853.64</v>
      </c>
      <c r="AJ343" s="397">
        <f t="shared" si="179"/>
        <v>4.1427699999999996</v>
      </c>
      <c r="AK343" s="398"/>
      <c r="AL343" s="398"/>
      <c r="AM343" s="398"/>
      <c r="AN343" s="520"/>
      <c r="AO343" s="399">
        <f>AA343/X343*1000</f>
        <v>2339.7058999999999</v>
      </c>
      <c r="AP343" s="399">
        <f>AA343/Y343</f>
        <v>31.196078666666665</v>
      </c>
      <c r="AQ343" s="396">
        <f t="shared" ref="AQ343:BC343" si="180">SUM(AQ344:AQ346)</f>
        <v>0</v>
      </c>
      <c r="AR343" s="396">
        <f t="shared" si="180"/>
        <v>0</v>
      </c>
      <c r="AS343" s="396">
        <f t="shared" si="180"/>
        <v>0</v>
      </c>
      <c r="AT343" s="397">
        <f t="shared" si="180"/>
        <v>0</v>
      </c>
      <c r="AU343" s="397">
        <f t="shared" si="180"/>
        <v>0</v>
      </c>
      <c r="AV343" s="397">
        <f t="shared" si="180"/>
        <v>0</v>
      </c>
      <c r="AW343" s="397">
        <f t="shared" si="180"/>
        <v>0</v>
      </c>
      <c r="AX343" s="397">
        <f t="shared" si="180"/>
        <v>0</v>
      </c>
      <c r="AY343" s="397">
        <f t="shared" si="180"/>
        <v>0</v>
      </c>
      <c r="AZ343" s="397">
        <f t="shared" si="180"/>
        <v>0</v>
      </c>
      <c r="BA343" s="397">
        <f t="shared" si="180"/>
        <v>0</v>
      </c>
      <c r="BB343" s="397">
        <f t="shared" si="180"/>
        <v>0</v>
      </c>
      <c r="BC343" s="397">
        <f t="shared" si="180"/>
        <v>0</v>
      </c>
      <c r="BD343" s="398"/>
      <c r="BE343" s="398"/>
      <c r="BF343" s="398"/>
      <c r="BG343" s="520"/>
      <c r="BH343" s="399" t="e">
        <f t="shared" si="170"/>
        <v>#DIV/0!</v>
      </c>
      <c r="BI343" s="399" t="e">
        <f t="shared" si="171"/>
        <v>#DIV/0!</v>
      </c>
    </row>
    <row r="344" spans="1:61" s="359" customFormat="1" ht="19.2" x14ac:dyDescent="0.3">
      <c r="A344" s="360" t="s">
        <v>179</v>
      </c>
      <c r="B344" s="543" t="s">
        <v>562</v>
      </c>
      <c r="C344" s="435" t="s">
        <v>418</v>
      </c>
      <c r="D344" s="361">
        <v>6</v>
      </c>
      <c r="E344" s="407"/>
      <c r="F344" s="400"/>
      <c r="G344" s="400"/>
      <c r="H344" s="401"/>
      <c r="I344" s="401"/>
      <c r="J344" s="401"/>
      <c r="K344" s="401"/>
      <c r="L344" s="401"/>
      <c r="M344" s="401"/>
      <c r="N344" s="401"/>
      <c r="O344" s="401"/>
      <c r="P344" s="401"/>
      <c r="Q344" s="401"/>
      <c r="R344" s="389"/>
      <c r="S344" s="389"/>
      <c r="T344" s="389"/>
      <c r="U344" s="521"/>
      <c r="V344" s="374" t="e">
        <f>H344/E344*1000</f>
        <v>#DIV/0!</v>
      </c>
      <c r="W344" s="402" t="e">
        <f>H344/F344</f>
        <v>#DIV/0!</v>
      </c>
      <c r="X344" s="403">
        <v>200</v>
      </c>
      <c r="Y344" s="400">
        <v>15</v>
      </c>
      <c r="Z344" s="400">
        <v>15</v>
      </c>
      <c r="AA344" s="546">
        <v>467.94117999999997</v>
      </c>
      <c r="AB344" s="401">
        <v>394.14280000000002</v>
      </c>
      <c r="AC344" s="401">
        <v>360.66289999999998</v>
      </c>
      <c r="AD344" s="401">
        <f>7.89008+6.44248+4.14277</f>
        <v>18.47533</v>
      </c>
      <c r="AE344" s="401">
        <v>21.571339999999999</v>
      </c>
      <c r="AF344" s="401">
        <v>0</v>
      </c>
      <c r="AG344" s="401">
        <v>0</v>
      </c>
      <c r="AH344" s="401">
        <v>21.645710000000001</v>
      </c>
      <c r="AI344" s="401">
        <v>853.64</v>
      </c>
      <c r="AJ344" s="401">
        <v>4.1427699999999996</v>
      </c>
      <c r="AK344" s="385" t="s">
        <v>167</v>
      </c>
      <c r="AL344" s="439" t="s">
        <v>175</v>
      </c>
      <c r="AM344" s="389"/>
      <c r="AN344" s="521">
        <v>95</v>
      </c>
      <c r="AO344" s="402">
        <f>AA344/X344*1000</f>
        <v>2339.7058999999999</v>
      </c>
      <c r="AP344" s="402">
        <f>AA344/Y344</f>
        <v>31.196078666666665</v>
      </c>
      <c r="AQ344" s="595"/>
      <c r="AR344" s="400"/>
      <c r="AS344" s="400"/>
      <c r="AT344" s="546"/>
      <c r="AU344" s="401"/>
      <c r="AV344" s="401"/>
      <c r="AW344" s="401"/>
      <c r="AX344" s="401"/>
      <c r="AY344" s="401"/>
      <c r="AZ344" s="401"/>
      <c r="BA344" s="401"/>
      <c r="BB344" s="401"/>
      <c r="BC344" s="401"/>
      <c r="BD344" s="385"/>
      <c r="BE344" s="439"/>
      <c r="BF344" s="389"/>
      <c r="BG344" s="521"/>
      <c r="BH344" s="402" t="e">
        <f t="shared" si="170"/>
        <v>#DIV/0!</v>
      </c>
      <c r="BI344" s="402" t="e">
        <f t="shared" si="171"/>
        <v>#DIV/0!</v>
      </c>
    </row>
    <row r="345" spans="1:61" s="359" customFormat="1" x14ac:dyDescent="0.3">
      <c r="A345" s="360"/>
      <c r="B345" s="382"/>
      <c r="C345" s="435"/>
      <c r="D345" s="361">
        <v>6</v>
      </c>
      <c r="E345" s="407"/>
      <c r="F345" s="400"/>
      <c r="G345" s="400"/>
      <c r="H345" s="401"/>
      <c r="I345" s="401"/>
      <c r="J345" s="401"/>
      <c r="K345" s="401"/>
      <c r="L345" s="401"/>
      <c r="M345" s="401"/>
      <c r="N345" s="401"/>
      <c r="O345" s="401"/>
      <c r="P345" s="401"/>
      <c r="Q345" s="401"/>
      <c r="R345" s="389"/>
      <c r="S345" s="389"/>
      <c r="T345" s="389"/>
      <c r="U345" s="521"/>
      <c r="V345" s="374"/>
      <c r="W345" s="402"/>
      <c r="X345" s="403"/>
      <c r="Y345" s="400"/>
      <c r="Z345" s="400"/>
      <c r="AA345" s="414"/>
      <c r="AB345" s="401"/>
      <c r="AC345" s="401"/>
      <c r="AD345" s="401"/>
      <c r="AE345" s="401"/>
      <c r="AF345" s="401"/>
      <c r="AG345" s="401"/>
      <c r="AH345" s="401"/>
      <c r="AI345" s="401"/>
      <c r="AJ345" s="401"/>
      <c r="AK345" s="385"/>
      <c r="AL345" s="439"/>
      <c r="AM345" s="389"/>
      <c r="AN345" s="521"/>
      <c r="AO345" s="402"/>
      <c r="AP345" s="402"/>
      <c r="AQ345" s="595"/>
      <c r="AR345" s="400"/>
      <c r="AS345" s="400"/>
      <c r="AT345" s="414"/>
      <c r="AU345" s="401"/>
      <c r="AV345" s="401"/>
      <c r="AW345" s="401"/>
      <c r="AX345" s="401"/>
      <c r="AY345" s="401"/>
      <c r="AZ345" s="401"/>
      <c r="BA345" s="401"/>
      <c r="BB345" s="401"/>
      <c r="BC345" s="401"/>
      <c r="BD345" s="385"/>
      <c r="BE345" s="439"/>
      <c r="BF345" s="389"/>
      <c r="BG345" s="521"/>
      <c r="BH345" s="402" t="e">
        <f t="shared" si="170"/>
        <v>#DIV/0!</v>
      </c>
      <c r="BI345" s="402" t="e">
        <f t="shared" si="171"/>
        <v>#DIV/0!</v>
      </c>
    </row>
    <row r="346" spans="1:61" s="359" customFormat="1" x14ac:dyDescent="0.3">
      <c r="A346" s="360"/>
      <c r="B346" s="382"/>
      <c r="C346" s="433"/>
      <c r="D346" s="361"/>
      <c r="E346" s="404"/>
      <c r="F346" s="404"/>
      <c r="G346" s="400"/>
      <c r="H346" s="413"/>
      <c r="I346" s="401"/>
      <c r="J346" s="401"/>
      <c r="K346" s="401"/>
      <c r="L346" s="401"/>
      <c r="M346" s="401"/>
      <c r="N346" s="401"/>
      <c r="O346" s="401"/>
      <c r="P346" s="401"/>
      <c r="Q346" s="401"/>
      <c r="R346" s="389"/>
      <c r="S346" s="389"/>
      <c r="T346" s="389"/>
      <c r="U346" s="521"/>
      <c r="V346" s="402" t="e">
        <f>H346/E346*1000</f>
        <v>#DIV/0!</v>
      </c>
      <c r="W346" s="402" t="e">
        <f>H346/F346</f>
        <v>#DIV/0!</v>
      </c>
      <c r="X346" s="404"/>
      <c r="Y346" s="404"/>
      <c r="Z346" s="400"/>
      <c r="AA346" s="413"/>
      <c r="AB346" s="401"/>
      <c r="AC346" s="401"/>
      <c r="AD346" s="401"/>
      <c r="AE346" s="401"/>
      <c r="AF346" s="401"/>
      <c r="AG346" s="401"/>
      <c r="AH346" s="401"/>
      <c r="AI346" s="401"/>
      <c r="AJ346" s="401"/>
      <c r="AK346" s="389"/>
      <c r="AL346" s="389"/>
      <c r="AM346" s="389"/>
      <c r="AN346" s="521"/>
      <c r="AO346" s="402" t="e">
        <f>AA346/X346*1000</f>
        <v>#DIV/0!</v>
      </c>
      <c r="AP346" s="402" t="e">
        <f>AA346/Y346</f>
        <v>#DIV/0!</v>
      </c>
      <c r="AQ346" s="587"/>
      <c r="AR346" s="587"/>
      <c r="AS346" s="400"/>
      <c r="AT346" s="413"/>
      <c r="AU346" s="401"/>
      <c r="AV346" s="401"/>
      <c r="AW346" s="401"/>
      <c r="AX346" s="401"/>
      <c r="AY346" s="401"/>
      <c r="AZ346" s="401"/>
      <c r="BA346" s="401"/>
      <c r="BB346" s="401"/>
      <c r="BC346" s="401"/>
      <c r="BD346" s="389"/>
      <c r="BE346" s="389"/>
      <c r="BF346" s="389"/>
      <c r="BG346" s="521"/>
      <c r="BH346" s="402" t="e">
        <f t="shared" si="170"/>
        <v>#DIV/0!</v>
      </c>
      <c r="BI346" s="402" t="e">
        <f t="shared" si="171"/>
        <v>#DIV/0!</v>
      </c>
    </row>
    <row r="347" spans="1:61" s="359" customFormat="1" ht="87.6" customHeight="1" x14ac:dyDescent="0.3">
      <c r="A347" s="449" t="s">
        <v>246</v>
      </c>
      <c r="B347" s="450" t="s">
        <v>247</v>
      </c>
      <c r="C347" s="529" t="s">
        <v>250</v>
      </c>
      <c r="D347" s="452"/>
      <c r="E347" s="453">
        <f t="shared" ref="E347:Q347" si="181">E348+E354</f>
        <v>0</v>
      </c>
      <c r="F347" s="453">
        <f t="shared" si="181"/>
        <v>0</v>
      </c>
      <c r="G347" s="453">
        <f t="shared" si="181"/>
        <v>0</v>
      </c>
      <c r="H347" s="454">
        <f t="shared" si="181"/>
        <v>0</v>
      </c>
      <c r="I347" s="454">
        <f t="shared" si="181"/>
        <v>0</v>
      </c>
      <c r="J347" s="454">
        <f t="shared" si="181"/>
        <v>0</v>
      </c>
      <c r="K347" s="454">
        <f t="shared" si="181"/>
        <v>0</v>
      </c>
      <c r="L347" s="454">
        <f t="shared" si="181"/>
        <v>0</v>
      </c>
      <c r="M347" s="454">
        <f t="shared" si="181"/>
        <v>0</v>
      </c>
      <c r="N347" s="454">
        <f t="shared" si="181"/>
        <v>0</v>
      </c>
      <c r="O347" s="454">
        <f t="shared" si="181"/>
        <v>0</v>
      </c>
      <c r="P347" s="454">
        <f t="shared" si="181"/>
        <v>0</v>
      </c>
      <c r="Q347" s="454">
        <f t="shared" si="181"/>
        <v>0</v>
      </c>
      <c r="R347" s="455"/>
      <c r="S347" s="455"/>
      <c r="T347" s="455"/>
      <c r="U347" s="522"/>
      <c r="V347" s="457" t="e">
        <f>H347/E347*1000</f>
        <v>#DIV/0!</v>
      </c>
      <c r="W347" s="457" t="e">
        <f>H347/F347</f>
        <v>#DIV/0!</v>
      </c>
      <c r="X347" s="453">
        <f t="shared" ref="X347:AJ347" si="182">X348+X350+X354+X359</f>
        <v>479</v>
      </c>
      <c r="Y347" s="453">
        <f t="shared" si="182"/>
        <v>2026.25</v>
      </c>
      <c r="Z347" s="453">
        <f t="shared" si="182"/>
        <v>2026.25</v>
      </c>
      <c r="AA347" s="454">
        <f t="shared" si="182"/>
        <v>1893.2636400000001</v>
      </c>
      <c r="AB347" s="454">
        <f t="shared" si="182"/>
        <v>396.13819999999998</v>
      </c>
      <c r="AC347" s="454">
        <f t="shared" si="182"/>
        <v>577.64940000000001</v>
      </c>
      <c r="AD347" s="454">
        <f t="shared" si="182"/>
        <v>38.688309999999994</v>
      </c>
      <c r="AE347" s="454">
        <f t="shared" si="182"/>
        <v>831.62317000000007</v>
      </c>
      <c r="AF347" s="454">
        <f t="shared" si="182"/>
        <v>0</v>
      </c>
      <c r="AG347" s="454">
        <f t="shared" si="182"/>
        <v>0</v>
      </c>
      <c r="AH347" s="454">
        <f t="shared" si="182"/>
        <v>259.25223999999997</v>
      </c>
      <c r="AI347" s="454">
        <f t="shared" si="182"/>
        <v>1995.4499999999998</v>
      </c>
      <c r="AJ347" s="454">
        <f t="shared" si="182"/>
        <v>10.35629</v>
      </c>
      <c r="AK347" s="455"/>
      <c r="AL347" s="455"/>
      <c r="AM347" s="455"/>
      <c r="AN347" s="522"/>
      <c r="AO347" s="457">
        <f>AA347/X347*1000</f>
        <v>3952.5336951983304</v>
      </c>
      <c r="AP347" s="457">
        <f>AA347/Y347</f>
        <v>0.93436823689080817</v>
      </c>
      <c r="AQ347" s="453">
        <f t="shared" ref="AQ347:BC347" si="183">AQ348+AQ350+AQ354+AQ359</f>
        <v>120</v>
      </c>
      <c r="AR347" s="453">
        <f t="shared" si="183"/>
        <v>420</v>
      </c>
      <c r="AS347" s="453">
        <f t="shared" si="183"/>
        <v>420</v>
      </c>
      <c r="AT347" s="454">
        <f t="shared" si="183"/>
        <v>492</v>
      </c>
      <c r="AU347" s="454">
        <f t="shared" si="183"/>
        <v>83.88</v>
      </c>
      <c r="AV347" s="454">
        <f t="shared" si="183"/>
        <v>81.072000000000003</v>
      </c>
      <c r="AW347" s="454">
        <f t="shared" si="183"/>
        <v>0</v>
      </c>
      <c r="AX347" s="454">
        <f t="shared" si="183"/>
        <v>177.36936</v>
      </c>
      <c r="AY347" s="454">
        <f t="shared" si="183"/>
        <v>0</v>
      </c>
      <c r="AZ347" s="454">
        <f t="shared" si="183"/>
        <v>0</v>
      </c>
      <c r="BA347" s="454">
        <f t="shared" si="183"/>
        <v>72.964479999999995</v>
      </c>
      <c r="BB347" s="454">
        <f t="shared" si="183"/>
        <v>3.3759999999999999</v>
      </c>
      <c r="BC347" s="454">
        <f t="shared" si="183"/>
        <v>0</v>
      </c>
      <c r="BD347" s="455"/>
      <c r="BE347" s="455"/>
      <c r="BF347" s="455"/>
      <c r="BG347" s="522"/>
      <c r="BH347" s="457">
        <f t="shared" si="170"/>
        <v>4100</v>
      </c>
      <c r="BI347" s="457">
        <f t="shared" si="171"/>
        <v>1.1714285714285715</v>
      </c>
    </row>
    <row r="348" spans="1:61" s="359" customFormat="1" ht="24.75" customHeight="1" x14ac:dyDescent="0.3">
      <c r="A348" s="355" t="s">
        <v>179</v>
      </c>
      <c r="B348" s="356" t="s">
        <v>222</v>
      </c>
      <c r="C348" s="432"/>
      <c r="D348" s="357">
        <v>6</v>
      </c>
      <c r="E348" s="396">
        <f t="shared" ref="E348:Q348" si="184">SUM(E349:E353)</f>
        <v>0</v>
      </c>
      <c r="F348" s="396">
        <f t="shared" si="184"/>
        <v>0</v>
      </c>
      <c r="G348" s="396">
        <f t="shared" si="184"/>
        <v>0</v>
      </c>
      <c r="H348" s="397">
        <f t="shared" si="184"/>
        <v>0</v>
      </c>
      <c r="I348" s="397">
        <f t="shared" si="184"/>
        <v>0</v>
      </c>
      <c r="J348" s="397">
        <f t="shared" si="184"/>
        <v>0</v>
      </c>
      <c r="K348" s="397">
        <f t="shared" si="184"/>
        <v>0</v>
      </c>
      <c r="L348" s="397">
        <f t="shared" si="184"/>
        <v>0</v>
      </c>
      <c r="M348" s="397">
        <f t="shared" si="184"/>
        <v>0</v>
      </c>
      <c r="N348" s="397">
        <f t="shared" si="184"/>
        <v>0</v>
      </c>
      <c r="O348" s="397">
        <f t="shared" si="184"/>
        <v>0</v>
      </c>
      <c r="P348" s="397">
        <f t="shared" si="184"/>
        <v>0</v>
      </c>
      <c r="Q348" s="397">
        <f t="shared" si="184"/>
        <v>0</v>
      </c>
      <c r="R348" s="398"/>
      <c r="S348" s="398"/>
      <c r="T348" s="398"/>
      <c r="U348" s="520"/>
      <c r="V348" s="399" t="e">
        <f>H348/E348*1000</f>
        <v>#DIV/0!</v>
      </c>
      <c r="W348" s="399" t="e">
        <f>H348/F348</f>
        <v>#DIV/0!</v>
      </c>
      <c r="X348" s="396">
        <f t="shared" ref="X348:AJ348" si="185">SUM(X349)</f>
        <v>0</v>
      </c>
      <c r="Y348" s="396">
        <f t="shared" si="185"/>
        <v>0</v>
      </c>
      <c r="Z348" s="396">
        <f t="shared" si="185"/>
        <v>0</v>
      </c>
      <c r="AA348" s="397">
        <f t="shared" si="185"/>
        <v>0</v>
      </c>
      <c r="AB348" s="397">
        <f t="shared" si="185"/>
        <v>0</v>
      </c>
      <c r="AC348" s="397">
        <f t="shared" si="185"/>
        <v>0</v>
      </c>
      <c r="AD348" s="397">
        <f t="shared" si="185"/>
        <v>0</v>
      </c>
      <c r="AE348" s="397">
        <f t="shared" si="185"/>
        <v>0</v>
      </c>
      <c r="AF348" s="397">
        <f t="shared" si="185"/>
        <v>0</v>
      </c>
      <c r="AG348" s="397">
        <f t="shared" si="185"/>
        <v>0</v>
      </c>
      <c r="AH348" s="397">
        <f t="shared" si="185"/>
        <v>0</v>
      </c>
      <c r="AI348" s="397">
        <f t="shared" si="185"/>
        <v>0</v>
      </c>
      <c r="AJ348" s="397">
        <f t="shared" si="185"/>
        <v>0</v>
      </c>
      <c r="AK348" s="398"/>
      <c r="AL348" s="398"/>
      <c r="AM348" s="398"/>
      <c r="AN348" s="520"/>
      <c r="AO348" s="399" t="e">
        <f>AA348/X348*1000</f>
        <v>#DIV/0!</v>
      </c>
      <c r="AP348" s="399" t="e">
        <f>AA348/Y348</f>
        <v>#DIV/0!</v>
      </c>
      <c r="AQ348" s="396">
        <f t="shared" ref="AQ348:BC348" si="186">SUM(AQ349)</f>
        <v>0</v>
      </c>
      <c r="AR348" s="396">
        <f t="shared" si="186"/>
        <v>0</v>
      </c>
      <c r="AS348" s="396">
        <f t="shared" si="186"/>
        <v>0</v>
      </c>
      <c r="AT348" s="397">
        <f t="shared" si="186"/>
        <v>0</v>
      </c>
      <c r="AU348" s="397">
        <f t="shared" si="186"/>
        <v>0</v>
      </c>
      <c r="AV348" s="397">
        <f t="shared" si="186"/>
        <v>0</v>
      </c>
      <c r="AW348" s="397">
        <f t="shared" si="186"/>
        <v>0</v>
      </c>
      <c r="AX348" s="397">
        <f t="shared" si="186"/>
        <v>0</v>
      </c>
      <c r="AY348" s="397">
        <f t="shared" si="186"/>
        <v>0</v>
      </c>
      <c r="AZ348" s="397">
        <f t="shared" si="186"/>
        <v>0</v>
      </c>
      <c r="BA348" s="397">
        <f t="shared" si="186"/>
        <v>0</v>
      </c>
      <c r="BB348" s="397">
        <f t="shared" si="186"/>
        <v>0</v>
      </c>
      <c r="BC348" s="397">
        <f t="shared" si="186"/>
        <v>0</v>
      </c>
      <c r="BD348" s="398"/>
      <c r="BE348" s="398"/>
      <c r="BF348" s="398"/>
      <c r="BG348" s="520"/>
      <c r="BH348" s="399" t="e">
        <f t="shared" si="170"/>
        <v>#DIV/0!</v>
      </c>
      <c r="BI348" s="399" t="e">
        <f t="shared" si="171"/>
        <v>#DIV/0!</v>
      </c>
    </row>
    <row r="349" spans="1:61" s="359" customFormat="1" x14ac:dyDescent="0.3">
      <c r="A349" s="360"/>
      <c r="B349" s="388"/>
      <c r="C349" s="433"/>
      <c r="D349" s="361"/>
      <c r="E349" s="403"/>
      <c r="F349" s="404"/>
      <c r="G349" s="404"/>
      <c r="H349" s="413"/>
      <c r="I349" s="401"/>
      <c r="J349" s="401"/>
      <c r="K349" s="401"/>
      <c r="L349" s="401"/>
      <c r="M349" s="401"/>
      <c r="N349" s="401"/>
      <c r="O349" s="401"/>
      <c r="P349" s="401"/>
      <c r="Q349" s="401"/>
      <c r="R349" s="389"/>
      <c r="S349" s="389"/>
      <c r="T349" s="389"/>
      <c r="U349" s="521"/>
      <c r="V349" s="374"/>
      <c r="W349" s="402"/>
      <c r="X349" s="403"/>
      <c r="Y349" s="403"/>
      <c r="Z349" s="403"/>
      <c r="AA349" s="413"/>
      <c r="AB349" s="401"/>
      <c r="AC349" s="401"/>
      <c r="AD349" s="401"/>
      <c r="AE349" s="401"/>
      <c r="AF349" s="401"/>
      <c r="AG349" s="401"/>
      <c r="AH349" s="401"/>
      <c r="AI349" s="401"/>
      <c r="AJ349" s="401"/>
      <c r="AK349" s="389"/>
      <c r="AL349" s="389"/>
      <c r="AM349" s="389"/>
      <c r="AN349" s="521"/>
      <c r="AO349" s="374"/>
      <c r="AP349" s="402"/>
      <c r="AQ349" s="595"/>
      <c r="AR349" s="595"/>
      <c r="AS349" s="595"/>
      <c r="AT349" s="413"/>
      <c r="AU349" s="401"/>
      <c r="AV349" s="401"/>
      <c r="AW349" s="401"/>
      <c r="AX349" s="401"/>
      <c r="AY349" s="401"/>
      <c r="AZ349" s="401"/>
      <c r="BA349" s="401"/>
      <c r="BB349" s="401"/>
      <c r="BC349" s="401"/>
      <c r="BD349" s="389"/>
      <c r="BE349" s="389"/>
      <c r="BF349" s="389"/>
      <c r="BG349" s="521"/>
      <c r="BH349" s="374"/>
      <c r="BI349" s="402"/>
    </row>
    <row r="350" spans="1:61" s="359" customFormat="1" ht="24.75" customHeight="1" x14ac:dyDescent="0.3">
      <c r="A350" s="355" t="s">
        <v>183</v>
      </c>
      <c r="B350" s="356" t="s">
        <v>581</v>
      </c>
      <c r="C350" s="432"/>
      <c r="D350" s="357">
        <v>6</v>
      </c>
      <c r="E350" s="396">
        <f t="shared" ref="E350:Q350" si="187">SUM(E351:E354)</f>
        <v>0</v>
      </c>
      <c r="F350" s="396">
        <f t="shared" si="187"/>
        <v>0</v>
      </c>
      <c r="G350" s="396">
        <f t="shared" si="187"/>
        <v>0</v>
      </c>
      <c r="H350" s="397">
        <f t="shared" si="187"/>
        <v>0</v>
      </c>
      <c r="I350" s="397">
        <f t="shared" si="187"/>
        <v>0</v>
      </c>
      <c r="J350" s="397">
        <f t="shared" si="187"/>
        <v>0</v>
      </c>
      <c r="K350" s="397">
        <f t="shared" si="187"/>
        <v>0</v>
      </c>
      <c r="L350" s="397">
        <f t="shared" si="187"/>
        <v>0</v>
      </c>
      <c r="M350" s="397">
        <f t="shared" si="187"/>
        <v>0</v>
      </c>
      <c r="N350" s="397">
        <f t="shared" si="187"/>
        <v>0</v>
      </c>
      <c r="O350" s="397">
        <f t="shared" si="187"/>
        <v>0</v>
      </c>
      <c r="P350" s="397">
        <f t="shared" si="187"/>
        <v>0</v>
      </c>
      <c r="Q350" s="397">
        <f t="shared" si="187"/>
        <v>0</v>
      </c>
      <c r="R350" s="398"/>
      <c r="S350" s="398"/>
      <c r="T350" s="398"/>
      <c r="U350" s="520"/>
      <c r="V350" s="399" t="e">
        <f>H350/E350*1000</f>
        <v>#DIV/0!</v>
      </c>
      <c r="W350" s="399" t="e">
        <f>H350/F350</f>
        <v>#DIV/0!</v>
      </c>
      <c r="X350" s="396">
        <f t="shared" ref="X350:AJ350" si="188">SUM(X351:X353)</f>
        <v>134</v>
      </c>
      <c r="Y350" s="396">
        <f t="shared" si="188"/>
        <v>426.25</v>
      </c>
      <c r="Z350" s="396">
        <f t="shared" si="188"/>
        <v>426.25</v>
      </c>
      <c r="AA350" s="397">
        <f t="shared" si="188"/>
        <v>549.4</v>
      </c>
      <c r="AB350" s="397">
        <f t="shared" si="188"/>
        <v>93.665999999999997</v>
      </c>
      <c r="AC350" s="397">
        <f t="shared" si="188"/>
        <v>240.44399999999999</v>
      </c>
      <c r="AD350" s="397">
        <f t="shared" si="188"/>
        <v>21.544969999999999</v>
      </c>
      <c r="AE350" s="397">
        <f t="shared" si="188"/>
        <v>199.33044000000001</v>
      </c>
      <c r="AF350" s="397">
        <f t="shared" si="188"/>
        <v>0</v>
      </c>
      <c r="AG350" s="397">
        <f t="shared" si="188"/>
        <v>0</v>
      </c>
      <c r="AH350" s="397">
        <f t="shared" si="188"/>
        <v>81.026679999999999</v>
      </c>
      <c r="AI350" s="397">
        <f t="shared" si="188"/>
        <v>601.11</v>
      </c>
      <c r="AJ350" s="397">
        <f t="shared" si="188"/>
        <v>3.7571400000000001</v>
      </c>
      <c r="AK350" s="398"/>
      <c r="AL350" s="398"/>
      <c r="AM350" s="398"/>
      <c r="AN350" s="520"/>
      <c r="AO350" s="399">
        <f>AA350/X350*1000</f>
        <v>4100</v>
      </c>
      <c r="AP350" s="399">
        <f>AA350/Y350</f>
        <v>1.2889149560117301</v>
      </c>
      <c r="AQ350" s="396">
        <f t="shared" ref="AQ350:BC350" si="189">SUM(AQ351:AQ353)</f>
        <v>0</v>
      </c>
      <c r="AR350" s="396">
        <f t="shared" si="189"/>
        <v>0</v>
      </c>
      <c r="AS350" s="396">
        <f t="shared" si="189"/>
        <v>0</v>
      </c>
      <c r="AT350" s="397">
        <f t="shared" si="189"/>
        <v>0</v>
      </c>
      <c r="AU350" s="397">
        <f t="shared" si="189"/>
        <v>0</v>
      </c>
      <c r="AV350" s="397">
        <f t="shared" si="189"/>
        <v>0</v>
      </c>
      <c r="AW350" s="397">
        <f t="shared" si="189"/>
        <v>0</v>
      </c>
      <c r="AX350" s="397">
        <f t="shared" si="189"/>
        <v>0</v>
      </c>
      <c r="AY350" s="397">
        <f t="shared" si="189"/>
        <v>0</v>
      </c>
      <c r="AZ350" s="397">
        <f t="shared" si="189"/>
        <v>0</v>
      </c>
      <c r="BA350" s="397">
        <f t="shared" si="189"/>
        <v>0</v>
      </c>
      <c r="BB350" s="397">
        <f t="shared" si="189"/>
        <v>0</v>
      </c>
      <c r="BC350" s="397">
        <f t="shared" si="189"/>
        <v>0</v>
      </c>
      <c r="BD350" s="398"/>
      <c r="BE350" s="398"/>
      <c r="BF350" s="398"/>
      <c r="BG350" s="520"/>
      <c r="BH350" s="399" t="e">
        <f>AT350/AQ350*1000</f>
        <v>#DIV/0!</v>
      </c>
      <c r="BI350" s="399" t="e">
        <f>AT350/AR350</f>
        <v>#DIV/0!</v>
      </c>
    </row>
    <row r="351" spans="1:61" s="359" customFormat="1" ht="72" x14ac:dyDescent="0.3">
      <c r="A351" s="360" t="s">
        <v>179</v>
      </c>
      <c r="B351" s="569" t="s">
        <v>568</v>
      </c>
      <c r="C351" s="429" t="s">
        <v>480</v>
      </c>
      <c r="D351" s="361">
        <v>6</v>
      </c>
      <c r="E351" s="408"/>
      <c r="F351" s="404"/>
      <c r="G351" s="404"/>
      <c r="H351" s="414"/>
      <c r="I351" s="401"/>
      <c r="J351" s="401"/>
      <c r="K351" s="401"/>
      <c r="L351" s="401"/>
      <c r="M351" s="401"/>
      <c r="N351" s="401"/>
      <c r="O351" s="401"/>
      <c r="P351" s="401"/>
      <c r="Q351" s="401"/>
      <c r="R351" s="389"/>
      <c r="S351" s="389"/>
      <c r="T351" s="389"/>
      <c r="U351" s="521"/>
      <c r="V351" s="374"/>
      <c r="W351" s="402" t="e">
        <v>#DIV/0!</v>
      </c>
      <c r="X351" s="408">
        <v>134</v>
      </c>
      <c r="Y351" s="575">
        <v>426.25</v>
      </c>
      <c r="Z351" s="576">
        <v>426.25</v>
      </c>
      <c r="AA351" s="546">
        <f>274.7+274.7</f>
        <v>549.4</v>
      </c>
      <c r="AB351" s="401">
        <f>46.833+46.833</f>
        <v>93.665999999999997</v>
      </c>
      <c r="AC351" s="401">
        <v>240.44399999999999</v>
      </c>
      <c r="AD351" s="401">
        <f>10.27355+11.27142</f>
        <v>21.544969999999999</v>
      </c>
      <c r="AE351" s="401">
        <f>99.66522+99.66522</f>
        <v>199.33044000000001</v>
      </c>
      <c r="AF351" s="401">
        <v>0</v>
      </c>
      <c r="AG351" s="401">
        <v>0</v>
      </c>
      <c r="AH351" s="401">
        <f>40.51334+40.51334</f>
        <v>81.026679999999999</v>
      </c>
      <c r="AI351" s="401">
        <v>601.11</v>
      </c>
      <c r="AJ351" s="401">
        <v>3.7571400000000001</v>
      </c>
      <c r="AK351" s="385" t="s">
        <v>167</v>
      </c>
      <c r="AL351" s="439" t="s">
        <v>175</v>
      </c>
      <c r="AM351" s="510" t="s">
        <v>596</v>
      </c>
      <c r="AN351" s="521">
        <v>413</v>
      </c>
      <c r="AO351" s="374">
        <f>AA351/X351*1000</f>
        <v>4100</v>
      </c>
      <c r="AP351" s="402">
        <f>AA351/Y351</f>
        <v>1.2889149560117301</v>
      </c>
      <c r="AQ351" s="599"/>
      <c r="AR351" s="576"/>
      <c r="AS351" s="576"/>
      <c r="AT351" s="546"/>
      <c r="AU351" s="401"/>
      <c r="AV351" s="401"/>
      <c r="AW351" s="401"/>
      <c r="AX351" s="401"/>
      <c r="AY351" s="401"/>
      <c r="AZ351" s="401"/>
      <c r="BA351" s="401"/>
      <c r="BB351" s="401"/>
      <c r="BC351" s="401"/>
      <c r="BD351" s="385"/>
      <c r="BE351" s="439"/>
      <c r="BF351" s="510"/>
      <c r="BG351" s="521"/>
      <c r="BH351" s="374" t="e">
        <f>AT351/AQ351*1000</f>
        <v>#DIV/0!</v>
      </c>
      <c r="BI351" s="402" t="e">
        <f>AT351/AR351</f>
        <v>#DIV/0!</v>
      </c>
    </row>
    <row r="352" spans="1:61" s="359" customFormat="1" x14ac:dyDescent="0.3">
      <c r="A352" s="360"/>
      <c r="B352" s="388"/>
      <c r="C352" s="429"/>
      <c r="D352" s="361">
        <v>6</v>
      </c>
      <c r="E352" s="408"/>
      <c r="F352" s="404"/>
      <c r="G352" s="404"/>
      <c r="H352" s="414"/>
      <c r="I352" s="401"/>
      <c r="J352" s="401"/>
      <c r="K352" s="401"/>
      <c r="L352" s="401"/>
      <c r="M352" s="401"/>
      <c r="N352" s="401"/>
      <c r="O352" s="401"/>
      <c r="P352" s="401"/>
      <c r="Q352" s="401"/>
      <c r="R352" s="389"/>
      <c r="S352" s="389"/>
      <c r="T352" s="389"/>
      <c r="U352" s="521"/>
      <c r="V352" s="374"/>
      <c r="W352" s="402"/>
      <c r="X352" s="408"/>
      <c r="Y352" s="575"/>
      <c r="Z352" s="576"/>
      <c r="AA352" s="414"/>
      <c r="AB352" s="401"/>
      <c r="AC352" s="401"/>
      <c r="AD352" s="401"/>
      <c r="AE352" s="401"/>
      <c r="AF352" s="401"/>
      <c r="AG352" s="401"/>
      <c r="AH352" s="401"/>
      <c r="AI352" s="401"/>
      <c r="AJ352" s="401"/>
      <c r="AK352" s="385"/>
      <c r="AL352" s="439"/>
      <c r="AM352" s="510"/>
      <c r="AN352" s="521"/>
      <c r="AO352" s="374"/>
      <c r="AP352" s="402"/>
      <c r="AQ352" s="599"/>
      <c r="AR352" s="576"/>
      <c r="AS352" s="576"/>
      <c r="AT352" s="414"/>
      <c r="AU352" s="401"/>
      <c r="AV352" s="401"/>
      <c r="AW352" s="401"/>
      <c r="AX352" s="401"/>
      <c r="AY352" s="401"/>
      <c r="AZ352" s="401"/>
      <c r="BA352" s="401"/>
      <c r="BB352" s="401"/>
      <c r="BC352" s="401"/>
      <c r="BD352" s="385"/>
      <c r="BE352" s="439"/>
      <c r="BF352" s="510"/>
      <c r="BG352" s="521"/>
      <c r="BH352" s="374" t="e">
        <f>AT352/AQ352*1000</f>
        <v>#DIV/0!</v>
      </c>
      <c r="BI352" s="402" t="e">
        <f>AT352/AR352</f>
        <v>#DIV/0!</v>
      </c>
    </row>
    <row r="353" spans="1:61" s="359" customFormat="1" x14ac:dyDescent="0.3">
      <c r="A353" s="360"/>
      <c r="B353" s="388"/>
      <c r="C353" s="511"/>
      <c r="D353" s="361"/>
      <c r="E353" s="403"/>
      <c r="F353" s="404"/>
      <c r="G353" s="404"/>
      <c r="H353" s="401"/>
      <c r="I353" s="379"/>
      <c r="J353" s="379"/>
      <c r="K353" s="379"/>
      <c r="L353" s="379"/>
      <c r="M353" s="379"/>
      <c r="N353" s="379"/>
      <c r="O353" s="379"/>
      <c r="P353" s="401"/>
      <c r="Q353" s="401"/>
      <c r="R353" s="389"/>
      <c r="S353" s="389"/>
      <c r="T353" s="389"/>
      <c r="U353" s="521"/>
      <c r="V353" s="374"/>
      <c r="W353" s="402"/>
      <c r="X353" s="403"/>
      <c r="Y353" s="404"/>
      <c r="Z353" s="404"/>
      <c r="AA353" s="401"/>
      <c r="AB353" s="379"/>
      <c r="AC353" s="379"/>
      <c r="AD353" s="379"/>
      <c r="AE353" s="379"/>
      <c r="AF353" s="379"/>
      <c r="AG353" s="379"/>
      <c r="AH353" s="379"/>
      <c r="AI353" s="401"/>
      <c r="AJ353" s="401"/>
      <c r="AK353" s="389"/>
      <c r="AL353" s="389"/>
      <c r="AM353" s="389"/>
      <c r="AN353" s="521"/>
      <c r="AO353" s="374"/>
      <c r="AP353" s="402"/>
      <c r="AQ353" s="595"/>
      <c r="AR353" s="587"/>
      <c r="AS353" s="587"/>
      <c r="AT353" s="401"/>
      <c r="AU353" s="379"/>
      <c r="AV353" s="379"/>
      <c r="AW353" s="379"/>
      <c r="AX353" s="379"/>
      <c r="AY353" s="379"/>
      <c r="AZ353" s="379"/>
      <c r="BA353" s="379"/>
      <c r="BB353" s="401"/>
      <c r="BC353" s="401"/>
      <c r="BD353" s="389"/>
      <c r="BE353" s="389"/>
      <c r="BF353" s="389"/>
      <c r="BG353" s="521"/>
      <c r="BH353" s="374"/>
      <c r="BI353" s="402"/>
    </row>
    <row r="354" spans="1:61" s="359" customFormat="1" ht="24.75" customHeight="1" x14ac:dyDescent="0.3">
      <c r="A354" s="355" t="s">
        <v>183</v>
      </c>
      <c r="B354" s="356" t="s">
        <v>248</v>
      </c>
      <c r="C354" s="432"/>
      <c r="D354" s="357">
        <v>6</v>
      </c>
      <c r="E354" s="396">
        <f t="shared" ref="E354:Q354" si="190">SUM(E355:E362)</f>
        <v>0</v>
      </c>
      <c r="F354" s="396">
        <f t="shared" si="190"/>
        <v>0</v>
      </c>
      <c r="G354" s="396">
        <f t="shared" si="190"/>
        <v>0</v>
      </c>
      <c r="H354" s="397">
        <f t="shared" si="190"/>
        <v>0</v>
      </c>
      <c r="I354" s="397">
        <f t="shared" si="190"/>
        <v>0</v>
      </c>
      <c r="J354" s="397">
        <f t="shared" si="190"/>
        <v>0</v>
      </c>
      <c r="K354" s="397">
        <f t="shared" si="190"/>
        <v>0</v>
      </c>
      <c r="L354" s="397">
        <f t="shared" si="190"/>
        <v>0</v>
      </c>
      <c r="M354" s="397">
        <f t="shared" si="190"/>
        <v>0</v>
      </c>
      <c r="N354" s="397">
        <f t="shared" si="190"/>
        <v>0</v>
      </c>
      <c r="O354" s="397">
        <f t="shared" si="190"/>
        <v>0</v>
      </c>
      <c r="P354" s="397">
        <f t="shared" si="190"/>
        <v>0</v>
      </c>
      <c r="Q354" s="397">
        <f t="shared" si="190"/>
        <v>0</v>
      </c>
      <c r="R354" s="398"/>
      <c r="S354" s="398"/>
      <c r="T354" s="398"/>
      <c r="U354" s="520"/>
      <c r="V354" s="399" t="e">
        <f>H354/E354*1000</f>
        <v>#DIV/0!</v>
      </c>
      <c r="W354" s="399" t="e">
        <f>H354/F354</f>
        <v>#DIV/0!</v>
      </c>
      <c r="X354" s="396">
        <f t="shared" ref="X354:AJ354" si="191">SUM(X355:X358)</f>
        <v>110</v>
      </c>
      <c r="Y354" s="396">
        <f t="shared" si="191"/>
        <v>200</v>
      </c>
      <c r="Z354" s="396">
        <f t="shared" si="191"/>
        <v>200</v>
      </c>
      <c r="AA354" s="397">
        <f t="shared" si="191"/>
        <v>451</v>
      </c>
      <c r="AB354" s="397">
        <f t="shared" si="191"/>
        <v>76.205799999999996</v>
      </c>
      <c r="AC354" s="397">
        <f t="shared" si="191"/>
        <v>158.92500000000001</v>
      </c>
      <c r="AD354" s="397">
        <f t="shared" si="191"/>
        <v>9.2532599999999992</v>
      </c>
      <c r="AE354" s="397">
        <f t="shared" si="191"/>
        <v>163.38319999999999</v>
      </c>
      <c r="AF354" s="397">
        <f t="shared" si="191"/>
        <v>0</v>
      </c>
      <c r="AG354" s="397">
        <f t="shared" si="191"/>
        <v>0</v>
      </c>
      <c r="AH354" s="397">
        <f t="shared" si="191"/>
        <v>66.899050000000003</v>
      </c>
      <c r="AI354" s="397">
        <f t="shared" si="191"/>
        <v>635.70000000000005</v>
      </c>
      <c r="AJ354" s="397">
        <f t="shared" si="191"/>
        <v>4.6266299999999996</v>
      </c>
      <c r="AK354" s="398"/>
      <c r="AL354" s="398"/>
      <c r="AM354" s="398"/>
      <c r="AN354" s="520"/>
      <c r="AO354" s="399">
        <f>AA354/X354*1000</f>
        <v>4100</v>
      </c>
      <c r="AP354" s="399">
        <f>AA354/Y354</f>
        <v>2.2549999999999999</v>
      </c>
      <c r="AQ354" s="396">
        <f t="shared" ref="AQ354:BC354" si="192">SUM(AQ355:AQ358)</f>
        <v>120</v>
      </c>
      <c r="AR354" s="396">
        <f t="shared" si="192"/>
        <v>420</v>
      </c>
      <c r="AS354" s="396">
        <f t="shared" si="192"/>
        <v>420</v>
      </c>
      <c r="AT354" s="397">
        <f t="shared" si="192"/>
        <v>492</v>
      </c>
      <c r="AU354" s="397">
        <f t="shared" si="192"/>
        <v>83.88</v>
      </c>
      <c r="AV354" s="397">
        <f t="shared" si="192"/>
        <v>81.072000000000003</v>
      </c>
      <c r="AW354" s="397">
        <f t="shared" si="192"/>
        <v>0</v>
      </c>
      <c r="AX354" s="397">
        <f t="shared" si="192"/>
        <v>177.36936</v>
      </c>
      <c r="AY354" s="397">
        <f t="shared" si="192"/>
        <v>0</v>
      </c>
      <c r="AZ354" s="397">
        <f t="shared" si="192"/>
        <v>0</v>
      </c>
      <c r="BA354" s="397">
        <f t="shared" si="192"/>
        <v>72.964479999999995</v>
      </c>
      <c r="BB354" s="397">
        <f t="shared" si="192"/>
        <v>3.3759999999999999</v>
      </c>
      <c r="BC354" s="397">
        <f t="shared" si="192"/>
        <v>0</v>
      </c>
      <c r="BD354" s="398"/>
      <c r="BE354" s="398"/>
      <c r="BF354" s="398"/>
      <c r="BG354" s="520"/>
      <c r="BH354" s="399">
        <f>AT354/AQ354*1000</f>
        <v>4100</v>
      </c>
      <c r="BI354" s="399">
        <f>AT354/AR354</f>
        <v>1.1714285714285715</v>
      </c>
    </row>
    <row r="355" spans="1:61" s="359" customFormat="1" ht="72" x14ac:dyDescent="0.3">
      <c r="A355" s="360" t="s">
        <v>179</v>
      </c>
      <c r="B355" s="543" t="s">
        <v>557</v>
      </c>
      <c r="C355" s="435" t="s">
        <v>467</v>
      </c>
      <c r="D355" s="361">
        <v>6</v>
      </c>
      <c r="E355" s="405"/>
      <c r="F355" s="405"/>
      <c r="G355" s="405"/>
      <c r="H355" s="415"/>
      <c r="I355" s="401"/>
      <c r="J355" s="401"/>
      <c r="K355" s="401"/>
      <c r="L355" s="401"/>
      <c r="M355" s="401"/>
      <c r="N355" s="401"/>
      <c r="O355" s="401"/>
      <c r="P355" s="401"/>
      <c r="Q355" s="401"/>
      <c r="R355" s="389"/>
      <c r="S355" s="389"/>
      <c r="T355" s="389"/>
      <c r="U355" s="521"/>
      <c r="V355" s="402"/>
      <c r="W355" s="402"/>
      <c r="X355" s="403">
        <v>110</v>
      </c>
      <c r="Y355" s="404">
        <v>200</v>
      </c>
      <c r="Z355" s="400">
        <v>200</v>
      </c>
      <c r="AA355" s="574">
        <v>451</v>
      </c>
      <c r="AB355" s="401">
        <v>76.205799999999996</v>
      </c>
      <c r="AC355" s="401">
        <v>158.92500000000001</v>
      </c>
      <c r="AD355" s="401">
        <v>9.2532599999999992</v>
      </c>
      <c r="AE355" s="401">
        <v>163.38319999999999</v>
      </c>
      <c r="AF355" s="401">
        <v>0</v>
      </c>
      <c r="AG355" s="401">
        <v>0</v>
      </c>
      <c r="AH355" s="401">
        <v>66.899050000000003</v>
      </c>
      <c r="AI355" s="401">
        <v>635.70000000000005</v>
      </c>
      <c r="AJ355" s="401">
        <v>4.6266299999999996</v>
      </c>
      <c r="AK355" s="385" t="s">
        <v>167</v>
      </c>
      <c r="AL355" s="439" t="s">
        <v>175</v>
      </c>
      <c r="AM355" s="510" t="s">
        <v>596</v>
      </c>
      <c r="AN355" s="521" t="s">
        <v>597</v>
      </c>
      <c r="AO355" s="402"/>
      <c r="AP355" s="402"/>
      <c r="AQ355" s="595"/>
      <c r="AR355" s="587"/>
      <c r="AS355" s="400"/>
      <c r="AT355" s="574"/>
      <c r="AU355" s="401"/>
      <c r="AV355" s="401"/>
      <c r="AW355" s="401"/>
      <c r="AX355" s="401"/>
      <c r="AY355" s="401"/>
      <c r="AZ355" s="401"/>
      <c r="BA355" s="401"/>
      <c r="BB355" s="401"/>
      <c r="BC355" s="401"/>
      <c r="BD355" s="385"/>
      <c r="BE355" s="439"/>
      <c r="BF355" s="510"/>
      <c r="BG355" s="521"/>
      <c r="BH355" s="402" t="e">
        <f>AT355/AQ355*1000</f>
        <v>#DIV/0!</v>
      </c>
      <c r="BI355" s="402" t="e">
        <f>AT355/AR355</f>
        <v>#DIV/0!</v>
      </c>
    </row>
    <row r="356" spans="1:61" s="359" customFormat="1" ht="72" x14ac:dyDescent="0.3">
      <c r="A356" s="360" t="s">
        <v>179</v>
      </c>
      <c r="B356" s="582" t="s">
        <v>795</v>
      </c>
      <c r="C356" s="435" t="s">
        <v>686</v>
      </c>
      <c r="D356" s="361">
        <v>6</v>
      </c>
      <c r="E356" s="405"/>
      <c r="F356" s="405"/>
      <c r="G356" s="405"/>
      <c r="H356" s="415"/>
      <c r="I356" s="401"/>
      <c r="J356" s="401"/>
      <c r="K356" s="401"/>
      <c r="L356" s="401"/>
      <c r="M356" s="401"/>
      <c r="N356" s="401"/>
      <c r="O356" s="401"/>
      <c r="P356" s="401"/>
      <c r="Q356" s="401"/>
      <c r="R356" s="389"/>
      <c r="S356" s="389"/>
      <c r="T356" s="389"/>
      <c r="U356" s="521"/>
      <c r="V356" s="402"/>
      <c r="W356" s="402"/>
      <c r="X356" s="403"/>
      <c r="Y356" s="404"/>
      <c r="Z356" s="400"/>
      <c r="AA356" s="415"/>
      <c r="AB356" s="401"/>
      <c r="AC356" s="401"/>
      <c r="AD356" s="401"/>
      <c r="AE356" s="401"/>
      <c r="AF356" s="401"/>
      <c r="AG356" s="401"/>
      <c r="AH356" s="401"/>
      <c r="AI356" s="401"/>
      <c r="AJ356" s="401"/>
      <c r="AK356" s="385"/>
      <c r="AL356" s="439"/>
      <c r="AM356" s="510"/>
      <c r="AN356" s="521"/>
      <c r="AO356" s="402"/>
      <c r="AP356" s="402"/>
      <c r="AQ356" s="595">
        <v>120</v>
      </c>
      <c r="AR356" s="587">
        <v>420</v>
      </c>
      <c r="AS356" s="400">
        <v>420</v>
      </c>
      <c r="AT356" s="581">
        <v>492</v>
      </c>
      <c r="AU356" s="401">
        <v>83.88</v>
      </c>
      <c r="AV356" s="401">
        <v>81.072000000000003</v>
      </c>
      <c r="AW356" s="401"/>
      <c r="AX356" s="401">
        <v>177.36936</v>
      </c>
      <c r="AY356" s="401">
        <v>0</v>
      </c>
      <c r="AZ356" s="401">
        <v>0</v>
      </c>
      <c r="BA356" s="401">
        <v>72.964479999999995</v>
      </c>
      <c r="BB356" s="401">
        <v>3.3759999999999999</v>
      </c>
      <c r="BC356" s="401"/>
      <c r="BD356" s="385" t="s">
        <v>1102</v>
      </c>
      <c r="BE356" s="439" t="s">
        <v>1103</v>
      </c>
      <c r="BF356" s="510" t="s">
        <v>596</v>
      </c>
      <c r="BG356" s="521">
        <v>467</v>
      </c>
      <c r="BH356" s="402">
        <f>AT356/AQ356*1000</f>
        <v>4100</v>
      </c>
      <c r="BI356" s="402">
        <f>AT356/AR356</f>
        <v>1.1714285714285715</v>
      </c>
    </row>
    <row r="357" spans="1:61" s="359" customFormat="1" x14ac:dyDescent="0.3">
      <c r="A357" s="360"/>
      <c r="B357" s="592"/>
      <c r="C357" s="435"/>
      <c r="D357" s="361">
        <v>6</v>
      </c>
      <c r="E357" s="405"/>
      <c r="F357" s="405"/>
      <c r="G357" s="405"/>
      <c r="H357" s="415"/>
      <c r="I357" s="401"/>
      <c r="J357" s="401"/>
      <c r="K357" s="401"/>
      <c r="L357" s="401"/>
      <c r="M357" s="401"/>
      <c r="N357" s="401"/>
      <c r="O357" s="401"/>
      <c r="P357" s="401"/>
      <c r="Q357" s="401"/>
      <c r="R357" s="389"/>
      <c r="S357" s="389"/>
      <c r="T357" s="389"/>
      <c r="U357" s="521"/>
      <c r="V357" s="402"/>
      <c r="W357" s="402"/>
      <c r="X357" s="403"/>
      <c r="Y357" s="404"/>
      <c r="Z357" s="400"/>
      <c r="AA357" s="415"/>
      <c r="AB357" s="401"/>
      <c r="AC357" s="401"/>
      <c r="AD357" s="401"/>
      <c r="AE357" s="401"/>
      <c r="AF357" s="401"/>
      <c r="AG357" s="401"/>
      <c r="AH357" s="401"/>
      <c r="AI357" s="401"/>
      <c r="AJ357" s="401"/>
      <c r="AK357" s="385"/>
      <c r="AL357" s="439"/>
      <c r="AM357" s="510"/>
      <c r="AN357" s="521"/>
      <c r="AO357" s="402"/>
      <c r="AP357" s="402"/>
      <c r="AQ357" s="595"/>
      <c r="AR357" s="587"/>
      <c r="AS357" s="400"/>
      <c r="AT357" s="415"/>
      <c r="AU357" s="401"/>
      <c r="AV357" s="401"/>
      <c r="AW357" s="401"/>
      <c r="AX357" s="401"/>
      <c r="AY357" s="401"/>
      <c r="AZ357" s="401"/>
      <c r="BA357" s="401"/>
      <c r="BB357" s="401"/>
      <c r="BC357" s="401"/>
      <c r="BD357" s="385"/>
      <c r="BE357" s="439"/>
      <c r="BF357" s="510"/>
      <c r="BG357" s="521"/>
      <c r="BH357" s="402" t="e">
        <f>AT357/AQ357*1000</f>
        <v>#DIV/0!</v>
      </c>
      <c r="BI357" s="402" t="e">
        <f>AT357/AR357</f>
        <v>#DIV/0!</v>
      </c>
    </row>
    <row r="358" spans="1:61" s="359" customFormat="1" x14ac:dyDescent="0.3">
      <c r="A358" s="360"/>
      <c r="B358" s="570"/>
      <c r="C358" s="435"/>
      <c r="D358" s="361"/>
      <c r="E358" s="405"/>
      <c r="F358" s="405"/>
      <c r="G358" s="405"/>
      <c r="H358" s="415"/>
      <c r="I358" s="401"/>
      <c r="J358" s="401"/>
      <c r="K358" s="401"/>
      <c r="L358" s="401"/>
      <c r="M358" s="401"/>
      <c r="N358" s="401"/>
      <c r="O358" s="401"/>
      <c r="P358" s="401"/>
      <c r="Q358" s="401"/>
      <c r="R358" s="389"/>
      <c r="S358" s="389"/>
      <c r="T358" s="389"/>
      <c r="U358" s="521"/>
      <c r="V358" s="402"/>
      <c r="W358" s="402"/>
      <c r="X358" s="405"/>
      <c r="Y358" s="405"/>
      <c r="Z358" s="405"/>
      <c r="AA358" s="415"/>
      <c r="AB358" s="401"/>
      <c r="AC358" s="401"/>
      <c r="AD358" s="401"/>
      <c r="AE358" s="401"/>
      <c r="AF358" s="401"/>
      <c r="AG358" s="401"/>
      <c r="AH358" s="401"/>
      <c r="AI358" s="401"/>
      <c r="AJ358" s="401"/>
      <c r="AK358" s="389"/>
      <c r="AL358" s="389"/>
      <c r="AM358" s="389"/>
      <c r="AN358" s="521"/>
      <c r="AO358" s="402"/>
      <c r="AP358" s="402"/>
      <c r="AQ358" s="588"/>
      <c r="AR358" s="588"/>
      <c r="AS358" s="588"/>
      <c r="AT358" s="415"/>
      <c r="AU358" s="401"/>
      <c r="AV358" s="401"/>
      <c r="AW358" s="401"/>
      <c r="AX358" s="401"/>
      <c r="AY358" s="401"/>
      <c r="AZ358" s="401"/>
      <c r="BA358" s="401"/>
      <c r="BB358" s="401"/>
      <c r="BC358" s="401"/>
      <c r="BD358" s="389"/>
      <c r="BE358" s="389"/>
      <c r="BF358" s="389"/>
      <c r="BG358" s="521"/>
      <c r="BH358" s="402"/>
      <c r="BI358" s="402"/>
    </row>
    <row r="359" spans="1:61" s="359" customFormat="1" ht="24.75" customHeight="1" x14ac:dyDescent="0.3">
      <c r="A359" s="355" t="s">
        <v>190</v>
      </c>
      <c r="B359" s="356" t="s">
        <v>205</v>
      </c>
      <c r="C359" s="432"/>
      <c r="D359" s="357">
        <v>6</v>
      </c>
      <c r="E359" s="396">
        <f t="shared" ref="E359:Q359" si="193">SUM(E360:E362)</f>
        <v>0</v>
      </c>
      <c r="F359" s="396">
        <f t="shared" si="193"/>
        <v>0</v>
      </c>
      <c r="G359" s="396">
        <f t="shared" si="193"/>
        <v>0</v>
      </c>
      <c r="H359" s="397">
        <f t="shared" si="193"/>
        <v>0</v>
      </c>
      <c r="I359" s="397">
        <f t="shared" si="193"/>
        <v>0</v>
      </c>
      <c r="J359" s="397">
        <f t="shared" si="193"/>
        <v>0</v>
      </c>
      <c r="K359" s="397">
        <f t="shared" si="193"/>
        <v>0</v>
      </c>
      <c r="L359" s="397">
        <f t="shared" si="193"/>
        <v>0</v>
      </c>
      <c r="M359" s="397">
        <f t="shared" si="193"/>
        <v>0</v>
      </c>
      <c r="N359" s="397">
        <f t="shared" si="193"/>
        <v>0</v>
      </c>
      <c r="O359" s="397">
        <f t="shared" si="193"/>
        <v>0</v>
      </c>
      <c r="P359" s="397">
        <f t="shared" si="193"/>
        <v>0</v>
      </c>
      <c r="Q359" s="397">
        <f t="shared" si="193"/>
        <v>0</v>
      </c>
      <c r="R359" s="398"/>
      <c r="S359" s="398"/>
      <c r="T359" s="398"/>
      <c r="U359" s="520"/>
      <c r="V359" s="399" t="e">
        <f>H359/E359*1000</f>
        <v>#DIV/0!</v>
      </c>
      <c r="W359" s="399" t="e">
        <f>H359/F359</f>
        <v>#DIV/0!</v>
      </c>
      <c r="X359" s="396">
        <f t="shared" ref="X359:AJ359" si="194">SUM(X360:X362)</f>
        <v>235</v>
      </c>
      <c r="Y359" s="396">
        <f t="shared" si="194"/>
        <v>1400</v>
      </c>
      <c r="Z359" s="396">
        <f t="shared" si="194"/>
        <v>1400</v>
      </c>
      <c r="AA359" s="397">
        <f t="shared" si="194"/>
        <v>892.86364000000003</v>
      </c>
      <c r="AB359" s="397">
        <f t="shared" si="194"/>
        <v>226.2664</v>
      </c>
      <c r="AC359" s="397">
        <f t="shared" si="194"/>
        <v>178.28039999999999</v>
      </c>
      <c r="AD359" s="397">
        <f t="shared" si="194"/>
        <v>7.8900800000000002</v>
      </c>
      <c r="AE359" s="397">
        <f t="shared" si="194"/>
        <v>468.90953000000002</v>
      </c>
      <c r="AF359" s="397">
        <f t="shared" si="194"/>
        <v>0</v>
      </c>
      <c r="AG359" s="397">
        <f t="shared" si="194"/>
        <v>0</v>
      </c>
      <c r="AH359" s="397">
        <f t="shared" si="194"/>
        <v>111.32651</v>
      </c>
      <c r="AI359" s="397">
        <f t="shared" si="194"/>
        <v>758.64</v>
      </c>
      <c r="AJ359" s="397">
        <f t="shared" si="194"/>
        <v>1.9725200000000001</v>
      </c>
      <c r="AK359" s="398"/>
      <c r="AL359" s="398"/>
      <c r="AM359" s="398"/>
      <c r="AN359" s="520"/>
      <c r="AO359" s="399">
        <f>AA359/X359*1000</f>
        <v>3799.4197446808512</v>
      </c>
      <c r="AP359" s="399">
        <f>AA359/Y359</f>
        <v>0.63775974285714288</v>
      </c>
      <c r="AQ359" s="396">
        <f t="shared" ref="AQ359:BC359" si="195">SUM(AQ360:AQ362)</f>
        <v>0</v>
      </c>
      <c r="AR359" s="396">
        <f t="shared" si="195"/>
        <v>0</v>
      </c>
      <c r="AS359" s="396">
        <f t="shared" si="195"/>
        <v>0</v>
      </c>
      <c r="AT359" s="397">
        <f t="shared" si="195"/>
        <v>0</v>
      </c>
      <c r="AU359" s="397">
        <f t="shared" si="195"/>
        <v>0</v>
      </c>
      <c r="AV359" s="397">
        <f t="shared" si="195"/>
        <v>0</v>
      </c>
      <c r="AW359" s="397">
        <f t="shared" si="195"/>
        <v>0</v>
      </c>
      <c r="AX359" s="397">
        <f t="shared" si="195"/>
        <v>0</v>
      </c>
      <c r="AY359" s="397">
        <f t="shared" si="195"/>
        <v>0</v>
      </c>
      <c r="AZ359" s="397">
        <f t="shared" si="195"/>
        <v>0</v>
      </c>
      <c r="BA359" s="397">
        <f t="shared" si="195"/>
        <v>0</v>
      </c>
      <c r="BB359" s="397">
        <f t="shared" si="195"/>
        <v>0</v>
      </c>
      <c r="BC359" s="397">
        <f t="shared" si="195"/>
        <v>0</v>
      </c>
      <c r="BD359" s="398"/>
      <c r="BE359" s="398"/>
      <c r="BF359" s="398"/>
      <c r="BG359" s="520"/>
      <c r="BH359" s="399" t="e">
        <f>AT359/AQ359*1000</f>
        <v>#DIV/0!</v>
      </c>
      <c r="BI359" s="399" t="e">
        <f t="shared" ref="BI359:BI366" si="196">AT359/AR359</f>
        <v>#DIV/0!</v>
      </c>
    </row>
    <row r="360" spans="1:61" s="359" customFormat="1" ht="19.2" x14ac:dyDescent="0.3">
      <c r="A360" s="360" t="s">
        <v>179</v>
      </c>
      <c r="B360" s="543" t="s">
        <v>582</v>
      </c>
      <c r="C360" s="429" t="s">
        <v>583</v>
      </c>
      <c r="D360" s="361">
        <v>6</v>
      </c>
      <c r="E360" s="408"/>
      <c r="F360" s="404"/>
      <c r="G360" s="400"/>
      <c r="H360" s="414"/>
      <c r="I360" s="401"/>
      <c r="J360" s="401"/>
      <c r="K360" s="401"/>
      <c r="L360" s="401"/>
      <c r="M360" s="401"/>
      <c r="N360" s="401"/>
      <c r="O360" s="401"/>
      <c r="P360" s="401"/>
      <c r="Q360" s="401"/>
      <c r="R360" s="389"/>
      <c r="S360" s="389"/>
      <c r="T360" s="389"/>
      <c r="U360" s="521"/>
      <c r="V360" s="374" t="e">
        <f>H360/E360*1000</f>
        <v>#DIV/0!</v>
      </c>
      <c r="W360" s="402" t="e">
        <f>H360/F360</f>
        <v>#DIV/0!</v>
      </c>
      <c r="X360" s="408">
        <v>235</v>
      </c>
      <c r="Y360" s="404">
        <v>1400</v>
      </c>
      <c r="Z360" s="400">
        <v>1400</v>
      </c>
      <c r="AA360" s="546">
        <v>892.86364000000003</v>
      </c>
      <c r="AB360" s="401">
        <v>226.2664</v>
      </c>
      <c r="AC360" s="401">
        <v>178.28039999999999</v>
      </c>
      <c r="AD360" s="401">
        <v>7.8900800000000002</v>
      </c>
      <c r="AE360" s="401">
        <v>468.90953000000002</v>
      </c>
      <c r="AF360" s="401">
        <v>0</v>
      </c>
      <c r="AG360" s="401">
        <v>0</v>
      </c>
      <c r="AH360" s="401">
        <v>111.32651</v>
      </c>
      <c r="AI360" s="401">
        <v>758.64</v>
      </c>
      <c r="AJ360" s="401">
        <v>1.9725200000000001</v>
      </c>
      <c r="AK360" s="385" t="s">
        <v>167</v>
      </c>
      <c r="AL360" s="439" t="s">
        <v>175</v>
      </c>
      <c r="AM360" s="389"/>
      <c r="AN360" s="521">
        <v>59</v>
      </c>
      <c r="AO360" s="374">
        <f>AA360/X360*1000</f>
        <v>3799.4197446808512</v>
      </c>
      <c r="AP360" s="402">
        <f>AA360/Y360</f>
        <v>0.63775974285714288</v>
      </c>
      <c r="AQ360" s="599"/>
      <c r="AR360" s="587"/>
      <c r="AS360" s="400"/>
      <c r="AT360" s="546"/>
      <c r="AU360" s="401"/>
      <c r="AV360" s="401"/>
      <c r="AW360" s="401"/>
      <c r="AX360" s="401"/>
      <c r="AY360" s="401"/>
      <c r="AZ360" s="401"/>
      <c r="BA360" s="401"/>
      <c r="BB360" s="401"/>
      <c r="BC360" s="401"/>
      <c r="BD360" s="385"/>
      <c r="BE360" s="439"/>
      <c r="BF360" s="389"/>
      <c r="BG360" s="521"/>
      <c r="BH360" s="374" t="e">
        <f>AT360/AQ360*1000</f>
        <v>#DIV/0!</v>
      </c>
      <c r="BI360" s="402" t="e">
        <f t="shared" si="196"/>
        <v>#DIV/0!</v>
      </c>
    </row>
    <row r="361" spans="1:61" s="359" customFormat="1" x14ac:dyDescent="0.3">
      <c r="A361" s="360"/>
      <c r="B361" s="382"/>
      <c r="C361" s="429"/>
      <c r="D361" s="361">
        <v>6</v>
      </c>
      <c r="E361" s="408"/>
      <c r="F361" s="404"/>
      <c r="G361" s="400"/>
      <c r="H361" s="414"/>
      <c r="I361" s="401"/>
      <c r="J361" s="401"/>
      <c r="K361" s="401"/>
      <c r="L361" s="401"/>
      <c r="M361" s="401"/>
      <c r="N361" s="401"/>
      <c r="O361" s="401"/>
      <c r="P361" s="401"/>
      <c r="Q361" s="401"/>
      <c r="R361" s="389"/>
      <c r="S361" s="389"/>
      <c r="T361" s="389"/>
      <c r="U361" s="521"/>
      <c r="V361" s="374"/>
      <c r="W361" s="402"/>
      <c r="X361" s="408"/>
      <c r="Y361" s="404"/>
      <c r="Z361" s="400"/>
      <c r="AA361" s="414"/>
      <c r="AB361" s="401"/>
      <c r="AC361" s="401"/>
      <c r="AD361" s="401"/>
      <c r="AE361" s="401"/>
      <c r="AF361" s="401"/>
      <c r="AG361" s="401"/>
      <c r="AH361" s="401"/>
      <c r="AI361" s="401"/>
      <c r="AJ361" s="401"/>
      <c r="AK361" s="385"/>
      <c r="AL361" s="439"/>
      <c r="AM361" s="389"/>
      <c r="AN361" s="521"/>
      <c r="AO361" s="374"/>
      <c r="AP361" s="402"/>
      <c r="AQ361" s="599"/>
      <c r="AR361" s="587"/>
      <c r="AS361" s="400"/>
      <c r="AT361" s="414"/>
      <c r="AU361" s="401"/>
      <c r="AV361" s="401"/>
      <c r="AW361" s="401"/>
      <c r="AX361" s="401"/>
      <c r="AY361" s="401"/>
      <c r="AZ361" s="401"/>
      <c r="BA361" s="401"/>
      <c r="BB361" s="401"/>
      <c r="BC361" s="401"/>
      <c r="BD361" s="385"/>
      <c r="BE361" s="439"/>
      <c r="BF361" s="389"/>
      <c r="BG361" s="521"/>
      <c r="BH361" s="374" t="e">
        <f>AT361/AQ361*1000</f>
        <v>#DIV/0!</v>
      </c>
      <c r="BI361" s="402" t="e">
        <f t="shared" si="196"/>
        <v>#DIV/0!</v>
      </c>
    </row>
    <row r="362" spans="1:61" s="359" customFormat="1" x14ac:dyDescent="0.3">
      <c r="A362" s="360"/>
      <c r="B362" s="382"/>
      <c r="C362" s="433"/>
      <c r="D362" s="361"/>
      <c r="E362" s="404"/>
      <c r="F362" s="404"/>
      <c r="G362" s="400"/>
      <c r="H362" s="413"/>
      <c r="I362" s="401"/>
      <c r="J362" s="401"/>
      <c r="K362" s="401"/>
      <c r="L362" s="401"/>
      <c r="M362" s="401"/>
      <c r="N362" s="401"/>
      <c r="O362" s="401"/>
      <c r="P362" s="401"/>
      <c r="Q362" s="401"/>
      <c r="R362" s="389"/>
      <c r="S362" s="389"/>
      <c r="T362" s="389"/>
      <c r="U362" s="521"/>
      <c r="V362" s="402" t="e">
        <f>H362/E362*1000</f>
        <v>#DIV/0!</v>
      </c>
      <c r="W362" s="402" t="e">
        <f>H362/F362</f>
        <v>#DIV/0!</v>
      </c>
      <c r="X362" s="404"/>
      <c r="Y362" s="404"/>
      <c r="Z362" s="400"/>
      <c r="AA362" s="413"/>
      <c r="AB362" s="401"/>
      <c r="AC362" s="401"/>
      <c r="AD362" s="401"/>
      <c r="AE362" s="401"/>
      <c r="AF362" s="401"/>
      <c r="AG362" s="401"/>
      <c r="AH362" s="401"/>
      <c r="AI362" s="401"/>
      <c r="AJ362" s="401"/>
      <c r="AK362" s="389"/>
      <c r="AL362" s="389"/>
      <c r="AM362" s="389"/>
      <c r="AN362" s="521"/>
      <c r="AO362" s="402" t="e">
        <f>AA362/X362*1000</f>
        <v>#DIV/0!</v>
      </c>
      <c r="AP362" s="402" t="e">
        <f>AA362/Y362</f>
        <v>#DIV/0!</v>
      </c>
      <c r="AQ362" s="587"/>
      <c r="AR362" s="587"/>
      <c r="AS362" s="400"/>
      <c r="AT362" s="413"/>
      <c r="AU362" s="401"/>
      <c r="AV362" s="401"/>
      <c r="AW362" s="401"/>
      <c r="AX362" s="401"/>
      <c r="AY362" s="401"/>
      <c r="AZ362" s="401"/>
      <c r="BA362" s="401"/>
      <c r="BB362" s="401"/>
      <c r="BC362" s="401"/>
      <c r="BD362" s="389"/>
      <c r="BE362" s="389"/>
      <c r="BF362" s="389"/>
      <c r="BG362" s="521"/>
      <c r="BH362" s="402" t="e">
        <f>AT362/AQ362*1000</f>
        <v>#DIV/0!</v>
      </c>
      <c r="BI362" s="402" t="e">
        <f t="shared" si="196"/>
        <v>#DIV/0!</v>
      </c>
    </row>
    <row r="363" spans="1:61" s="359" customFormat="1" ht="88.8" customHeight="1" x14ac:dyDescent="0.3">
      <c r="A363" s="483" t="s">
        <v>244</v>
      </c>
      <c r="B363" s="484" t="s">
        <v>245</v>
      </c>
      <c r="C363" s="472"/>
      <c r="D363" s="485"/>
      <c r="E363" s="486">
        <f t="shared" ref="E363:Q363" si="197">E364+E372</f>
        <v>0</v>
      </c>
      <c r="F363" s="486">
        <f t="shared" si="197"/>
        <v>150</v>
      </c>
      <c r="G363" s="486">
        <f t="shared" si="197"/>
        <v>150</v>
      </c>
      <c r="H363" s="487">
        <f t="shared" si="197"/>
        <v>668.23500000000001</v>
      </c>
      <c r="I363" s="487">
        <f t="shared" si="197"/>
        <v>531.71399999999994</v>
      </c>
      <c r="J363" s="487">
        <f t="shared" si="197"/>
        <v>438.55932000000001</v>
      </c>
      <c r="K363" s="487">
        <f t="shared" si="197"/>
        <v>53.804999999999993</v>
      </c>
      <c r="L363" s="487">
        <f t="shared" si="197"/>
        <v>0</v>
      </c>
      <c r="M363" s="487">
        <f t="shared" si="197"/>
        <v>0</v>
      </c>
      <c r="N363" s="487">
        <f t="shared" si="197"/>
        <v>0</v>
      </c>
      <c r="O363" s="487">
        <f t="shared" si="197"/>
        <v>0</v>
      </c>
      <c r="P363" s="487">
        <f t="shared" si="197"/>
        <v>438.55932000000001</v>
      </c>
      <c r="Q363" s="487">
        <f t="shared" si="197"/>
        <v>29.874000000000002</v>
      </c>
      <c r="R363" s="488"/>
      <c r="S363" s="488"/>
      <c r="T363" s="488"/>
      <c r="U363" s="523"/>
      <c r="V363" s="489"/>
      <c r="W363" s="489">
        <f>H363/F363</f>
        <v>4.4549000000000003</v>
      </c>
      <c r="X363" s="486">
        <f t="shared" ref="X363:AJ363" si="198">X364+X372</f>
        <v>0</v>
      </c>
      <c r="Y363" s="486">
        <f t="shared" si="198"/>
        <v>0</v>
      </c>
      <c r="Z363" s="486">
        <f t="shared" si="198"/>
        <v>0</v>
      </c>
      <c r="AA363" s="487">
        <f t="shared" si="198"/>
        <v>0</v>
      </c>
      <c r="AB363" s="487">
        <f t="shared" si="198"/>
        <v>0</v>
      </c>
      <c r="AC363" s="487">
        <f t="shared" si="198"/>
        <v>0</v>
      </c>
      <c r="AD363" s="487">
        <f t="shared" si="198"/>
        <v>0</v>
      </c>
      <c r="AE363" s="487">
        <f t="shared" si="198"/>
        <v>0</v>
      </c>
      <c r="AF363" s="487">
        <f t="shared" si="198"/>
        <v>0</v>
      </c>
      <c r="AG363" s="487">
        <f t="shared" si="198"/>
        <v>0</v>
      </c>
      <c r="AH363" s="487">
        <f t="shared" si="198"/>
        <v>0</v>
      </c>
      <c r="AI363" s="487">
        <f t="shared" si="198"/>
        <v>0</v>
      </c>
      <c r="AJ363" s="487">
        <f t="shared" si="198"/>
        <v>0</v>
      </c>
      <c r="AK363" s="488"/>
      <c r="AL363" s="488"/>
      <c r="AM363" s="488"/>
      <c r="AN363" s="523"/>
      <c r="AO363" s="489"/>
      <c r="AP363" s="489" t="e">
        <f>AA363/Y363</f>
        <v>#DIV/0!</v>
      </c>
      <c r="AQ363" s="486">
        <f>AQ364+AQ372</f>
        <v>0</v>
      </c>
      <c r="AR363" s="486">
        <f>AR364+AR372</f>
        <v>305</v>
      </c>
      <c r="AS363" s="486">
        <f>AS364+AS372</f>
        <v>305</v>
      </c>
      <c r="AT363" s="487">
        <f t="shared" ref="AT363:BC363" si="199">AT364+AT368+AT372</f>
        <v>1777.00989</v>
      </c>
      <c r="AU363" s="487">
        <f t="shared" si="199"/>
        <v>1207.38384</v>
      </c>
      <c r="AV363" s="487">
        <f t="shared" si="199"/>
        <v>865.16770999999994</v>
      </c>
      <c r="AW363" s="487">
        <f t="shared" si="199"/>
        <v>63.440600000000003</v>
      </c>
      <c r="AX363" s="487">
        <f t="shared" si="199"/>
        <v>107.31045999999999</v>
      </c>
      <c r="AY363" s="487">
        <f t="shared" si="199"/>
        <v>0</v>
      </c>
      <c r="AZ363" s="487">
        <f t="shared" si="199"/>
        <v>0</v>
      </c>
      <c r="BA363" s="487">
        <f t="shared" si="199"/>
        <v>178.82451</v>
      </c>
      <c r="BB363" s="487">
        <f t="shared" si="199"/>
        <v>865.16770999999994</v>
      </c>
      <c r="BC363" s="487">
        <f t="shared" si="199"/>
        <v>47.440200000000004</v>
      </c>
      <c r="BD363" s="488"/>
      <c r="BE363" s="488"/>
      <c r="BF363" s="488"/>
      <c r="BG363" s="523"/>
      <c r="BH363" s="489"/>
      <c r="BI363" s="489">
        <f t="shared" si="196"/>
        <v>5.8262619344262294</v>
      </c>
    </row>
    <row r="364" spans="1:61" s="359" customFormat="1" ht="24.75" customHeight="1" x14ac:dyDescent="0.3">
      <c r="A364" s="355" t="s">
        <v>179</v>
      </c>
      <c r="B364" s="356" t="s">
        <v>675</v>
      </c>
      <c r="C364" s="432"/>
      <c r="D364" s="357">
        <v>6</v>
      </c>
      <c r="E364" s="396">
        <f t="shared" ref="E364:Q364" si="200">SUM(E365:E371)</f>
        <v>0</v>
      </c>
      <c r="F364" s="396">
        <f t="shared" si="200"/>
        <v>100</v>
      </c>
      <c r="G364" s="396">
        <f t="shared" si="200"/>
        <v>100</v>
      </c>
      <c r="H364" s="397">
        <f t="shared" si="200"/>
        <v>445.49</v>
      </c>
      <c r="I364" s="397">
        <f t="shared" si="200"/>
        <v>354.476</v>
      </c>
      <c r="J364" s="397">
        <f t="shared" si="200"/>
        <v>292.37288000000001</v>
      </c>
      <c r="K364" s="397">
        <f t="shared" si="200"/>
        <v>35.869999999999997</v>
      </c>
      <c r="L364" s="397">
        <f t="shared" si="200"/>
        <v>0</v>
      </c>
      <c r="M364" s="397">
        <f t="shared" si="200"/>
        <v>0</v>
      </c>
      <c r="N364" s="397">
        <f t="shared" si="200"/>
        <v>0</v>
      </c>
      <c r="O364" s="397">
        <f t="shared" si="200"/>
        <v>0</v>
      </c>
      <c r="P364" s="397">
        <f t="shared" si="200"/>
        <v>292.37288000000001</v>
      </c>
      <c r="Q364" s="397">
        <f t="shared" si="200"/>
        <v>19.916</v>
      </c>
      <c r="R364" s="398"/>
      <c r="S364" s="398"/>
      <c r="T364" s="398"/>
      <c r="U364" s="520"/>
      <c r="V364" s="399"/>
      <c r="W364" s="399">
        <f>H364/F364</f>
        <v>4.4549000000000003</v>
      </c>
      <c r="X364" s="396">
        <f t="shared" ref="X364:AJ364" si="201">SUM(X365:X371)</f>
        <v>0</v>
      </c>
      <c r="Y364" s="396">
        <f t="shared" si="201"/>
        <v>0</v>
      </c>
      <c r="Z364" s="396">
        <f t="shared" si="201"/>
        <v>0</v>
      </c>
      <c r="AA364" s="397">
        <f t="shared" si="201"/>
        <v>0</v>
      </c>
      <c r="AB364" s="397">
        <f t="shared" si="201"/>
        <v>0</v>
      </c>
      <c r="AC364" s="397">
        <f t="shared" si="201"/>
        <v>0</v>
      </c>
      <c r="AD364" s="397">
        <f t="shared" si="201"/>
        <v>0</v>
      </c>
      <c r="AE364" s="397">
        <f t="shared" si="201"/>
        <v>0</v>
      </c>
      <c r="AF364" s="397">
        <f t="shared" si="201"/>
        <v>0</v>
      </c>
      <c r="AG364" s="397">
        <f t="shared" si="201"/>
        <v>0</v>
      </c>
      <c r="AH364" s="397">
        <f t="shared" si="201"/>
        <v>0</v>
      </c>
      <c r="AI364" s="397">
        <f t="shared" si="201"/>
        <v>0</v>
      </c>
      <c r="AJ364" s="397">
        <f t="shared" si="201"/>
        <v>0</v>
      </c>
      <c r="AK364" s="398"/>
      <c r="AL364" s="398"/>
      <c r="AM364" s="398"/>
      <c r="AN364" s="520"/>
      <c r="AO364" s="399"/>
      <c r="AP364" s="399" t="e">
        <f>AA364/Y364</f>
        <v>#DIV/0!</v>
      </c>
      <c r="AQ364" s="396">
        <f t="shared" ref="AQ364:BC364" si="202">SUM(AQ365:AQ371)</f>
        <v>0</v>
      </c>
      <c r="AR364" s="396">
        <f t="shared" si="202"/>
        <v>165</v>
      </c>
      <c r="AS364" s="396">
        <f t="shared" si="202"/>
        <v>165</v>
      </c>
      <c r="AT364" s="397">
        <f t="shared" si="202"/>
        <v>588.53404</v>
      </c>
      <c r="AU364" s="397">
        <f t="shared" si="202"/>
        <v>412.40967000000001</v>
      </c>
      <c r="AV364" s="397">
        <f t="shared" si="202"/>
        <v>299.46438000000001</v>
      </c>
      <c r="AW364" s="397">
        <f t="shared" si="202"/>
        <v>14.332459999999999</v>
      </c>
      <c r="AX364" s="397">
        <f t="shared" si="202"/>
        <v>40.034529999999997</v>
      </c>
      <c r="AY364" s="397">
        <f t="shared" si="202"/>
        <v>0</v>
      </c>
      <c r="AZ364" s="397">
        <f t="shared" si="202"/>
        <v>0</v>
      </c>
      <c r="BA364" s="397">
        <f t="shared" si="202"/>
        <v>52.674869999999999</v>
      </c>
      <c r="BB364" s="397">
        <f t="shared" si="202"/>
        <v>299.46438000000001</v>
      </c>
      <c r="BC364" s="397">
        <f t="shared" si="202"/>
        <v>10.454129999999999</v>
      </c>
      <c r="BD364" s="398"/>
      <c r="BE364" s="398"/>
      <c r="BF364" s="398"/>
      <c r="BG364" s="520"/>
      <c r="BH364" s="399"/>
      <c r="BI364" s="399">
        <f t="shared" si="196"/>
        <v>3.5668729696969699</v>
      </c>
    </row>
    <row r="365" spans="1:61" s="359" customFormat="1" ht="19.2" x14ac:dyDescent="0.3">
      <c r="A365" s="360" t="s">
        <v>179</v>
      </c>
      <c r="B365" s="583" t="s">
        <v>791</v>
      </c>
      <c r="C365" s="434" t="s">
        <v>676</v>
      </c>
      <c r="D365" s="361">
        <v>6</v>
      </c>
      <c r="E365" s="407"/>
      <c r="F365" s="405"/>
      <c r="G365" s="405"/>
      <c r="H365" s="401"/>
      <c r="I365" s="401"/>
      <c r="J365" s="401"/>
      <c r="K365" s="401"/>
      <c r="L365" s="401"/>
      <c r="M365" s="401"/>
      <c r="N365" s="401"/>
      <c r="O365" s="401"/>
      <c r="P365" s="401"/>
      <c r="Q365" s="401"/>
      <c r="R365" s="389"/>
      <c r="S365" s="389"/>
      <c r="T365" s="389"/>
      <c r="U365" s="521"/>
      <c r="V365" s="402"/>
      <c r="W365" s="402"/>
      <c r="X365" s="407"/>
      <c r="Y365" s="405"/>
      <c r="Z365" s="405"/>
      <c r="AA365" s="401"/>
      <c r="AB365" s="401"/>
      <c r="AC365" s="401"/>
      <c r="AD365" s="401"/>
      <c r="AE365" s="401"/>
      <c r="AF365" s="401"/>
      <c r="AG365" s="401"/>
      <c r="AH365" s="401"/>
      <c r="AI365" s="401"/>
      <c r="AJ365" s="401"/>
      <c r="AK365" s="389"/>
      <c r="AL365" s="389"/>
      <c r="AM365" s="389"/>
      <c r="AN365" s="521"/>
      <c r="AO365" s="402"/>
      <c r="AP365" s="402"/>
      <c r="AQ365" s="407"/>
      <c r="AR365" s="588">
        <v>15</v>
      </c>
      <c r="AS365" s="588">
        <v>15</v>
      </c>
      <c r="AT365" s="578">
        <v>138.92846</v>
      </c>
      <c r="AU365" s="401">
        <v>78.903189999999995</v>
      </c>
      <c r="AV365" s="401">
        <v>53.259</v>
      </c>
      <c r="AW365" s="401"/>
      <c r="AX365" s="401">
        <v>9.9151299999999996</v>
      </c>
      <c r="AY365" s="401">
        <v>0</v>
      </c>
      <c r="AZ365" s="401">
        <v>0</v>
      </c>
      <c r="BA365" s="401">
        <v>17.713609999999999</v>
      </c>
      <c r="BB365" s="401">
        <v>53.259</v>
      </c>
      <c r="BC365" s="401">
        <v>0.46590999999999999</v>
      </c>
      <c r="BD365" s="385" t="s">
        <v>167</v>
      </c>
      <c r="BE365" s="439" t="s">
        <v>175</v>
      </c>
      <c r="BF365" s="389"/>
      <c r="BG365" s="521">
        <v>416</v>
      </c>
      <c r="BH365" s="402"/>
      <c r="BI365" s="402">
        <f t="shared" si="196"/>
        <v>9.2618973333333336</v>
      </c>
    </row>
    <row r="366" spans="1:61" s="359" customFormat="1" x14ac:dyDescent="0.3">
      <c r="A366" s="360"/>
      <c r="B366" s="591"/>
      <c r="C366" s="434"/>
      <c r="D366" s="361">
        <v>6</v>
      </c>
      <c r="E366" s="407"/>
      <c r="F366" s="405"/>
      <c r="G366" s="405"/>
      <c r="H366" s="401"/>
      <c r="I366" s="401"/>
      <c r="J366" s="401"/>
      <c r="K366" s="401"/>
      <c r="L366" s="401"/>
      <c r="M366" s="401"/>
      <c r="N366" s="401"/>
      <c r="O366" s="401"/>
      <c r="P366" s="401"/>
      <c r="Q366" s="401"/>
      <c r="R366" s="389"/>
      <c r="S366" s="389"/>
      <c r="T366" s="389"/>
      <c r="U366" s="521"/>
      <c r="V366" s="402"/>
      <c r="W366" s="402"/>
      <c r="X366" s="407"/>
      <c r="Y366" s="405"/>
      <c r="Z366" s="405"/>
      <c r="AA366" s="401"/>
      <c r="AB366" s="401"/>
      <c r="AC366" s="401"/>
      <c r="AD366" s="401"/>
      <c r="AE366" s="401"/>
      <c r="AF366" s="401"/>
      <c r="AG366" s="401"/>
      <c r="AH366" s="401"/>
      <c r="AI366" s="401"/>
      <c r="AJ366" s="401"/>
      <c r="AK366" s="389"/>
      <c r="AL366" s="389"/>
      <c r="AM366" s="389"/>
      <c r="AN366" s="521"/>
      <c r="AO366" s="402"/>
      <c r="AP366" s="402"/>
      <c r="AQ366" s="407"/>
      <c r="AR366" s="588"/>
      <c r="AS366" s="588"/>
      <c r="AT366" s="401"/>
      <c r="AU366" s="401"/>
      <c r="AV366" s="401"/>
      <c r="AW366" s="401"/>
      <c r="AX366" s="401"/>
      <c r="AY366" s="401"/>
      <c r="AZ366" s="401"/>
      <c r="BA366" s="401"/>
      <c r="BB366" s="401"/>
      <c r="BC366" s="401"/>
      <c r="BD366" s="389"/>
      <c r="BE366" s="389"/>
      <c r="BF366" s="389"/>
      <c r="BG366" s="521"/>
      <c r="BH366" s="402"/>
      <c r="BI366" s="402" t="e">
        <f t="shared" si="196"/>
        <v>#DIV/0!</v>
      </c>
    </row>
    <row r="367" spans="1:61" s="359" customFormat="1" x14ac:dyDescent="0.3">
      <c r="A367" s="360"/>
      <c r="B367" s="382"/>
      <c r="C367" s="433"/>
      <c r="D367" s="361"/>
      <c r="E367" s="407"/>
      <c r="F367" s="404"/>
      <c r="G367" s="400"/>
      <c r="H367" s="401"/>
      <c r="I367" s="401"/>
      <c r="J367" s="401"/>
      <c r="K367" s="401"/>
      <c r="L367" s="401"/>
      <c r="M367" s="401"/>
      <c r="N367" s="401"/>
      <c r="O367" s="401"/>
      <c r="P367" s="401"/>
      <c r="Q367" s="401"/>
      <c r="R367" s="389"/>
      <c r="S367" s="389"/>
      <c r="T367" s="389"/>
      <c r="U367" s="521"/>
      <c r="V367" s="402"/>
      <c r="W367" s="402" t="e">
        <f>H367/F367</f>
        <v>#DIV/0!</v>
      </c>
      <c r="X367" s="407"/>
      <c r="Y367" s="404"/>
      <c r="Z367" s="400"/>
      <c r="AA367" s="401"/>
      <c r="AB367" s="401"/>
      <c r="AC367" s="401"/>
      <c r="AD367" s="401"/>
      <c r="AE367" s="401"/>
      <c r="AF367" s="401"/>
      <c r="AG367" s="401"/>
      <c r="AH367" s="401"/>
      <c r="AI367" s="401"/>
      <c r="AJ367" s="401"/>
      <c r="AK367" s="389"/>
      <c r="AL367" s="389"/>
      <c r="AM367" s="389"/>
      <c r="AN367" s="521"/>
      <c r="AO367" s="402"/>
      <c r="AP367" s="402" t="e">
        <f>AA367/Y367</f>
        <v>#DIV/0!</v>
      </c>
      <c r="AQ367" s="407"/>
      <c r="AR367" s="587"/>
      <c r="AS367" s="400"/>
      <c r="AT367" s="401"/>
      <c r="AU367" s="401"/>
      <c r="AV367" s="401"/>
      <c r="AW367" s="401"/>
      <c r="AX367" s="401"/>
      <c r="AY367" s="401"/>
      <c r="AZ367" s="401"/>
      <c r="BA367" s="401"/>
      <c r="BB367" s="401"/>
      <c r="BC367" s="401"/>
      <c r="BD367" s="389"/>
      <c r="BE367" s="389"/>
      <c r="BF367" s="389"/>
      <c r="BG367" s="521"/>
      <c r="BH367" s="402"/>
      <c r="BI367" s="402" t="e">
        <f t="shared" ref="BI367:BI378" si="203">AT367/AR367</f>
        <v>#DIV/0!</v>
      </c>
    </row>
    <row r="368" spans="1:61" s="359" customFormat="1" ht="24.75" customHeight="1" x14ac:dyDescent="0.3">
      <c r="A368" s="355" t="s">
        <v>179</v>
      </c>
      <c r="B368" s="356" t="s">
        <v>234</v>
      </c>
      <c r="C368" s="432"/>
      <c r="D368" s="357">
        <v>6</v>
      </c>
      <c r="E368" s="396">
        <f t="shared" ref="E368:Q368" si="204">SUM(E369:E376)</f>
        <v>0</v>
      </c>
      <c r="F368" s="396">
        <f t="shared" si="204"/>
        <v>100</v>
      </c>
      <c r="G368" s="396">
        <f t="shared" si="204"/>
        <v>100</v>
      </c>
      <c r="H368" s="397">
        <f t="shared" si="204"/>
        <v>445.49</v>
      </c>
      <c r="I368" s="397">
        <f t="shared" si="204"/>
        <v>354.476</v>
      </c>
      <c r="J368" s="397">
        <f t="shared" si="204"/>
        <v>292.37288000000001</v>
      </c>
      <c r="K368" s="397">
        <f t="shared" si="204"/>
        <v>35.869999999999997</v>
      </c>
      <c r="L368" s="397">
        <f t="shared" si="204"/>
        <v>0</v>
      </c>
      <c r="M368" s="397">
        <f t="shared" si="204"/>
        <v>0</v>
      </c>
      <c r="N368" s="397">
        <f t="shared" si="204"/>
        <v>0</v>
      </c>
      <c r="O368" s="397">
        <f t="shared" si="204"/>
        <v>0</v>
      </c>
      <c r="P368" s="397">
        <f t="shared" si="204"/>
        <v>292.37288000000001</v>
      </c>
      <c r="Q368" s="397">
        <f t="shared" si="204"/>
        <v>19.916</v>
      </c>
      <c r="R368" s="398"/>
      <c r="S368" s="398"/>
      <c r="T368" s="398"/>
      <c r="U368" s="520"/>
      <c r="V368" s="399"/>
      <c r="W368" s="399">
        <f>H368/F368</f>
        <v>4.4549000000000003</v>
      </c>
      <c r="X368" s="396">
        <f t="shared" ref="X368:AJ368" si="205">SUM(X369:X376)</f>
        <v>0</v>
      </c>
      <c r="Y368" s="396">
        <f t="shared" si="205"/>
        <v>0</v>
      </c>
      <c r="Z368" s="396">
        <f t="shared" si="205"/>
        <v>0</v>
      </c>
      <c r="AA368" s="397">
        <f t="shared" si="205"/>
        <v>0</v>
      </c>
      <c r="AB368" s="397">
        <f t="shared" si="205"/>
        <v>0</v>
      </c>
      <c r="AC368" s="397">
        <f t="shared" si="205"/>
        <v>0</v>
      </c>
      <c r="AD368" s="397">
        <f t="shared" si="205"/>
        <v>0</v>
      </c>
      <c r="AE368" s="397">
        <f t="shared" si="205"/>
        <v>0</v>
      </c>
      <c r="AF368" s="397">
        <f t="shared" si="205"/>
        <v>0</v>
      </c>
      <c r="AG368" s="397">
        <f t="shared" si="205"/>
        <v>0</v>
      </c>
      <c r="AH368" s="397">
        <f t="shared" si="205"/>
        <v>0</v>
      </c>
      <c r="AI368" s="397">
        <f t="shared" si="205"/>
        <v>0</v>
      </c>
      <c r="AJ368" s="397">
        <f t="shared" si="205"/>
        <v>0</v>
      </c>
      <c r="AK368" s="398"/>
      <c r="AL368" s="398"/>
      <c r="AM368" s="398"/>
      <c r="AN368" s="520"/>
      <c r="AO368" s="399"/>
      <c r="AP368" s="399" t="e">
        <f>AA368/Y368</f>
        <v>#DIV/0!</v>
      </c>
      <c r="AQ368" s="396">
        <f t="shared" ref="AQ368:BC368" si="206">SUM(AQ369:AQ371)</f>
        <v>0</v>
      </c>
      <c r="AR368" s="396">
        <f t="shared" si="206"/>
        <v>75</v>
      </c>
      <c r="AS368" s="396">
        <f t="shared" si="206"/>
        <v>75</v>
      </c>
      <c r="AT368" s="397">
        <f t="shared" si="206"/>
        <v>224.80278999999999</v>
      </c>
      <c r="AU368" s="397">
        <f t="shared" si="206"/>
        <v>166.75324000000001</v>
      </c>
      <c r="AV368" s="397">
        <f t="shared" si="206"/>
        <v>123.10269</v>
      </c>
      <c r="AW368" s="397">
        <f t="shared" si="206"/>
        <v>7.1662299999999997</v>
      </c>
      <c r="AX368" s="397">
        <f t="shared" si="206"/>
        <v>15.059699999999999</v>
      </c>
      <c r="AY368" s="397">
        <f t="shared" si="206"/>
        <v>0</v>
      </c>
      <c r="AZ368" s="397">
        <f t="shared" si="206"/>
        <v>0</v>
      </c>
      <c r="BA368" s="397">
        <f t="shared" si="206"/>
        <v>17.480630000000001</v>
      </c>
      <c r="BB368" s="397">
        <f t="shared" si="206"/>
        <v>123.10269</v>
      </c>
      <c r="BC368" s="397">
        <f t="shared" si="206"/>
        <v>4.99411</v>
      </c>
      <c r="BD368" s="398"/>
      <c r="BE368" s="398"/>
      <c r="BF368" s="398"/>
      <c r="BG368" s="520"/>
      <c r="BH368" s="399"/>
      <c r="BI368" s="399">
        <f t="shared" si="203"/>
        <v>2.9973705333333331</v>
      </c>
    </row>
    <row r="369" spans="1:61" s="359" customFormat="1" ht="19.2" x14ac:dyDescent="0.3">
      <c r="A369" s="360" t="s">
        <v>179</v>
      </c>
      <c r="B369" s="583" t="s">
        <v>789</v>
      </c>
      <c r="C369" s="434" t="s">
        <v>657</v>
      </c>
      <c r="D369" s="361">
        <v>6</v>
      </c>
      <c r="E369" s="407"/>
      <c r="F369" s="405"/>
      <c r="G369" s="405"/>
      <c r="H369" s="401"/>
      <c r="I369" s="401"/>
      <c r="J369" s="401"/>
      <c r="K369" s="401"/>
      <c r="L369" s="401"/>
      <c r="M369" s="401"/>
      <c r="N369" s="401"/>
      <c r="O369" s="401"/>
      <c r="P369" s="401"/>
      <c r="Q369" s="401"/>
      <c r="R369" s="389"/>
      <c r="S369" s="389"/>
      <c r="T369" s="389"/>
      <c r="U369" s="521"/>
      <c r="V369" s="402"/>
      <c r="W369" s="402"/>
      <c r="X369" s="407"/>
      <c r="Y369" s="405"/>
      <c r="Z369" s="405"/>
      <c r="AA369" s="401"/>
      <c r="AB369" s="401"/>
      <c r="AC369" s="401"/>
      <c r="AD369" s="401"/>
      <c r="AE369" s="401"/>
      <c r="AF369" s="401"/>
      <c r="AG369" s="401"/>
      <c r="AH369" s="401"/>
      <c r="AI369" s="401"/>
      <c r="AJ369" s="401"/>
      <c r="AK369" s="389"/>
      <c r="AL369" s="389"/>
      <c r="AM369" s="389"/>
      <c r="AN369" s="521"/>
      <c r="AO369" s="402"/>
      <c r="AP369" s="402"/>
      <c r="AQ369" s="407"/>
      <c r="AR369" s="588">
        <v>75</v>
      </c>
      <c r="AS369" s="588">
        <v>75</v>
      </c>
      <c r="AT369" s="578">
        <v>224.80278999999999</v>
      </c>
      <c r="AU369" s="401">
        <v>166.75324000000001</v>
      </c>
      <c r="AV369" s="401">
        <v>123.10269</v>
      </c>
      <c r="AW369" s="401">
        <f>2.28571+1.62234+3.25818</f>
        <v>7.1662299999999997</v>
      </c>
      <c r="AX369" s="401">
        <v>15.059699999999999</v>
      </c>
      <c r="AY369" s="401">
        <v>0</v>
      </c>
      <c r="AZ369" s="401">
        <v>0</v>
      </c>
      <c r="BA369" s="401">
        <v>17.480630000000001</v>
      </c>
      <c r="BB369" s="401">
        <v>123.10269</v>
      </c>
      <c r="BC369" s="401">
        <f>2.28571+1.62234+1.08606</f>
        <v>4.99411</v>
      </c>
      <c r="BD369" s="385" t="s">
        <v>167</v>
      </c>
      <c r="BE369" s="439" t="s">
        <v>175</v>
      </c>
      <c r="BF369" s="389"/>
      <c r="BG369" s="521">
        <v>372</v>
      </c>
      <c r="BH369" s="402"/>
      <c r="BI369" s="402">
        <f t="shared" si="203"/>
        <v>2.9973705333333331</v>
      </c>
    </row>
    <row r="370" spans="1:61" s="359" customFormat="1" x14ac:dyDescent="0.3">
      <c r="A370" s="360"/>
      <c r="B370" s="591"/>
      <c r="C370" s="434"/>
      <c r="D370" s="361">
        <v>6</v>
      </c>
      <c r="E370" s="407"/>
      <c r="F370" s="405"/>
      <c r="G370" s="405"/>
      <c r="H370" s="401"/>
      <c r="I370" s="401"/>
      <c r="J370" s="401"/>
      <c r="K370" s="401"/>
      <c r="L370" s="401"/>
      <c r="M370" s="401"/>
      <c r="N370" s="401"/>
      <c r="O370" s="401"/>
      <c r="P370" s="401"/>
      <c r="Q370" s="401"/>
      <c r="R370" s="389"/>
      <c r="S370" s="389"/>
      <c r="T370" s="389"/>
      <c r="U370" s="521"/>
      <c r="V370" s="402"/>
      <c r="W370" s="402"/>
      <c r="X370" s="407"/>
      <c r="Y370" s="405"/>
      <c r="Z370" s="405"/>
      <c r="AA370" s="401"/>
      <c r="AB370" s="401"/>
      <c r="AC370" s="401"/>
      <c r="AD370" s="401"/>
      <c r="AE370" s="401"/>
      <c r="AF370" s="401"/>
      <c r="AG370" s="401"/>
      <c r="AH370" s="401"/>
      <c r="AI370" s="401"/>
      <c r="AJ370" s="401"/>
      <c r="AK370" s="389"/>
      <c r="AL370" s="389"/>
      <c r="AM370" s="389"/>
      <c r="AN370" s="521"/>
      <c r="AO370" s="402"/>
      <c r="AP370" s="402"/>
      <c r="AQ370" s="407"/>
      <c r="AR370" s="588"/>
      <c r="AS370" s="588"/>
      <c r="AT370" s="401"/>
      <c r="AU370" s="401"/>
      <c r="AV370" s="401"/>
      <c r="AW370" s="401"/>
      <c r="AX370" s="401"/>
      <c r="AY370" s="401"/>
      <c r="AZ370" s="401"/>
      <c r="BA370" s="401"/>
      <c r="BB370" s="401"/>
      <c r="BC370" s="401"/>
      <c r="BD370" s="389"/>
      <c r="BE370" s="389"/>
      <c r="BF370" s="389"/>
      <c r="BG370" s="521"/>
      <c r="BH370" s="402"/>
      <c r="BI370" s="402" t="e">
        <f t="shared" si="203"/>
        <v>#DIV/0!</v>
      </c>
    </row>
    <row r="371" spans="1:61" s="359" customFormat="1" x14ac:dyDescent="0.3">
      <c r="A371" s="360"/>
      <c r="B371" s="382"/>
      <c r="C371" s="433"/>
      <c r="D371" s="361"/>
      <c r="E371" s="407"/>
      <c r="F371" s="404"/>
      <c r="G371" s="400"/>
      <c r="H371" s="401"/>
      <c r="I371" s="401"/>
      <c r="J371" s="401"/>
      <c r="K371" s="401"/>
      <c r="L371" s="401"/>
      <c r="M371" s="401"/>
      <c r="N371" s="401"/>
      <c r="O371" s="401"/>
      <c r="P371" s="401"/>
      <c r="Q371" s="401"/>
      <c r="R371" s="389"/>
      <c r="S371" s="389"/>
      <c r="T371" s="389"/>
      <c r="U371" s="521"/>
      <c r="V371" s="402"/>
      <c r="W371" s="402" t="e">
        <f>H371/F371</f>
        <v>#DIV/0!</v>
      </c>
      <c r="X371" s="407"/>
      <c r="Y371" s="404"/>
      <c r="Z371" s="400"/>
      <c r="AA371" s="401"/>
      <c r="AB371" s="401"/>
      <c r="AC371" s="401"/>
      <c r="AD371" s="401"/>
      <c r="AE371" s="401"/>
      <c r="AF371" s="401"/>
      <c r="AG371" s="401"/>
      <c r="AH371" s="401"/>
      <c r="AI371" s="401"/>
      <c r="AJ371" s="401"/>
      <c r="AK371" s="389"/>
      <c r="AL371" s="389"/>
      <c r="AM371" s="389"/>
      <c r="AN371" s="521"/>
      <c r="AO371" s="402"/>
      <c r="AP371" s="402" t="e">
        <f>AA371/Y371</f>
        <v>#DIV/0!</v>
      </c>
      <c r="AQ371" s="407"/>
      <c r="AR371" s="587"/>
      <c r="AS371" s="400"/>
      <c r="AT371" s="401"/>
      <c r="AU371" s="401"/>
      <c r="AV371" s="401"/>
      <c r="AW371" s="401"/>
      <c r="AX371" s="401"/>
      <c r="AY371" s="401"/>
      <c r="AZ371" s="401"/>
      <c r="BA371" s="401"/>
      <c r="BB371" s="401"/>
      <c r="BC371" s="401"/>
      <c r="BD371" s="389"/>
      <c r="BE371" s="389"/>
      <c r="BF371" s="389"/>
      <c r="BG371" s="521"/>
      <c r="BH371" s="402"/>
      <c r="BI371" s="402" t="e">
        <f t="shared" si="203"/>
        <v>#DIV/0!</v>
      </c>
    </row>
    <row r="372" spans="1:61" s="359" customFormat="1" ht="24.75" customHeight="1" x14ac:dyDescent="0.3">
      <c r="A372" s="355" t="s">
        <v>183</v>
      </c>
      <c r="B372" s="356" t="s">
        <v>341</v>
      </c>
      <c r="C372" s="432"/>
      <c r="D372" s="357">
        <v>6</v>
      </c>
      <c r="E372" s="396">
        <f t="shared" ref="E372:Q372" si="207">SUM(E373:E379)</f>
        <v>0</v>
      </c>
      <c r="F372" s="396">
        <f t="shared" si="207"/>
        <v>50</v>
      </c>
      <c r="G372" s="396">
        <f t="shared" si="207"/>
        <v>50</v>
      </c>
      <c r="H372" s="397">
        <f t="shared" si="207"/>
        <v>222.745</v>
      </c>
      <c r="I372" s="397">
        <f t="shared" si="207"/>
        <v>177.238</v>
      </c>
      <c r="J372" s="397">
        <f t="shared" si="207"/>
        <v>146.18644</v>
      </c>
      <c r="K372" s="397">
        <f t="shared" si="207"/>
        <v>17.934999999999999</v>
      </c>
      <c r="L372" s="397">
        <f t="shared" si="207"/>
        <v>0</v>
      </c>
      <c r="M372" s="397">
        <f t="shared" si="207"/>
        <v>0</v>
      </c>
      <c r="N372" s="397">
        <f t="shared" si="207"/>
        <v>0</v>
      </c>
      <c r="O372" s="397">
        <f t="shared" si="207"/>
        <v>0</v>
      </c>
      <c r="P372" s="397">
        <f t="shared" si="207"/>
        <v>146.18644</v>
      </c>
      <c r="Q372" s="397">
        <f t="shared" si="207"/>
        <v>9.9580000000000002</v>
      </c>
      <c r="R372" s="398"/>
      <c r="S372" s="398"/>
      <c r="T372" s="398"/>
      <c r="U372" s="520"/>
      <c r="V372" s="399"/>
      <c r="W372" s="399">
        <f>H372/F372</f>
        <v>4.4549000000000003</v>
      </c>
      <c r="X372" s="396">
        <f t="shared" ref="X372:AJ372" si="208">SUM(X373:X379)</f>
        <v>0</v>
      </c>
      <c r="Y372" s="396">
        <f t="shared" si="208"/>
        <v>0</v>
      </c>
      <c r="Z372" s="396">
        <f t="shared" si="208"/>
        <v>0</v>
      </c>
      <c r="AA372" s="397">
        <f t="shared" si="208"/>
        <v>0</v>
      </c>
      <c r="AB372" s="397">
        <f t="shared" si="208"/>
        <v>0</v>
      </c>
      <c r="AC372" s="397">
        <f t="shared" si="208"/>
        <v>0</v>
      </c>
      <c r="AD372" s="397">
        <f t="shared" si="208"/>
        <v>0</v>
      </c>
      <c r="AE372" s="397">
        <f t="shared" si="208"/>
        <v>0</v>
      </c>
      <c r="AF372" s="397">
        <f t="shared" si="208"/>
        <v>0</v>
      </c>
      <c r="AG372" s="397">
        <f t="shared" si="208"/>
        <v>0</v>
      </c>
      <c r="AH372" s="397">
        <f t="shared" si="208"/>
        <v>0</v>
      </c>
      <c r="AI372" s="397">
        <f t="shared" si="208"/>
        <v>0</v>
      </c>
      <c r="AJ372" s="397">
        <f t="shared" si="208"/>
        <v>0</v>
      </c>
      <c r="AK372" s="398"/>
      <c r="AL372" s="398"/>
      <c r="AM372" s="398"/>
      <c r="AN372" s="520"/>
      <c r="AO372" s="399"/>
      <c r="AP372" s="399" t="e">
        <f>AA372/Y372</f>
        <v>#DIV/0!</v>
      </c>
      <c r="AQ372" s="396">
        <f t="shared" ref="AQ372:BC372" si="209">SUM(AQ373:AQ379)</f>
        <v>0</v>
      </c>
      <c r="AR372" s="396">
        <f t="shared" si="209"/>
        <v>140</v>
      </c>
      <c r="AS372" s="396">
        <f t="shared" si="209"/>
        <v>140</v>
      </c>
      <c r="AT372" s="397">
        <f t="shared" si="209"/>
        <v>963.67306000000008</v>
      </c>
      <c r="AU372" s="397">
        <f t="shared" si="209"/>
        <v>628.22093000000007</v>
      </c>
      <c r="AV372" s="397">
        <f t="shared" si="209"/>
        <v>442.60064</v>
      </c>
      <c r="AW372" s="397">
        <f t="shared" si="209"/>
        <v>41.94191</v>
      </c>
      <c r="AX372" s="397">
        <f t="shared" si="209"/>
        <v>52.216229999999996</v>
      </c>
      <c r="AY372" s="397">
        <f t="shared" si="209"/>
        <v>0</v>
      </c>
      <c r="AZ372" s="397">
        <f t="shared" si="209"/>
        <v>0</v>
      </c>
      <c r="BA372" s="397">
        <f t="shared" si="209"/>
        <v>108.66901</v>
      </c>
      <c r="BB372" s="397">
        <f t="shared" si="209"/>
        <v>442.60064</v>
      </c>
      <c r="BC372" s="397">
        <f t="shared" si="209"/>
        <v>31.991960000000006</v>
      </c>
      <c r="BD372" s="398"/>
      <c r="BE372" s="398"/>
      <c r="BF372" s="398"/>
      <c r="BG372" s="520"/>
      <c r="BH372" s="399"/>
      <c r="BI372" s="399">
        <f t="shared" si="203"/>
        <v>6.8833790000000006</v>
      </c>
    </row>
    <row r="373" spans="1:61" s="359" customFormat="1" ht="19.2" x14ac:dyDescent="0.3">
      <c r="A373" s="360" t="s">
        <v>179</v>
      </c>
      <c r="B373" s="513" t="s">
        <v>339</v>
      </c>
      <c r="C373" s="433" t="s">
        <v>340</v>
      </c>
      <c r="D373" s="361">
        <v>6</v>
      </c>
      <c r="E373" s="403"/>
      <c r="F373" s="404">
        <v>50</v>
      </c>
      <c r="G373" s="400">
        <v>50</v>
      </c>
      <c r="H373" s="419">
        <v>222.745</v>
      </c>
      <c r="I373" s="401">
        <v>177.238</v>
      </c>
      <c r="J373" s="401">
        <v>146.18644</v>
      </c>
      <c r="K373" s="401">
        <v>17.934999999999999</v>
      </c>
      <c r="L373" s="401">
        <v>0</v>
      </c>
      <c r="M373" s="401">
        <v>0</v>
      </c>
      <c r="N373" s="401">
        <v>0</v>
      </c>
      <c r="O373" s="401" t="s">
        <v>391</v>
      </c>
      <c r="P373" s="401">
        <v>146.18644</v>
      </c>
      <c r="Q373" s="401">
        <v>9.9580000000000002</v>
      </c>
      <c r="R373" s="385" t="s">
        <v>167</v>
      </c>
      <c r="S373" s="439" t="s">
        <v>175</v>
      </c>
      <c r="T373" s="389"/>
      <c r="U373" s="521">
        <v>204</v>
      </c>
      <c r="V373" s="402"/>
      <c r="W373" s="402">
        <f>H373/F373</f>
        <v>4.4549000000000003</v>
      </c>
      <c r="X373" s="403"/>
      <c r="Y373" s="404"/>
      <c r="Z373" s="400"/>
      <c r="AA373" s="419"/>
      <c r="AB373" s="401"/>
      <c r="AC373" s="401"/>
      <c r="AD373" s="401"/>
      <c r="AE373" s="401"/>
      <c r="AF373" s="401"/>
      <c r="AG373" s="401"/>
      <c r="AH373" s="401"/>
      <c r="AI373" s="401"/>
      <c r="AJ373" s="401"/>
      <c r="AK373" s="385"/>
      <c r="AL373" s="439"/>
      <c r="AM373" s="389"/>
      <c r="AN373" s="521"/>
      <c r="AO373" s="402"/>
      <c r="AP373" s="402" t="e">
        <f>AA373/Y373</f>
        <v>#DIV/0!</v>
      </c>
      <c r="AQ373" s="595"/>
      <c r="AR373" s="587"/>
      <c r="AS373" s="400"/>
      <c r="AT373" s="419"/>
      <c r="AU373" s="401"/>
      <c r="AV373" s="401"/>
      <c r="AW373" s="401"/>
      <c r="AX373" s="401"/>
      <c r="AY373" s="401"/>
      <c r="AZ373" s="401"/>
      <c r="BA373" s="401"/>
      <c r="BB373" s="401"/>
      <c r="BC373" s="401"/>
      <c r="BD373" s="385"/>
      <c r="BE373" s="439"/>
      <c r="BF373" s="389"/>
      <c r="BG373" s="521"/>
      <c r="BH373" s="402"/>
      <c r="BI373" s="402" t="e">
        <f t="shared" si="203"/>
        <v>#DIV/0!</v>
      </c>
    </row>
    <row r="374" spans="1:61" s="359" customFormat="1" ht="28.8" x14ac:dyDescent="0.3">
      <c r="A374" s="360" t="s">
        <v>179</v>
      </c>
      <c r="B374" s="579" t="s">
        <v>796</v>
      </c>
      <c r="C374" s="433" t="s">
        <v>615</v>
      </c>
      <c r="D374" s="361">
        <v>6</v>
      </c>
      <c r="E374" s="403"/>
      <c r="F374" s="404"/>
      <c r="G374" s="400"/>
      <c r="H374" s="401"/>
      <c r="I374" s="401"/>
      <c r="J374" s="401"/>
      <c r="K374" s="401"/>
      <c r="L374" s="401"/>
      <c r="M374" s="401"/>
      <c r="N374" s="401"/>
      <c r="O374" s="401"/>
      <c r="P374" s="401"/>
      <c r="Q374" s="401"/>
      <c r="R374" s="385"/>
      <c r="S374" s="439"/>
      <c r="T374" s="389"/>
      <c r="U374" s="521"/>
      <c r="V374" s="402"/>
      <c r="W374" s="402"/>
      <c r="X374" s="403"/>
      <c r="Y374" s="404"/>
      <c r="Z374" s="400"/>
      <c r="AA374" s="401"/>
      <c r="AB374" s="401"/>
      <c r="AC374" s="401"/>
      <c r="AD374" s="401"/>
      <c r="AE374" s="401"/>
      <c r="AF374" s="401"/>
      <c r="AG374" s="401"/>
      <c r="AH374" s="401"/>
      <c r="AI374" s="401"/>
      <c r="AJ374" s="401"/>
      <c r="AK374" s="385"/>
      <c r="AL374" s="439"/>
      <c r="AM374" s="389"/>
      <c r="AN374" s="521"/>
      <c r="AO374" s="402"/>
      <c r="AP374" s="402"/>
      <c r="AQ374" s="595"/>
      <c r="AR374" s="587">
        <v>50</v>
      </c>
      <c r="AS374" s="400">
        <v>50</v>
      </c>
      <c r="AT374" s="578">
        <v>255.02682999999999</v>
      </c>
      <c r="AU374" s="401">
        <v>169.07410999999999</v>
      </c>
      <c r="AV374" s="401">
        <v>118.59898</v>
      </c>
      <c r="AW374" s="401">
        <f>4.48506+2.8509+2.88999+5.08342</f>
        <v>15.309370000000001</v>
      </c>
      <c r="AX374" s="401">
        <v>16.045809999999999</v>
      </c>
      <c r="AY374" s="401">
        <v>0</v>
      </c>
      <c r="AZ374" s="401">
        <v>0</v>
      </c>
      <c r="BA374" s="401">
        <v>28.016210000000001</v>
      </c>
      <c r="BB374" s="401">
        <v>118.59898</v>
      </c>
      <c r="BC374" s="401">
        <f>4.48506+2.8509+0.96333+2.54171</f>
        <v>10.840999999999999</v>
      </c>
      <c r="BD374" s="385" t="s">
        <v>167</v>
      </c>
      <c r="BE374" s="439" t="s">
        <v>175</v>
      </c>
      <c r="BF374" s="389"/>
      <c r="BG374" s="521">
        <v>927</v>
      </c>
      <c r="BH374" s="402"/>
      <c r="BI374" s="402">
        <f t="shared" si="203"/>
        <v>5.1005365999999999</v>
      </c>
    </row>
    <row r="375" spans="1:61" s="359" customFormat="1" ht="19.2" x14ac:dyDescent="0.3">
      <c r="A375" s="360" t="s">
        <v>183</v>
      </c>
      <c r="B375" s="579" t="s">
        <v>797</v>
      </c>
      <c r="C375" s="433" t="s">
        <v>618</v>
      </c>
      <c r="D375" s="361">
        <v>6</v>
      </c>
      <c r="E375" s="403"/>
      <c r="F375" s="404"/>
      <c r="G375" s="400"/>
      <c r="H375" s="401"/>
      <c r="I375" s="401"/>
      <c r="J375" s="401"/>
      <c r="K375" s="401"/>
      <c r="L375" s="401"/>
      <c r="M375" s="401"/>
      <c r="N375" s="401"/>
      <c r="O375" s="401"/>
      <c r="P375" s="401"/>
      <c r="Q375" s="401"/>
      <c r="R375" s="385"/>
      <c r="S375" s="439"/>
      <c r="T375" s="389"/>
      <c r="U375" s="521"/>
      <c r="V375" s="402"/>
      <c r="W375" s="402"/>
      <c r="X375" s="403"/>
      <c r="Y375" s="404"/>
      <c r="Z375" s="400"/>
      <c r="AA375" s="401"/>
      <c r="AB375" s="401"/>
      <c r="AC375" s="401"/>
      <c r="AD375" s="401"/>
      <c r="AE375" s="401"/>
      <c r="AF375" s="401"/>
      <c r="AG375" s="401"/>
      <c r="AH375" s="401"/>
      <c r="AI375" s="401"/>
      <c r="AJ375" s="401"/>
      <c r="AK375" s="385"/>
      <c r="AL375" s="439"/>
      <c r="AM375" s="389"/>
      <c r="AN375" s="521"/>
      <c r="AO375" s="402"/>
      <c r="AP375" s="402"/>
      <c r="AQ375" s="595"/>
      <c r="AR375" s="587">
        <v>15</v>
      </c>
      <c r="AS375" s="400">
        <v>15</v>
      </c>
      <c r="AT375" s="578">
        <v>281.72460000000001</v>
      </c>
      <c r="AU375" s="401">
        <v>192.98761999999999</v>
      </c>
      <c r="AV375" s="401">
        <v>118.59896999999999</v>
      </c>
      <c r="AW375" s="401">
        <v>9.9701400000000007</v>
      </c>
      <c r="AX375" s="401">
        <v>11.93873</v>
      </c>
      <c r="AY375" s="401">
        <v>0</v>
      </c>
      <c r="AZ375" s="401">
        <v>0</v>
      </c>
      <c r="BA375" s="401">
        <v>28.444980000000001</v>
      </c>
      <c r="BB375" s="401">
        <v>118.59896999999999</v>
      </c>
      <c r="BC375" s="401">
        <v>9.9701400000000007</v>
      </c>
      <c r="BD375" s="385" t="s">
        <v>167</v>
      </c>
      <c r="BE375" s="439" t="s">
        <v>175</v>
      </c>
      <c r="BF375" s="389"/>
      <c r="BG375" s="521">
        <v>572</v>
      </c>
      <c r="BH375" s="402"/>
      <c r="BI375" s="402">
        <f t="shared" si="203"/>
        <v>18.781639999999999</v>
      </c>
    </row>
    <row r="376" spans="1:61" s="359" customFormat="1" ht="19.2" x14ac:dyDescent="0.3">
      <c r="A376" s="360" t="s">
        <v>185</v>
      </c>
      <c r="B376" s="579" t="s">
        <v>764</v>
      </c>
      <c r="C376" s="433" t="s">
        <v>665</v>
      </c>
      <c r="D376" s="361">
        <v>6</v>
      </c>
      <c r="E376" s="403"/>
      <c r="F376" s="404"/>
      <c r="G376" s="400"/>
      <c r="H376" s="401"/>
      <c r="I376" s="401"/>
      <c r="J376" s="401"/>
      <c r="K376" s="401"/>
      <c r="L376" s="401"/>
      <c r="M376" s="401"/>
      <c r="N376" s="401"/>
      <c r="O376" s="401"/>
      <c r="P376" s="401"/>
      <c r="Q376" s="401"/>
      <c r="R376" s="385"/>
      <c r="S376" s="439"/>
      <c r="T376" s="389"/>
      <c r="U376" s="521"/>
      <c r="V376" s="402"/>
      <c r="W376" s="402"/>
      <c r="X376" s="403"/>
      <c r="Y376" s="404"/>
      <c r="Z376" s="400"/>
      <c r="AA376" s="401"/>
      <c r="AB376" s="401"/>
      <c r="AC376" s="401"/>
      <c r="AD376" s="401"/>
      <c r="AE376" s="401"/>
      <c r="AF376" s="401"/>
      <c r="AG376" s="401"/>
      <c r="AH376" s="401"/>
      <c r="AI376" s="401"/>
      <c r="AJ376" s="401"/>
      <c r="AK376" s="385"/>
      <c r="AL376" s="439"/>
      <c r="AM376" s="389"/>
      <c r="AN376" s="521"/>
      <c r="AO376" s="402"/>
      <c r="AP376" s="402"/>
      <c r="AQ376" s="595"/>
      <c r="AR376" s="587">
        <v>15</v>
      </c>
      <c r="AS376" s="400">
        <v>15</v>
      </c>
      <c r="AT376" s="578">
        <v>234.02561</v>
      </c>
      <c r="AU376" s="401">
        <v>156.79920999999999</v>
      </c>
      <c r="AV376" s="401">
        <v>123.10269</v>
      </c>
      <c r="AW376" s="401">
        <f>2.93574+2.96853+2.66779</f>
        <v>8.5720600000000005</v>
      </c>
      <c r="AX376" s="401">
        <v>16.57038</v>
      </c>
      <c r="AY376" s="401">
        <v>0</v>
      </c>
      <c r="AZ376" s="401">
        <v>0</v>
      </c>
      <c r="BA376" s="401">
        <v>24.539180000000002</v>
      </c>
      <c r="BB376" s="401">
        <v>123.10269</v>
      </c>
      <c r="BC376" s="401">
        <f>2.93574+0.98951+2.66779</f>
        <v>6.5930400000000002</v>
      </c>
      <c r="BD376" s="385" t="s">
        <v>167</v>
      </c>
      <c r="BE376" s="439" t="s">
        <v>175</v>
      </c>
      <c r="BF376" s="389"/>
      <c r="BG376" s="521">
        <v>236</v>
      </c>
      <c r="BH376" s="402"/>
      <c r="BI376" s="402">
        <f t="shared" si="203"/>
        <v>15.601707333333334</v>
      </c>
    </row>
    <row r="377" spans="1:61" s="359" customFormat="1" ht="19.2" x14ac:dyDescent="0.3">
      <c r="A377" s="360"/>
      <c r="B377" s="579" t="s">
        <v>1104</v>
      </c>
      <c r="C377" s="435" t="s">
        <v>673</v>
      </c>
      <c r="D377" s="361">
        <v>6</v>
      </c>
      <c r="E377" s="403"/>
      <c r="F377" s="404"/>
      <c r="G377" s="400"/>
      <c r="H377" s="401"/>
      <c r="I377" s="401"/>
      <c r="J377" s="401"/>
      <c r="K377" s="401"/>
      <c r="L377" s="401"/>
      <c r="M377" s="401"/>
      <c r="N377" s="401"/>
      <c r="O377" s="401"/>
      <c r="P377" s="401"/>
      <c r="Q377" s="401"/>
      <c r="R377" s="385"/>
      <c r="S377" s="439"/>
      <c r="T377" s="389"/>
      <c r="U377" s="521"/>
      <c r="V377" s="402"/>
      <c r="W377" s="402"/>
      <c r="X377" s="403"/>
      <c r="Y377" s="404"/>
      <c r="Z377" s="400"/>
      <c r="AA377" s="401"/>
      <c r="AB377" s="401"/>
      <c r="AC377" s="401"/>
      <c r="AD377" s="401"/>
      <c r="AE377" s="401"/>
      <c r="AF377" s="401"/>
      <c r="AG377" s="401"/>
      <c r="AH377" s="401"/>
      <c r="AI377" s="401"/>
      <c r="AJ377" s="401"/>
      <c r="AK377" s="385"/>
      <c r="AL377" s="439"/>
      <c r="AM377" s="389"/>
      <c r="AN377" s="521"/>
      <c r="AO377" s="402"/>
      <c r="AP377" s="402"/>
      <c r="AQ377" s="595"/>
      <c r="AR377" s="587">
        <v>60</v>
      </c>
      <c r="AS377" s="400">
        <v>60</v>
      </c>
      <c r="AT377" s="578">
        <v>192.89601999999999</v>
      </c>
      <c r="AU377" s="401">
        <v>109.35999</v>
      </c>
      <c r="AV377" s="401">
        <v>82.3</v>
      </c>
      <c r="AW377" s="401">
        <f>1.42788+2.8365+3.82596</f>
        <v>8.0903399999999994</v>
      </c>
      <c r="AX377" s="401">
        <v>7.6613100000000003</v>
      </c>
      <c r="AY377" s="401">
        <v>0</v>
      </c>
      <c r="AZ377" s="401">
        <v>0</v>
      </c>
      <c r="BA377" s="401">
        <v>27.66864</v>
      </c>
      <c r="BB377" s="401">
        <v>82.3</v>
      </c>
      <c r="BC377" s="401">
        <f>0.47596+2.8365+1.27532</f>
        <v>4.5877800000000004</v>
      </c>
      <c r="BD377" s="385" t="s">
        <v>167</v>
      </c>
      <c r="BE377" s="439" t="s">
        <v>175</v>
      </c>
      <c r="BF377" s="389"/>
      <c r="BG377" s="521">
        <v>402</v>
      </c>
      <c r="BH377" s="402"/>
      <c r="BI377" s="402">
        <f t="shared" si="203"/>
        <v>3.2149336666666666</v>
      </c>
    </row>
    <row r="378" spans="1:61" s="359" customFormat="1" x14ac:dyDescent="0.3">
      <c r="A378" s="360"/>
      <c r="B378" s="382"/>
      <c r="C378" s="433"/>
      <c r="D378" s="361">
        <v>6</v>
      </c>
      <c r="E378" s="403"/>
      <c r="F378" s="404"/>
      <c r="G378" s="400"/>
      <c r="H378" s="401"/>
      <c r="I378" s="401"/>
      <c r="J378" s="401"/>
      <c r="K378" s="401"/>
      <c r="L378" s="401"/>
      <c r="M378" s="401"/>
      <c r="N378" s="401"/>
      <c r="O378" s="401"/>
      <c r="P378" s="401"/>
      <c r="Q378" s="401"/>
      <c r="R378" s="385"/>
      <c r="S378" s="439"/>
      <c r="T378" s="389"/>
      <c r="U378" s="521"/>
      <c r="V378" s="402"/>
      <c r="W378" s="402"/>
      <c r="X378" s="403"/>
      <c r="Y378" s="404"/>
      <c r="Z378" s="400"/>
      <c r="AA378" s="401"/>
      <c r="AB378" s="401"/>
      <c r="AC378" s="401"/>
      <c r="AD378" s="401"/>
      <c r="AE378" s="401"/>
      <c r="AF378" s="401"/>
      <c r="AG378" s="401"/>
      <c r="AH378" s="401"/>
      <c r="AI378" s="401"/>
      <c r="AJ378" s="401"/>
      <c r="AK378" s="385"/>
      <c r="AL378" s="439"/>
      <c r="AM378" s="389"/>
      <c r="AN378" s="521"/>
      <c r="AO378" s="402"/>
      <c r="AP378" s="402"/>
      <c r="AQ378" s="595"/>
      <c r="AR378" s="587"/>
      <c r="AS378" s="400"/>
      <c r="AT378" s="401"/>
      <c r="AU378" s="401"/>
      <c r="AV378" s="401"/>
      <c r="AW378" s="401"/>
      <c r="AX378" s="401"/>
      <c r="AY378" s="401"/>
      <c r="AZ378" s="401"/>
      <c r="BA378" s="401"/>
      <c r="BB378" s="401"/>
      <c r="BC378" s="401"/>
      <c r="BD378" s="385"/>
      <c r="BE378" s="439"/>
      <c r="BF378" s="389"/>
      <c r="BG378" s="521"/>
      <c r="BH378" s="402"/>
      <c r="BI378" s="402" t="e">
        <f t="shared" si="203"/>
        <v>#DIV/0!</v>
      </c>
    </row>
    <row r="379" spans="1:61" s="359" customFormat="1" x14ac:dyDescent="0.3">
      <c r="A379" s="360"/>
      <c r="B379" s="382"/>
      <c r="C379" s="433"/>
      <c r="D379" s="361"/>
      <c r="E379" s="404"/>
      <c r="F379" s="404"/>
      <c r="G379" s="400"/>
      <c r="H379" s="413"/>
      <c r="I379" s="401"/>
      <c r="J379" s="401"/>
      <c r="K379" s="401"/>
      <c r="L379" s="401"/>
      <c r="M379" s="401"/>
      <c r="N379" s="401"/>
      <c r="O379" s="401"/>
      <c r="P379" s="401"/>
      <c r="Q379" s="401"/>
      <c r="R379" s="389"/>
      <c r="S379" s="389"/>
      <c r="T379" s="389"/>
      <c r="U379" s="521"/>
      <c r="V379" s="402"/>
      <c r="W379" s="402" t="e">
        <f>H379/F379</f>
        <v>#DIV/0!</v>
      </c>
      <c r="X379" s="404"/>
      <c r="Y379" s="404"/>
      <c r="Z379" s="400"/>
      <c r="AA379" s="413"/>
      <c r="AB379" s="401"/>
      <c r="AC379" s="401"/>
      <c r="AD379" s="401"/>
      <c r="AE379" s="401"/>
      <c r="AF379" s="401"/>
      <c r="AG379" s="401"/>
      <c r="AH379" s="401"/>
      <c r="AI379" s="401"/>
      <c r="AJ379" s="401"/>
      <c r="AK379" s="389"/>
      <c r="AL379" s="389"/>
      <c r="AM379" s="389"/>
      <c r="AN379" s="521"/>
      <c r="AO379" s="402"/>
      <c r="AP379" s="402" t="e">
        <f>AA379/Y379</f>
        <v>#DIV/0!</v>
      </c>
      <c r="AQ379" s="587"/>
      <c r="AR379" s="587"/>
      <c r="AS379" s="400"/>
      <c r="AT379" s="413"/>
      <c r="AU379" s="401"/>
      <c r="AV379" s="401"/>
      <c r="AW379" s="401"/>
      <c r="AX379" s="401"/>
      <c r="AY379" s="401"/>
      <c r="AZ379" s="401"/>
      <c r="BA379" s="401"/>
      <c r="BB379" s="401"/>
      <c r="BC379" s="401"/>
      <c r="BD379" s="389"/>
      <c r="BE379" s="389"/>
      <c r="BF379" s="389"/>
      <c r="BG379" s="521"/>
      <c r="BH379" s="402"/>
      <c r="BI379" s="402" t="e">
        <f t="shared" ref="BI379:BI405" si="210">AT379/AR379</f>
        <v>#DIV/0!</v>
      </c>
    </row>
    <row r="380" spans="1:61" s="359" customFormat="1" ht="90" customHeight="1" x14ac:dyDescent="0.3">
      <c r="A380" s="470" t="s">
        <v>211</v>
      </c>
      <c r="B380" s="471" t="s">
        <v>226</v>
      </c>
      <c r="C380" s="472"/>
      <c r="D380" s="473"/>
      <c r="E380" s="474">
        <f t="shared" ref="E380:Q380" si="211">E381+E386+E389+E393+E396</f>
        <v>0</v>
      </c>
      <c r="F380" s="474">
        <f t="shared" si="211"/>
        <v>240</v>
      </c>
      <c r="G380" s="474">
        <f t="shared" si="211"/>
        <v>240</v>
      </c>
      <c r="H380" s="475">
        <f t="shared" si="211"/>
        <v>610.46839999999997</v>
      </c>
      <c r="I380" s="475">
        <f t="shared" si="211"/>
        <v>380.80841999999996</v>
      </c>
      <c r="J380" s="475">
        <f t="shared" si="211"/>
        <v>277.15139999999997</v>
      </c>
      <c r="K380" s="475">
        <f t="shared" si="211"/>
        <v>49.122990000000001</v>
      </c>
      <c r="L380" s="475">
        <f t="shared" si="211"/>
        <v>49.214330000000004</v>
      </c>
      <c r="M380" s="475">
        <f t="shared" si="211"/>
        <v>0</v>
      </c>
      <c r="N380" s="475">
        <f t="shared" si="211"/>
        <v>0</v>
      </c>
      <c r="O380" s="475">
        <f t="shared" si="211"/>
        <v>66.044629999999998</v>
      </c>
      <c r="P380" s="475">
        <f t="shared" si="211"/>
        <v>277.15139999999997</v>
      </c>
      <c r="Q380" s="475">
        <f t="shared" si="211"/>
        <v>24.684000000000001</v>
      </c>
      <c r="R380" s="476"/>
      <c r="S380" s="476"/>
      <c r="T380" s="476"/>
      <c r="U380" s="524"/>
      <c r="V380" s="477"/>
      <c r="W380" s="477">
        <f>H380/F380</f>
        <v>2.5436183333333333</v>
      </c>
      <c r="X380" s="474">
        <f t="shared" ref="X380:AJ380" si="212">X381+X386+X389+X393+X396</f>
        <v>0</v>
      </c>
      <c r="Y380" s="474">
        <f t="shared" si="212"/>
        <v>110</v>
      </c>
      <c r="Z380" s="474">
        <f t="shared" si="212"/>
        <v>110</v>
      </c>
      <c r="AA380" s="475">
        <f t="shared" si="212"/>
        <v>285.61135999999999</v>
      </c>
      <c r="AB380" s="475">
        <f t="shared" si="212"/>
        <v>211.89786000000001</v>
      </c>
      <c r="AC380" s="475">
        <f t="shared" si="212"/>
        <v>165.25</v>
      </c>
      <c r="AD380" s="475">
        <f t="shared" si="212"/>
        <v>8.003779999999999</v>
      </c>
      <c r="AE380" s="475">
        <f t="shared" si="212"/>
        <v>6.7456300000000002</v>
      </c>
      <c r="AF380" s="475">
        <f t="shared" si="212"/>
        <v>0</v>
      </c>
      <c r="AG380" s="475">
        <f t="shared" si="212"/>
        <v>0</v>
      </c>
      <c r="AH380" s="475">
        <f t="shared" si="212"/>
        <v>24.033760000000001</v>
      </c>
      <c r="AI380" s="475">
        <f t="shared" si="212"/>
        <v>165.25</v>
      </c>
      <c r="AJ380" s="475">
        <f t="shared" si="212"/>
        <v>8.003779999999999</v>
      </c>
      <c r="AK380" s="476"/>
      <c r="AL380" s="476"/>
      <c r="AM380" s="476"/>
      <c r="AN380" s="524"/>
      <c r="AO380" s="477"/>
      <c r="AP380" s="477">
        <f>AA380/Y380</f>
        <v>2.5964669090909092</v>
      </c>
      <c r="AQ380" s="474">
        <f t="shared" ref="AQ380:BC380" si="213">AQ381+AQ386+AQ389+AQ393+AQ396</f>
        <v>0</v>
      </c>
      <c r="AR380" s="474">
        <f t="shared" si="213"/>
        <v>165</v>
      </c>
      <c r="AS380" s="474">
        <f t="shared" si="213"/>
        <v>165</v>
      </c>
      <c r="AT380" s="475">
        <f t="shared" si="213"/>
        <v>681.62332000000004</v>
      </c>
      <c r="AU380" s="475">
        <f t="shared" si="213"/>
        <v>500.09773000000001</v>
      </c>
      <c r="AV380" s="475">
        <f t="shared" si="213"/>
        <v>354.29291999999998</v>
      </c>
      <c r="AW380" s="475">
        <f t="shared" si="213"/>
        <v>24.453460000000003</v>
      </c>
      <c r="AX380" s="475">
        <f t="shared" si="213"/>
        <v>29.787309999999998</v>
      </c>
      <c r="AY380" s="475">
        <f t="shared" si="213"/>
        <v>0</v>
      </c>
      <c r="AZ380" s="475">
        <f t="shared" si="213"/>
        <v>0</v>
      </c>
      <c r="BA380" s="475">
        <f t="shared" si="213"/>
        <v>58.756060000000005</v>
      </c>
      <c r="BB380" s="475">
        <f t="shared" si="213"/>
        <v>354.29291999999998</v>
      </c>
      <c r="BC380" s="475">
        <f t="shared" si="213"/>
        <v>22.42174</v>
      </c>
      <c r="BD380" s="476"/>
      <c r="BE380" s="476"/>
      <c r="BF380" s="476"/>
      <c r="BG380" s="524"/>
      <c r="BH380" s="477"/>
      <c r="BI380" s="477">
        <f t="shared" si="210"/>
        <v>4.1310504242424244</v>
      </c>
    </row>
    <row r="381" spans="1:61" s="359" customFormat="1" ht="24.75" customHeight="1" x14ac:dyDescent="0.3">
      <c r="A381" s="355" t="s">
        <v>179</v>
      </c>
      <c r="B381" s="356" t="s">
        <v>442</v>
      </c>
      <c r="C381" s="432"/>
      <c r="D381" s="357">
        <v>6</v>
      </c>
      <c r="E381" s="425">
        <f t="shared" ref="E381:Q381" si="214">SUM(E382:E385)</f>
        <v>0</v>
      </c>
      <c r="F381" s="425">
        <f t="shared" si="214"/>
        <v>100</v>
      </c>
      <c r="G381" s="425">
        <f t="shared" si="214"/>
        <v>100</v>
      </c>
      <c r="H381" s="397">
        <f t="shared" si="214"/>
        <v>248.90299999999999</v>
      </c>
      <c r="I381" s="397">
        <f t="shared" si="214"/>
        <v>173.91</v>
      </c>
      <c r="J381" s="397">
        <f t="shared" si="214"/>
        <v>169.0814</v>
      </c>
      <c r="K381" s="397">
        <f t="shared" si="214"/>
        <v>4.8289999999999997</v>
      </c>
      <c r="L381" s="397">
        <f t="shared" si="214"/>
        <v>16.382000000000001</v>
      </c>
      <c r="M381" s="397">
        <f t="shared" si="214"/>
        <v>0</v>
      </c>
      <c r="N381" s="397">
        <f t="shared" si="214"/>
        <v>0</v>
      </c>
      <c r="O381" s="397">
        <f t="shared" si="214"/>
        <v>21.53</v>
      </c>
      <c r="P381" s="397">
        <f t="shared" si="214"/>
        <v>169.0814</v>
      </c>
      <c r="Q381" s="397">
        <f t="shared" si="214"/>
        <v>0</v>
      </c>
      <c r="R381" s="398"/>
      <c r="S381" s="398"/>
      <c r="T381" s="398"/>
      <c r="U381" s="520"/>
      <c r="V381" s="399"/>
      <c r="W381" s="399">
        <f>H381/F381</f>
        <v>2.4890300000000001</v>
      </c>
      <c r="X381" s="425">
        <f t="shared" ref="X381:AJ381" si="215">SUM(X382:X385)</f>
        <v>0</v>
      </c>
      <c r="Y381" s="425">
        <f t="shared" si="215"/>
        <v>110</v>
      </c>
      <c r="Z381" s="425">
        <f t="shared" si="215"/>
        <v>110</v>
      </c>
      <c r="AA381" s="397">
        <f t="shared" si="215"/>
        <v>285.61135999999999</v>
      </c>
      <c r="AB381" s="397">
        <f t="shared" si="215"/>
        <v>211.89786000000001</v>
      </c>
      <c r="AC381" s="397">
        <f t="shared" si="215"/>
        <v>165.25</v>
      </c>
      <c r="AD381" s="397">
        <f t="shared" si="215"/>
        <v>8.003779999999999</v>
      </c>
      <c r="AE381" s="397">
        <f t="shared" si="215"/>
        <v>6.7456300000000002</v>
      </c>
      <c r="AF381" s="397">
        <f t="shared" si="215"/>
        <v>0</v>
      </c>
      <c r="AG381" s="397">
        <f t="shared" si="215"/>
        <v>0</v>
      </c>
      <c r="AH381" s="397">
        <f t="shared" si="215"/>
        <v>24.033760000000001</v>
      </c>
      <c r="AI381" s="397">
        <f t="shared" si="215"/>
        <v>165.25</v>
      </c>
      <c r="AJ381" s="397">
        <f t="shared" si="215"/>
        <v>8.003779999999999</v>
      </c>
      <c r="AK381" s="398"/>
      <c r="AL381" s="398"/>
      <c r="AM381" s="398"/>
      <c r="AN381" s="520"/>
      <c r="AO381" s="399"/>
      <c r="AP381" s="399">
        <f>AA381/Y381</f>
        <v>2.5964669090909092</v>
      </c>
      <c r="AQ381" s="602">
        <f t="shared" ref="AQ381:BC381" si="216">SUM(AQ382:AQ385)</f>
        <v>0</v>
      </c>
      <c r="AR381" s="602">
        <f t="shared" si="216"/>
        <v>0</v>
      </c>
      <c r="AS381" s="602">
        <f t="shared" si="216"/>
        <v>0</v>
      </c>
      <c r="AT381" s="397">
        <f t="shared" si="216"/>
        <v>0</v>
      </c>
      <c r="AU381" s="397">
        <f t="shared" si="216"/>
        <v>0</v>
      </c>
      <c r="AV381" s="397">
        <f t="shared" si="216"/>
        <v>0</v>
      </c>
      <c r="AW381" s="397">
        <f t="shared" si="216"/>
        <v>0</v>
      </c>
      <c r="AX381" s="397">
        <f t="shared" si="216"/>
        <v>0</v>
      </c>
      <c r="AY381" s="397">
        <f t="shared" si="216"/>
        <v>0</v>
      </c>
      <c r="AZ381" s="397">
        <f t="shared" si="216"/>
        <v>0</v>
      </c>
      <c r="BA381" s="397">
        <f t="shared" si="216"/>
        <v>0</v>
      </c>
      <c r="BB381" s="397">
        <f t="shared" si="216"/>
        <v>0</v>
      </c>
      <c r="BC381" s="397">
        <f t="shared" si="216"/>
        <v>0</v>
      </c>
      <c r="BD381" s="398"/>
      <c r="BE381" s="398"/>
      <c r="BF381" s="398"/>
      <c r="BG381" s="520"/>
      <c r="BH381" s="399"/>
      <c r="BI381" s="399" t="e">
        <f t="shared" si="210"/>
        <v>#DIV/0!</v>
      </c>
    </row>
    <row r="382" spans="1:61" s="359" customFormat="1" ht="19.2" x14ac:dyDescent="0.3">
      <c r="A382" s="360" t="s">
        <v>179</v>
      </c>
      <c r="B382" s="513" t="s">
        <v>293</v>
      </c>
      <c r="C382" s="433" t="s">
        <v>292</v>
      </c>
      <c r="D382" s="361">
        <v>6</v>
      </c>
      <c r="E382" s="403"/>
      <c r="F382" s="404">
        <v>100</v>
      </c>
      <c r="G382" s="400">
        <v>100</v>
      </c>
      <c r="H382" s="419">
        <v>248.90299999999999</v>
      </c>
      <c r="I382" s="401">
        <v>173.91</v>
      </c>
      <c r="J382" s="401">
        <v>169.0814</v>
      </c>
      <c r="K382" s="401">
        <v>4.8289999999999997</v>
      </c>
      <c r="L382" s="401">
        <v>16.382000000000001</v>
      </c>
      <c r="M382" s="401">
        <v>0</v>
      </c>
      <c r="N382" s="401">
        <v>0</v>
      </c>
      <c r="O382" s="401">
        <v>21.53</v>
      </c>
      <c r="P382" s="401">
        <v>169.0814</v>
      </c>
      <c r="Q382" s="401">
        <v>0</v>
      </c>
      <c r="R382" s="385" t="s">
        <v>167</v>
      </c>
      <c r="S382" s="439" t="s">
        <v>175</v>
      </c>
      <c r="T382" s="389"/>
      <c r="U382" s="521">
        <v>96</v>
      </c>
      <c r="V382" s="402"/>
      <c r="W382" s="402">
        <f>H382/F382</f>
        <v>2.4890300000000001</v>
      </c>
      <c r="X382" s="403"/>
      <c r="Y382" s="404"/>
      <c r="Z382" s="400"/>
      <c r="AA382" s="419"/>
      <c r="AB382" s="401"/>
      <c r="AC382" s="401"/>
      <c r="AD382" s="401"/>
      <c r="AE382" s="401"/>
      <c r="AF382" s="401"/>
      <c r="AG382" s="401"/>
      <c r="AH382" s="401"/>
      <c r="AI382" s="401"/>
      <c r="AJ382" s="401"/>
      <c r="AK382" s="385"/>
      <c r="AL382" s="439"/>
      <c r="AM382" s="389"/>
      <c r="AN382" s="521"/>
      <c r="AO382" s="402"/>
      <c r="AP382" s="402" t="e">
        <f>AA382/Y382</f>
        <v>#DIV/0!</v>
      </c>
      <c r="AQ382" s="595"/>
      <c r="AR382" s="587"/>
      <c r="AS382" s="400"/>
      <c r="AT382" s="419"/>
      <c r="AU382" s="401"/>
      <c r="AV382" s="401"/>
      <c r="AW382" s="401"/>
      <c r="AX382" s="401"/>
      <c r="AY382" s="401"/>
      <c r="AZ382" s="401"/>
      <c r="BA382" s="401"/>
      <c r="BB382" s="401"/>
      <c r="BC382" s="401"/>
      <c r="BD382" s="385"/>
      <c r="BE382" s="439"/>
      <c r="BF382" s="389"/>
      <c r="BG382" s="521"/>
      <c r="BH382" s="402"/>
      <c r="BI382" s="402" t="e">
        <f t="shared" si="210"/>
        <v>#DIV/0!</v>
      </c>
    </row>
    <row r="383" spans="1:61" s="359" customFormat="1" ht="19.2" x14ac:dyDescent="0.3">
      <c r="A383" s="360" t="s">
        <v>179</v>
      </c>
      <c r="B383" s="543" t="s">
        <v>565</v>
      </c>
      <c r="C383" s="433" t="s">
        <v>443</v>
      </c>
      <c r="D383" s="361">
        <v>6</v>
      </c>
      <c r="E383" s="407"/>
      <c r="F383" s="404"/>
      <c r="G383" s="400"/>
      <c r="H383" s="401"/>
      <c r="I383" s="401"/>
      <c r="J383" s="401"/>
      <c r="K383" s="401"/>
      <c r="L383" s="401"/>
      <c r="M383" s="401"/>
      <c r="N383" s="401"/>
      <c r="O383" s="401"/>
      <c r="P383" s="401"/>
      <c r="Q383" s="401"/>
      <c r="R383" s="389"/>
      <c r="S383" s="389"/>
      <c r="T383" s="389"/>
      <c r="U383" s="521"/>
      <c r="V383" s="402"/>
      <c r="W383" s="402" t="e">
        <f>H383/F383</f>
        <v>#DIV/0!</v>
      </c>
      <c r="X383" s="407"/>
      <c r="Y383" s="404">
        <v>110</v>
      </c>
      <c r="Z383" s="400">
        <v>110</v>
      </c>
      <c r="AA383" s="545">
        <v>285.61135999999999</v>
      </c>
      <c r="AB383" s="401">
        <v>211.89786000000001</v>
      </c>
      <c r="AC383" s="401">
        <v>165.25</v>
      </c>
      <c r="AD383" s="401">
        <f>1.3983+5.01293+1.59255</f>
        <v>8.003779999999999</v>
      </c>
      <c r="AE383" s="401">
        <v>6.7456300000000002</v>
      </c>
      <c r="AF383" s="401">
        <v>0</v>
      </c>
      <c r="AG383" s="401">
        <v>0</v>
      </c>
      <c r="AH383" s="401">
        <v>24.033760000000001</v>
      </c>
      <c r="AI383" s="401">
        <v>165.25</v>
      </c>
      <c r="AJ383" s="401">
        <f>1.3983+5.01293+1.59255</f>
        <v>8.003779999999999</v>
      </c>
      <c r="AK383" s="385" t="s">
        <v>167</v>
      </c>
      <c r="AL383" s="439" t="s">
        <v>175</v>
      </c>
      <c r="AM383" s="389"/>
      <c r="AN383" s="521">
        <v>206</v>
      </c>
      <c r="AO383" s="402"/>
      <c r="AP383" s="402">
        <f>AA383/Y383</f>
        <v>2.5964669090909092</v>
      </c>
      <c r="AQ383" s="407"/>
      <c r="AR383" s="587"/>
      <c r="AS383" s="400"/>
      <c r="AT383" s="545"/>
      <c r="AU383" s="401"/>
      <c r="AV383" s="401"/>
      <c r="AW383" s="401"/>
      <c r="AX383" s="401"/>
      <c r="AY383" s="401"/>
      <c r="AZ383" s="401"/>
      <c r="BA383" s="401"/>
      <c r="BB383" s="401"/>
      <c r="BC383" s="401"/>
      <c r="BD383" s="385"/>
      <c r="BE383" s="439"/>
      <c r="BF383" s="389"/>
      <c r="BG383" s="521"/>
      <c r="BH383" s="402"/>
      <c r="BI383" s="402" t="e">
        <f t="shared" si="210"/>
        <v>#DIV/0!</v>
      </c>
    </row>
    <row r="384" spans="1:61" s="359" customFormat="1" x14ac:dyDescent="0.3">
      <c r="A384" s="360"/>
      <c r="B384" s="382"/>
      <c r="C384" s="433"/>
      <c r="D384" s="361">
        <v>6</v>
      </c>
      <c r="E384" s="407"/>
      <c r="F384" s="404"/>
      <c r="G384" s="400"/>
      <c r="H384" s="401"/>
      <c r="I384" s="401"/>
      <c r="J384" s="401"/>
      <c r="K384" s="401"/>
      <c r="L384" s="401"/>
      <c r="M384" s="401"/>
      <c r="N384" s="401"/>
      <c r="O384" s="401"/>
      <c r="P384" s="401"/>
      <c r="Q384" s="401"/>
      <c r="R384" s="389"/>
      <c r="S384" s="389"/>
      <c r="T384" s="389"/>
      <c r="U384" s="521"/>
      <c r="V384" s="402"/>
      <c r="W384" s="402"/>
      <c r="X384" s="407"/>
      <c r="Y384" s="404"/>
      <c r="Z384" s="400"/>
      <c r="AA384" s="401"/>
      <c r="AB384" s="401"/>
      <c r="AC384" s="401"/>
      <c r="AD384" s="401"/>
      <c r="AE384" s="401"/>
      <c r="AF384" s="401"/>
      <c r="AG384" s="401"/>
      <c r="AH384" s="401"/>
      <c r="AI384" s="401"/>
      <c r="AJ384" s="401"/>
      <c r="AK384" s="385"/>
      <c r="AL384" s="439"/>
      <c r="AM384" s="389"/>
      <c r="AN384" s="521"/>
      <c r="AO384" s="402"/>
      <c r="AP384" s="402"/>
      <c r="AQ384" s="407"/>
      <c r="AR384" s="587"/>
      <c r="AS384" s="400"/>
      <c r="AT384" s="401"/>
      <c r="AU384" s="401"/>
      <c r="AV384" s="401"/>
      <c r="AW384" s="401"/>
      <c r="AX384" s="401"/>
      <c r="AY384" s="401"/>
      <c r="AZ384" s="401"/>
      <c r="BA384" s="401"/>
      <c r="BB384" s="401"/>
      <c r="BC384" s="401"/>
      <c r="BD384" s="385"/>
      <c r="BE384" s="439"/>
      <c r="BF384" s="389"/>
      <c r="BG384" s="521"/>
      <c r="BH384" s="402"/>
      <c r="BI384" s="402" t="e">
        <f t="shared" si="210"/>
        <v>#DIV/0!</v>
      </c>
    </row>
    <row r="385" spans="1:61" s="359" customFormat="1" x14ac:dyDescent="0.3">
      <c r="A385" s="360"/>
      <c r="B385" s="382"/>
      <c r="C385" s="433"/>
      <c r="D385" s="361"/>
      <c r="E385" s="407"/>
      <c r="F385" s="404"/>
      <c r="G385" s="400"/>
      <c r="H385" s="401"/>
      <c r="I385" s="401"/>
      <c r="J385" s="401"/>
      <c r="K385" s="401"/>
      <c r="L385" s="401"/>
      <c r="M385" s="401"/>
      <c r="N385" s="401"/>
      <c r="O385" s="401"/>
      <c r="P385" s="401"/>
      <c r="Q385" s="401"/>
      <c r="R385" s="389"/>
      <c r="S385" s="389"/>
      <c r="T385" s="389"/>
      <c r="U385" s="521"/>
      <c r="V385" s="402"/>
      <c r="W385" s="402" t="e">
        <f>H385/F385</f>
        <v>#DIV/0!</v>
      </c>
      <c r="X385" s="407"/>
      <c r="Y385" s="404"/>
      <c r="Z385" s="400"/>
      <c r="AA385" s="401"/>
      <c r="AB385" s="401"/>
      <c r="AC385" s="401"/>
      <c r="AD385" s="401"/>
      <c r="AE385" s="401"/>
      <c r="AF385" s="401"/>
      <c r="AG385" s="401"/>
      <c r="AH385" s="401"/>
      <c r="AI385" s="401"/>
      <c r="AJ385" s="401"/>
      <c r="AK385" s="389"/>
      <c r="AL385" s="389"/>
      <c r="AM385" s="389"/>
      <c r="AN385" s="521"/>
      <c r="AO385" s="402"/>
      <c r="AP385" s="402" t="e">
        <f>AA385/Y385</f>
        <v>#DIV/0!</v>
      </c>
      <c r="AQ385" s="407"/>
      <c r="AR385" s="587"/>
      <c r="AS385" s="400"/>
      <c r="AT385" s="401"/>
      <c r="AU385" s="401"/>
      <c r="AV385" s="401"/>
      <c r="AW385" s="401"/>
      <c r="AX385" s="401"/>
      <c r="AY385" s="401"/>
      <c r="AZ385" s="401"/>
      <c r="BA385" s="401"/>
      <c r="BB385" s="401"/>
      <c r="BC385" s="401"/>
      <c r="BD385" s="389"/>
      <c r="BE385" s="389"/>
      <c r="BF385" s="389"/>
      <c r="BG385" s="521"/>
      <c r="BH385" s="402"/>
      <c r="BI385" s="402" t="e">
        <f t="shared" si="210"/>
        <v>#DIV/0!</v>
      </c>
    </row>
    <row r="386" spans="1:61" s="359" customFormat="1" ht="24.75" customHeight="1" x14ac:dyDescent="0.3">
      <c r="A386" s="355" t="s">
        <v>183</v>
      </c>
      <c r="B386" s="356" t="s">
        <v>236</v>
      </c>
      <c r="C386" s="432"/>
      <c r="D386" s="357">
        <v>6</v>
      </c>
      <c r="E386" s="396">
        <f t="shared" ref="E386:Q386" si="217">SUM(E387:E388)</f>
        <v>0</v>
      </c>
      <c r="F386" s="396">
        <f t="shared" si="217"/>
        <v>0</v>
      </c>
      <c r="G386" s="396">
        <f t="shared" si="217"/>
        <v>0</v>
      </c>
      <c r="H386" s="397">
        <f t="shared" si="217"/>
        <v>0</v>
      </c>
      <c r="I386" s="397">
        <f t="shared" si="217"/>
        <v>0</v>
      </c>
      <c r="J386" s="397">
        <f t="shared" si="217"/>
        <v>0</v>
      </c>
      <c r="K386" s="397">
        <f t="shared" si="217"/>
        <v>0</v>
      </c>
      <c r="L386" s="397">
        <f t="shared" si="217"/>
        <v>0</v>
      </c>
      <c r="M386" s="397">
        <f t="shared" si="217"/>
        <v>0</v>
      </c>
      <c r="N386" s="397">
        <f t="shared" si="217"/>
        <v>0</v>
      </c>
      <c r="O386" s="397">
        <f t="shared" si="217"/>
        <v>0</v>
      </c>
      <c r="P386" s="397">
        <f t="shared" si="217"/>
        <v>0</v>
      </c>
      <c r="Q386" s="397">
        <f t="shared" si="217"/>
        <v>0</v>
      </c>
      <c r="R386" s="398"/>
      <c r="S386" s="398"/>
      <c r="T386" s="398"/>
      <c r="U386" s="520"/>
      <c r="V386" s="399"/>
      <c r="W386" s="399" t="e">
        <f>H386/F386</f>
        <v>#DIV/0!</v>
      </c>
      <c r="X386" s="396">
        <f t="shared" ref="X386:AJ386" si="218">SUM(X387:X388)</f>
        <v>0</v>
      </c>
      <c r="Y386" s="396">
        <f t="shared" si="218"/>
        <v>0</v>
      </c>
      <c r="Z386" s="396">
        <f t="shared" si="218"/>
        <v>0</v>
      </c>
      <c r="AA386" s="397">
        <f t="shared" si="218"/>
        <v>0</v>
      </c>
      <c r="AB386" s="397">
        <f t="shared" si="218"/>
        <v>0</v>
      </c>
      <c r="AC386" s="397">
        <f t="shared" si="218"/>
        <v>0</v>
      </c>
      <c r="AD386" s="397">
        <f t="shared" si="218"/>
        <v>0</v>
      </c>
      <c r="AE386" s="397">
        <f t="shared" si="218"/>
        <v>0</v>
      </c>
      <c r="AF386" s="397">
        <f t="shared" si="218"/>
        <v>0</v>
      </c>
      <c r="AG386" s="397">
        <f t="shared" si="218"/>
        <v>0</v>
      </c>
      <c r="AH386" s="397">
        <f t="shared" si="218"/>
        <v>0</v>
      </c>
      <c r="AI386" s="397">
        <f t="shared" si="218"/>
        <v>0</v>
      </c>
      <c r="AJ386" s="397">
        <f t="shared" si="218"/>
        <v>0</v>
      </c>
      <c r="AK386" s="398"/>
      <c r="AL386" s="398"/>
      <c r="AM386" s="398"/>
      <c r="AN386" s="520"/>
      <c r="AO386" s="399"/>
      <c r="AP386" s="399" t="e">
        <f>AA386/Y386</f>
        <v>#DIV/0!</v>
      </c>
      <c r="AQ386" s="396">
        <f t="shared" ref="AQ386:BC386" si="219">SUM(AQ387:AQ388)</f>
        <v>0</v>
      </c>
      <c r="AR386" s="396">
        <f t="shared" si="219"/>
        <v>0</v>
      </c>
      <c r="AS386" s="396">
        <f t="shared" si="219"/>
        <v>0</v>
      </c>
      <c r="AT386" s="397">
        <f t="shared" si="219"/>
        <v>0</v>
      </c>
      <c r="AU386" s="397">
        <f t="shared" si="219"/>
        <v>0</v>
      </c>
      <c r="AV386" s="397">
        <f t="shared" si="219"/>
        <v>0</v>
      </c>
      <c r="AW386" s="397">
        <f t="shared" si="219"/>
        <v>0</v>
      </c>
      <c r="AX386" s="397">
        <f t="shared" si="219"/>
        <v>0</v>
      </c>
      <c r="AY386" s="397">
        <f t="shared" si="219"/>
        <v>0</v>
      </c>
      <c r="AZ386" s="397">
        <f t="shared" si="219"/>
        <v>0</v>
      </c>
      <c r="BA386" s="397">
        <f t="shared" si="219"/>
        <v>0</v>
      </c>
      <c r="BB386" s="397">
        <f t="shared" si="219"/>
        <v>0</v>
      </c>
      <c r="BC386" s="397">
        <f t="shared" si="219"/>
        <v>0</v>
      </c>
      <c r="BD386" s="398"/>
      <c r="BE386" s="398"/>
      <c r="BF386" s="398"/>
      <c r="BG386" s="520"/>
      <c r="BH386" s="399"/>
      <c r="BI386" s="399" t="e">
        <f t="shared" si="210"/>
        <v>#DIV/0!</v>
      </c>
    </row>
    <row r="387" spans="1:61" s="359" customFormat="1" x14ac:dyDescent="0.3">
      <c r="A387" s="360" t="s">
        <v>184</v>
      </c>
      <c r="B387" s="382"/>
      <c r="C387" s="437"/>
      <c r="D387" s="361">
        <v>6</v>
      </c>
      <c r="E387" s="407"/>
      <c r="F387" s="404"/>
      <c r="G387" s="400"/>
      <c r="H387" s="401"/>
      <c r="I387" s="401"/>
      <c r="J387" s="401"/>
      <c r="K387" s="401"/>
      <c r="L387" s="401"/>
      <c r="M387" s="401"/>
      <c r="N387" s="401"/>
      <c r="O387" s="401"/>
      <c r="P387" s="401"/>
      <c r="Q387" s="401"/>
      <c r="R387" s="389"/>
      <c r="S387" s="389"/>
      <c r="T387" s="389"/>
      <c r="U387" s="521"/>
      <c r="V387" s="402"/>
      <c r="W387" s="402" t="e">
        <f>H387/F387</f>
        <v>#DIV/0!</v>
      </c>
      <c r="X387" s="407"/>
      <c r="Y387" s="404"/>
      <c r="Z387" s="400"/>
      <c r="AA387" s="401"/>
      <c r="AB387" s="401"/>
      <c r="AC387" s="401"/>
      <c r="AD387" s="401"/>
      <c r="AE387" s="401"/>
      <c r="AF387" s="401"/>
      <c r="AG387" s="401"/>
      <c r="AH387" s="401"/>
      <c r="AI387" s="401"/>
      <c r="AJ387" s="401"/>
      <c r="AK387" s="389"/>
      <c r="AL387" s="389"/>
      <c r="AM387" s="389"/>
      <c r="AN387" s="521"/>
      <c r="AO387" s="402"/>
      <c r="AP387" s="402" t="e">
        <f>AA387/Y387</f>
        <v>#DIV/0!</v>
      </c>
      <c r="AQ387" s="407"/>
      <c r="AR387" s="587"/>
      <c r="AS387" s="400"/>
      <c r="AT387" s="401"/>
      <c r="AU387" s="401"/>
      <c r="AV387" s="401"/>
      <c r="AW387" s="401"/>
      <c r="AX387" s="401"/>
      <c r="AY387" s="401"/>
      <c r="AZ387" s="401"/>
      <c r="BA387" s="401"/>
      <c r="BB387" s="401"/>
      <c r="BC387" s="401"/>
      <c r="BD387" s="389"/>
      <c r="BE387" s="389"/>
      <c r="BF387" s="389"/>
      <c r="BG387" s="521"/>
      <c r="BH387" s="402"/>
      <c r="BI387" s="402" t="e">
        <f t="shared" si="210"/>
        <v>#DIV/0!</v>
      </c>
    </row>
    <row r="388" spans="1:61" s="359" customFormat="1" x14ac:dyDescent="0.3">
      <c r="A388" s="360"/>
      <c r="B388" s="382"/>
      <c r="C388" s="433"/>
      <c r="D388" s="361"/>
      <c r="E388" s="407"/>
      <c r="F388" s="404"/>
      <c r="G388" s="400"/>
      <c r="H388" s="401"/>
      <c r="I388" s="401"/>
      <c r="J388" s="401"/>
      <c r="K388" s="401"/>
      <c r="L388" s="401"/>
      <c r="M388" s="401"/>
      <c r="N388" s="401"/>
      <c r="O388" s="401"/>
      <c r="P388" s="401"/>
      <c r="Q388" s="401"/>
      <c r="R388" s="389"/>
      <c r="S388" s="389"/>
      <c r="T388" s="389"/>
      <c r="U388" s="521"/>
      <c r="V388" s="402"/>
      <c r="W388" s="402" t="e">
        <f>H388/F388</f>
        <v>#DIV/0!</v>
      </c>
      <c r="X388" s="407"/>
      <c r="Y388" s="404"/>
      <c r="Z388" s="400"/>
      <c r="AA388" s="401"/>
      <c r="AB388" s="401"/>
      <c r="AC388" s="401"/>
      <c r="AD388" s="401"/>
      <c r="AE388" s="401"/>
      <c r="AF388" s="401"/>
      <c r="AG388" s="401"/>
      <c r="AH388" s="401"/>
      <c r="AI388" s="401"/>
      <c r="AJ388" s="401"/>
      <c r="AK388" s="389"/>
      <c r="AL388" s="389"/>
      <c r="AM388" s="389"/>
      <c r="AN388" s="521"/>
      <c r="AO388" s="402"/>
      <c r="AP388" s="402" t="e">
        <f>AA388/Y388</f>
        <v>#DIV/0!</v>
      </c>
      <c r="AQ388" s="407"/>
      <c r="AR388" s="587"/>
      <c r="AS388" s="400"/>
      <c r="AT388" s="401"/>
      <c r="AU388" s="401"/>
      <c r="AV388" s="401"/>
      <c r="AW388" s="401"/>
      <c r="AX388" s="401"/>
      <c r="AY388" s="401"/>
      <c r="AZ388" s="401"/>
      <c r="BA388" s="401"/>
      <c r="BB388" s="401"/>
      <c r="BC388" s="401"/>
      <c r="BD388" s="389"/>
      <c r="BE388" s="389"/>
      <c r="BF388" s="389"/>
      <c r="BG388" s="521"/>
      <c r="BH388" s="402"/>
      <c r="BI388" s="402" t="e">
        <f t="shared" si="210"/>
        <v>#DIV/0!</v>
      </c>
    </row>
    <row r="389" spans="1:61" s="359" customFormat="1" ht="24.75" customHeight="1" x14ac:dyDescent="0.3">
      <c r="A389" s="355" t="s">
        <v>185</v>
      </c>
      <c r="B389" s="356" t="s">
        <v>235</v>
      </c>
      <c r="C389" s="432"/>
      <c r="D389" s="357">
        <v>6</v>
      </c>
      <c r="E389" s="425">
        <f t="shared" ref="E389:Q389" si="220">SUM(E390:E392)</f>
        <v>0</v>
      </c>
      <c r="F389" s="425">
        <f t="shared" si="220"/>
        <v>0</v>
      </c>
      <c r="G389" s="425">
        <f t="shared" si="220"/>
        <v>0</v>
      </c>
      <c r="H389" s="397">
        <f t="shared" si="220"/>
        <v>0</v>
      </c>
      <c r="I389" s="397">
        <f t="shared" si="220"/>
        <v>0</v>
      </c>
      <c r="J389" s="397">
        <f t="shared" si="220"/>
        <v>0</v>
      </c>
      <c r="K389" s="397">
        <f t="shared" si="220"/>
        <v>0</v>
      </c>
      <c r="L389" s="397">
        <f t="shared" si="220"/>
        <v>0</v>
      </c>
      <c r="M389" s="397">
        <f t="shared" si="220"/>
        <v>0</v>
      </c>
      <c r="N389" s="397">
        <f t="shared" si="220"/>
        <v>0</v>
      </c>
      <c r="O389" s="397">
        <f t="shared" si="220"/>
        <v>0</v>
      </c>
      <c r="P389" s="397">
        <f t="shared" si="220"/>
        <v>0</v>
      </c>
      <c r="Q389" s="397">
        <f t="shared" si="220"/>
        <v>0</v>
      </c>
      <c r="R389" s="398"/>
      <c r="S389" s="398"/>
      <c r="T389" s="398"/>
      <c r="U389" s="520"/>
      <c r="V389" s="399"/>
      <c r="W389" s="399" t="e">
        <f>H389/F389</f>
        <v>#DIV/0!</v>
      </c>
      <c r="X389" s="425">
        <f t="shared" ref="X389:AJ389" si="221">SUM(X390:X392)</f>
        <v>0</v>
      </c>
      <c r="Y389" s="425">
        <f t="shared" si="221"/>
        <v>0</v>
      </c>
      <c r="Z389" s="425">
        <f t="shared" si="221"/>
        <v>0</v>
      </c>
      <c r="AA389" s="397">
        <f t="shared" si="221"/>
        <v>0</v>
      </c>
      <c r="AB389" s="397">
        <f t="shared" si="221"/>
        <v>0</v>
      </c>
      <c r="AC389" s="397">
        <f t="shared" si="221"/>
        <v>0</v>
      </c>
      <c r="AD389" s="397">
        <f t="shared" si="221"/>
        <v>0</v>
      </c>
      <c r="AE389" s="397">
        <f t="shared" si="221"/>
        <v>0</v>
      </c>
      <c r="AF389" s="397">
        <f t="shared" si="221"/>
        <v>0</v>
      </c>
      <c r="AG389" s="397">
        <f t="shared" si="221"/>
        <v>0</v>
      </c>
      <c r="AH389" s="397">
        <f t="shared" si="221"/>
        <v>0</v>
      </c>
      <c r="AI389" s="397">
        <f t="shared" si="221"/>
        <v>0</v>
      </c>
      <c r="AJ389" s="397">
        <f t="shared" si="221"/>
        <v>0</v>
      </c>
      <c r="AK389" s="398"/>
      <c r="AL389" s="398"/>
      <c r="AM389" s="398"/>
      <c r="AN389" s="520"/>
      <c r="AO389" s="399"/>
      <c r="AP389" s="399" t="e">
        <f>AA389/Y389</f>
        <v>#DIV/0!</v>
      </c>
      <c r="AQ389" s="602">
        <f t="shared" ref="AQ389:BC389" si="222">SUM(AQ390:AQ392)</f>
        <v>0</v>
      </c>
      <c r="AR389" s="602">
        <f t="shared" si="222"/>
        <v>150</v>
      </c>
      <c r="AS389" s="602">
        <f t="shared" si="222"/>
        <v>150</v>
      </c>
      <c r="AT389" s="397">
        <f t="shared" si="222"/>
        <v>393.99015000000003</v>
      </c>
      <c r="AU389" s="397">
        <f t="shared" si="222"/>
        <v>291.74020000000002</v>
      </c>
      <c r="AV389" s="397">
        <f t="shared" si="222"/>
        <v>197.09985</v>
      </c>
      <c r="AW389" s="397">
        <f t="shared" si="222"/>
        <v>12.834040000000002</v>
      </c>
      <c r="AX389" s="397">
        <f t="shared" si="222"/>
        <v>14.36659</v>
      </c>
      <c r="AY389" s="397">
        <f t="shared" si="222"/>
        <v>0</v>
      </c>
      <c r="AZ389" s="397">
        <f t="shared" si="222"/>
        <v>0</v>
      </c>
      <c r="BA389" s="397">
        <f t="shared" si="222"/>
        <v>33.010350000000003</v>
      </c>
      <c r="BB389" s="397">
        <f t="shared" si="222"/>
        <v>197.09985</v>
      </c>
      <c r="BC389" s="397">
        <f t="shared" si="222"/>
        <v>11.90184</v>
      </c>
      <c r="BD389" s="398"/>
      <c r="BE389" s="398"/>
      <c r="BF389" s="398"/>
      <c r="BG389" s="520"/>
      <c r="BH389" s="399"/>
      <c r="BI389" s="399">
        <f t="shared" si="210"/>
        <v>2.6266010000000004</v>
      </c>
    </row>
    <row r="390" spans="1:61" s="359" customFormat="1" ht="28.8" x14ac:dyDescent="0.3">
      <c r="A390" s="360" t="s">
        <v>179</v>
      </c>
      <c r="B390" s="584" t="s">
        <v>798</v>
      </c>
      <c r="C390" s="433" t="s">
        <v>658</v>
      </c>
      <c r="D390" s="361">
        <v>6</v>
      </c>
      <c r="E390" s="407"/>
      <c r="F390" s="416"/>
      <c r="G390" s="416"/>
      <c r="H390" s="401"/>
      <c r="I390" s="401"/>
      <c r="J390" s="401"/>
      <c r="K390" s="401"/>
      <c r="L390" s="401"/>
      <c r="M390" s="401"/>
      <c r="N390" s="401"/>
      <c r="O390" s="401"/>
      <c r="P390" s="401"/>
      <c r="Q390" s="401"/>
      <c r="R390" s="389"/>
      <c r="S390" s="389"/>
      <c r="T390" s="389"/>
      <c r="U390" s="521"/>
      <c r="V390" s="402"/>
      <c r="W390" s="402"/>
      <c r="X390" s="407"/>
      <c r="Y390" s="416"/>
      <c r="Z390" s="416"/>
      <c r="AA390" s="401"/>
      <c r="AB390" s="401"/>
      <c r="AC390" s="401"/>
      <c r="AD390" s="401"/>
      <c r="AE390" s="401"/>
      <c r="AF390" s="401"/>
      <c r="AG390" s="401"/>
      <c r="AH390" s="401"/>
      <c r="AI390" s="401"/>
      <c r="AJ390" s="401"/>
      <c r="AK390" s="389"/>
      <c r="AL390" s="389"/>
      <c r="AM390" s="389"/>
      <c r="AN390" s="521"/>
      <c r="AO390" s="402"/>
      <c r="AP390" s="402"/>
      <c r="AQ390" s="407"/>
      <c r="AR390" s="416">
        <v>150</v>
      </c>
      <c r="AS390" s="416">
        <v>150</v>
      </c>
      <c r="AT390" s="578">
        <v>393.99015000000003</v>
      </c>
      <c r="AU390" s="401">
        <v>291.74020000000002</v>
      </c>
      <c r="AV390" s="401">
        <v>197.09985</v>
      </c>
      <c r="AW390" s="401">
        <f>8.5+1.3983+2.93574</f>
        <v>12.834040000000002</v>
      </c>
      <c r="AX390" s="401">
        <v>14.36659</v>
      </c>
      <c r="AY390" s="401">
        <v>0</v>
      </c>
      <c r="AZ390" s="401">
        <v>0</v>
      </c>
      <c r="BA390" s="401">
        <v>33.010350000000003</v>
      </c>
      <c r="BB390" s="401">
        <v>197.09985</v>
      </c>
      <c r="BC390" s="401">
        <f>8.5+0.4661+2.93574</f>
        <v>11.90184</v>
      </c>
      <c r="BD390" s="385" t="s">
        <v>167</v>
      </c>
      <c r="BE390" s="439" t="s">
        <v>175</v>
      </c>
      <c r="BF390" s="389"/>
      <c r="BG390" s="521">
        <v>580</v>
      </c>
      <c r="BH390" s="402"/>
      <c r="BI390" s="402">
        <f t="shared" si="210"/>
        <v>2.6266010000000004</v>
      </c>
    </row>
    <row r="391" spans="1:61" s="359" customFormat="1" x14ac:dyDescent="0.3">
      <c r="A391" s="360"/>
      <c r="B391" s="570"/>
      <c r="C391" s="433"/>
      <c r="D391" s="361">
        <v>6</v>
      </c>
      <c r="E391" s="407"/>
      <c r="F391" s="416"/>
      <c r="G391" s="416"/>
      <c r="H391" s="401"/>
      <c r="I391" s="401"/>
      <c r="J391" s="401"/>
      <c r="K391" s="401"/>
      <c r="L391" s="401"/>
      <c r="M391" s="401"/>
      <c r="N391" s="401"/>
      <c r="O391" s="401"/>
      <c r="P391" s="401"/>
      <c r="Q391" s="401"/>
      <c r="R391" s="389"/>
      <c r="S391" s="389"/>
      <c r="T391" s="389"/>
      <c r="U391" s="521"/>
      <c r="V391" s="402"/>
      <c r="W391" s="402"/>
      <c r="X391" s="407"/>
      <c r="Y391" s="416"/>
      <c r="Z391" s="416"/>
      <c r="AA391" s="401"/>
      <c r="AB391" s="401"/>
      <c r="AC391" s="401"/>
      <c r="AD391" s="401"/>
      <c r="AE391" s="401"/>
      <c r="AF391" s="401"/>
      <c r="AG391" s="401"/>
      <c r="AH391" s="401"/>
      <c r="AI391" s="401"/>
      <c r="AJ391" s="401"/>
      <c r="AK391" s="389"/>
      <c r="AL391" s="389"/>
      <c r="AM391" s="389"/>
      <c r="AN391" s="521"/>
      <c r="AO391" s="402"/>
      <c r="AP391" s="402"/>
      <c r="AQ391" s="407"/>
      <c r="AR391" s="416"/>
      <c r="AS391" s="416"/>
      <c r="AT391" s="401"/>
      <c r="AU391" s="401"/>
      <c r="AV391" s="401"/>
      <c r="AW391" s="401"/>
      <c r="AX391" s="401"/>
      <c r="AY391" s="401"/>
      <c r="AZ391" s="401"/>
      <c r="BA391" s="401"/>
      <c r="BB391" s="401"/>
      <c r="BC391" s="401"/>
      <c r="BD391" s="389"/>
      <c r="BE391" s="389"/>
      <c r="BF391" s="389"/>
      <c r="BG391" s="521"/>
      <c r="BH391" s="402"/>
      <c r="BI391" s="402" t="e">
        <f t="shared" si="210"/>
        <v>#DIV/0!</v>
      </c>
    </row>
    <row r="392" spans="1:61" s="359" customFormat="1" x14ac:dyDescent="0.3">
      <c r="A392" s="360"/>
      <c r="B392" s="382"/>
      <c r="C392" s="433"/>
      <c r="D392" s="361"/>
      <c r="E392" s="407"/>
      <c r="F392" s="404"/>
      <c r="G392" s="400"/>
      <c r="H392" s="401"/>
      <c r="I392" s="401"/>
      <c r="J392" s="401"/>
      <c r="K392" s="401"/>
      <c r="L392" s="401"/>
      <c r="M392" s="401"/>
      <c r="N392" s="401"/>
      <c r="O392" s="401"/>
      <c r="P392" s="401"/>
      <c r="Q392" s="401"/>
      <c r="R392" s="389"/>
      <c r="S392" s="389"/>
      <c r="T392" s="389"/>
      <c r="U392" s="521"/>
      <c r="V392" s="402"/>
      <c r="W392" s="402" t="e">
        <f>H392/F392</f>
        <v>#DIV/0!</v>
      </c>
      <c r="X392" s="407"/>
      <c r="Y392" s="404"/>
      <c r="Z392" s="400"/>
      <c r="AA392" s="401"/>
      <c r="AB392" s="401"/>
      <c r="AC392" s="401"/>
      <c r="AD392" s="401"/>
      <c r="AE392" s="401"/>
      <c r="AF392" s="401"/>
      <c r="AG392" s="401"/>
      <c r="AH392" s="401"/>
      <c r="AI392" s="401"/>
      <c r="AJ392" s="401"/>
      <c r="AK392" s="389"/>
      <c r="AL392" s="389"/>
      <c r="AM392" s="389"/>
      <c r="AN392" s="521"/>
      <c r="AO392" s="402"/>
      <c r="AP392" s="402" t="e">
        <f>AA392/Y392</f>
        <v>#DIV/0!</v>
      </c>
      <c r="AQ392" s="407"/>
      <c r="AR392" s="587"/>
      <c r="AS392" s="400"/>
      <c r="AT392" s="401"/>
      <c r="AU392" s="401"/>
      <c r="AV392" s="401"/>
      <c r="AW392" s="401"/>
      <c r="AX392" s="401"/>
      <c r="AY392" s="401"/>
      <c r="AZ392" s="401"/>
      <c r="BA392" s="401"/>
      <c r="BB392" s="401"/>
      <c r="BC392" s="401"/>
      <c r="BD392" s="389"/>
      <c r="BE392" s="389"/>
      <c r="BF392" s="389"/>
      <c r="BG392" s="521"/>
      <c r="BH392" s="402"/>
      <c r="BI392" s="402" t="e">
        <f t="shared" si="210"/>
        <v>#DIV/0!</v>
      </c>
    </row>
    <row r="393" spans="1:61" s="359" customFormat="1" ht="24.75" customHeight="1" x14ac:dyDescent="0.3">
      <c r="A393" s="355" t="s">
        <v>187</v>
      </c>
      <c r="B393" s="356" t="s">
        <v>236</v>
      </c>
      <c r="C393" s="432"/>
      <c r="D393" s="357">
        <v>6</v>
      </c>
      <c r="E393" s="396">
        <f t="shared" ref="E393:Q393" si="223">SUM(E394:E395)</f>
        <v>0</v>
      </c>
      <c r="F393" s="396">
        <f t="shared" si="223"/>
        <v>0</v>
      </c>
      <c r="G393" s="396">
        <f t="shared" si="223"/>
        <v>0</v>
      </c>
      <c r="H393" s="397">
        <f t="shared" si="223"/>
        <v>0</v>
      </c>
      <c r="I393" s="397">
        <f t="shared" si="223"/>
        <v>0</v>
      </c>
      <c r="J393" s="397">
        <f t="shared" si="223"/>
        <v>0</v>
      </c>
      <c r="K393" s="397">
        <f t="shared" si="223"/>
        <v>0</v>
      </c>
      <c r="L393" s="397">
        <f t="shared" si="223"/>
        <v>0</v>
      </c>
      <c r="M393" s="397">
        <f t="shared" si="223"/>
        <v>0</v>
      </c>
      <c r="N393" s="397">
        <f t="shared" si="223"/>
        <v>0</v>
      </c>
      <c r="O393" s="397">
        <f t="shared" si="223"/>
        <v>0</v>
      </c>
      <c r="P393" s="397">
        <f t="shared" si="223"/>
        <v>0</v>
      </c>
      <c r="Q393" s="397">
        <f t="shared" si="223"/>
        <v>0</v>
      </c>
      <c r="R393" s="398"/>
      <c r="S393" s="398"/>
      <c r="T393" s="398"/>
      <c r="U393" s="520"/>
      <c r="V393" s="399"/>
      <c r="W393" s="399" t="e">
        <f>H393/F393</f>
        <v>#DIV/0!</v>
      </c>
      <c r="X393" s="396">
        <f t="shared" ref="X393:AJ393" si="224">SUM(X394:X395)</f>
        <v>0</v>
      </c>
      <c r="Y393" s="396">
        <f t="shared" si="224"/>
        <v>0</v>
      </c>
      <c r="Z393" s="396">
        <f t="shared" si="224"/>
        <v>0</v>
      </c>
      <c r="AA393" s="397">
        <f t="shared" si="224"/>
        <v>0</v>
      </c>
      <c r="AB393" s="397">
        <f t="shared" si="224"/>
        <v>0</v>
      </c>
      <c r="AC393" s="397">
        <f t="shared" si="224"/>
        <v>0</v>
      </c>
      <c r="AD393" s="397">
        <f t="shared" si="224"/>
        <v>0</v>
      </c>
      <c r="AE393" s="397">
        <f t="shared" si="224"/>
        <v>0</v>
      </c>
      <c r="AF393" s="397">
        <f t="shared" si="224"/>
        <v>0</v>
      </c>
      <c r="AG393" s="397">
        <f t="shared" si="224"/>
        <v>0</v>
      </c>
      <c r="AH393" s="397">
        <f t="shared" si="224"/>
        <v>0</v>
      </c>
      <c r="AI393" s="397">
        <f t="shared" si="224"/>
        <v>0</v>
      </c>
      <c r="AJ393" s="397">
        <f t="shared" si="224"/>
        <v>0</v>
      </c>
      <c r="AK393" s="398"/>
      <c r="AL393" s="398"/>
      <c r="AM393" s="398"/>
      <c r="AN393" s="520"/>
      <c r="AO393" s="399"/>
      <c r="AP393" s="399" t="e">
        <f>AA393/Y393</f>
        <v>#DIV/0!</v>
      </c>
      <c r="AQ393" s="396">
        <f t="shared" ref="AQ393:BC393" si="225">SUM(AQ394:AQ395)</f>
        <v>0</v>
      </c>
      <c r="AR393" s="396">
        <f t="shared" si="225"/>
        <v>0</v>
      </c>
      <c r="AS393" s="396">
        <f t="shared" si="225"/>
        <v>0</v>
      </c>
      <c r="AT393" s="397">
        <f t="shared" si="225"/>
        <v>0</v>
      </c>
      <c r="AU393" s="397">
        <f t="shared" si="225"/>
        <v>0</v>
      </c>
      <c r="AV393" s="397">
        <f t="shared" si="225"/>
        <v>0</v>
      </c>
      <c r="AW393" s="397">
        <f t="shared" si="225"/>
        <v>0</v>
      </c>
      <c r="AX393" s="397">
        <f t="shared" si="225"/>
        <v>0</v>
      </c>
      <c r="AY393" s="397">
        <f t="shared" si="225"/>
        <v>0</v>
      </c>
      <c r="AZ393" s="397">
        <f t="shared" si="225"/>
        <v>0</v>
      </c>
      <c r="BA393" s="397">
        <f t="shared" si="225"/>
        <v>0</v>
      </c>
      <c r="BB393" s="397">
        <f t="shared" si="225"/>
        <v>0</v>
      </c>
      <c r="BC393" s="397">
        <f t="shared" si="225"/>
        <v>0</v>
      </c>
      <c r="BD393" s="398"/>
      <c r="BE393" s="398"/>
      <c r="BF393" s="398"/>
      <c r="BG393" s="520"/>
      <c r="BH393" s="399"/>
      <c r="BI393" s="399" t="e">
        <f t="shared" si="210"/>
        <v>#DIV/0!</v>
      </c>
    </row>
    <row r="394" spans="1:61" s="359" customFormat="1" x14ac:dyDescent="0.3">
      <c r="A394" s="360"/>
      <c r="B394" s="570"/>
      <c r="C394" s="433"/>
      <c r="D394" s="361">
        <v>6</v>
      </c>
      <c r="E394" s="407"/>
      <c r="F394" s="416"/>
      <c r="G394" s="416"/>
      <c r="H394" s="401"/>
      <c r="I394" s="401"/>
      <c r="J394" s="401"/>
      <c r="K394" s="401"/>
      <c r="L394" s="401"/>
      <c r="M394" s="401"/>
      <c r="N394" s="401"/>
      <c r="O394" s="401"/>
      <c r="P394" s="401"/>
      <c r="Q394" s="401"/>
      <c r="R394" s="389"/>
      <c r="S394" s="389"/>
      <c r="T394" s="389"/>
      <c r="U394" s="521"/>
      <c r="V394" s="402"/>
      <c r="W394" s="402"/>
      <c r="X394" s="407"/>
      <c r="Y394" s="416"/>
      <c r="Z394" s="416"/>
      <c r="AA394" s="401"/>
      <c r="AB394" s="401"/>
      <c r="AC394" s="401"/>
      <c r="AD394" s="401"/>
      <c r="AE394" s="401"/>
      <c r="AF394" s="401"/>
      <c r="AG394" s="401"/>
      <c r="AH394" s="401"/>
      <c r="AI394" s="401"/>
      <c r="AJ394" s="401"/>
      <c r="AK394" s="389"/>
      <c r="AL394" s="389"/>
      <c r="AM394" s="389"/>
      <c r="AN394" s="521"/>
      <c r="AO394" s="402"/>
      <c r="AP394" s="402"/>
      <c r="AQ394" s="407"/>
      <c r="AR394" s="416"/>
      <c r="AS394" s="416"/>
      <c r="AT394" s="401"/>
      <c r="AU394" s="401"/>
      <c r="AV394" s="401"/>
      <c r="AW394" s="401"/>
      <c r="AX394" s="401"/>
      <c r="AY394" s="401"/>
      <c r="AZ394" s="401"/>
      <c r="BA394" s="401"/>
      <c r="BB394" s="401"/>
      <c r="BC394" s="401"/>
      <c r="BD394" s="389"/>
      <c r="BE394" s="389"/>
      <c r="BF394" s="389"/>
      <c r="BG394" s="521"/>
      <c r="BH394" s="402"/>
      <c r="BI394" s="402" t="e">
        <f t="shared" si="210"/>
        <v>#DIV/0!</v>
      </c>
    </row>
    <row r="395" spans="1:61" s="359" customFormat="1" x14ac:dyDescent="0.3">
      <c r="A395" s="360"/>
      <c r="B395" s="382"/>
      <c r="C395" s="433"/>
      <c r="D395" s="361"/>
      <c r="E395" s="407"/>
      <c r="F395" s="404"/>
      <c r="G395" s="400"/>
      <c r="H395" s="401"/>
      <c r="I395" s="401"/>
      <c r="J395" s="401"/>
      <c r="K395" s="401"/>
      <c r="L395" s="401"/>
      <c r="M395" s="401"/>
      <c r="N395" s="401"/>
      <c r="O395" s="401"/>
      <c r="P395" s="401"/>
      <c r="Q395" s="401"/>
      <c r="R395" s="389"/>
      <c r="S395" s="389"/>
      <c r="T395" s="389"/>
      <c r="U395" s="521"/>
      <c r="V395" s="402"/>
      <c r="W395" s="402" t="e">
        <f>H395/F395</f>
        <v>#DIV/0!</v>
      </c>
      <c r="X395" s="407"/>
      <c r="Y395" s="404"/>
      <c r="Z395" s="400"/>
      <c r="AA395" s="401"/>
      <c r="AB395" s="401"/>
      <c r="AC395" s="401"/>
      <c r="AD395" s="401"/>
      <c r="AE395" s="401"/>
      <c r="AF395" s="401"/>
      <c r="AG395" s="401"/>
      <c r="AH395" s="401"/>
      <c r="AI395" s="401"/>
      <c r="AJ395" s="401"/>
      <c r="AK395" s="389"/>
      <c r="AL395" s="389"/>
      <c r="AM395" s="389"/>
      <c r="AN395" s="521"/>
      <c r="AO395" s="402"/>
      <c r="AP395" s="402" t="e">
        <f>AA395/Y395</f>
        <v>#DIV/0!</v>
      </c>
      <c r="AQ395" s="407"/>
      <c r="AR395" s="587"/>
      <c r="AS395" s="400"/>
      <c r="AT395" s="401"/>
      <c r="AU395" s="401"/>
      <c r="AV395" s="401"/>
      <c r="AW395" s="401"/>
      <c r="AX395" s="401"/>
      <c r="AY395" s="401"/>
      <c r="AZ395" s="401"/>
      <c r="BA395" s="401"/>
      <c r="BB395" s="401"/>
      <c r="BC395" s="401"/>
      <c r="BD395" s="389"/>
      <c r="BE395" s="389"/>
      <c r="BF395" s="389"/>
      <c r="BG395" s="521"/>
      <c r="BH395" s="402"/>
      <c r="BI395" s="402" t="e">
        <f t="shared" si="210"/>
        <v>#DIV/0!</v>
      </c>
    </row>
    <row r="396" spans="1:61" s="359" customFormat="1" ht="24.75" customHeight="1" x14ac:dyDescent="0.3">
      <c r="A396" s="355" t="s">
        <v>190</v>
      </c>
      <c r="B396" s="356" t="s">
        <v>281</v>
      </c>
      <c r="C396" s="432"/>
      <c r="D396" s="357">
        <v>6</v>
      </c>
      <c r="E396" s="396">
        <f t="shared" ref="E396:Q396" si="226">SUM(E397:E401)</f>
        <v>0</v>
      </c>
      <c r="F396" s="396">
        <f t="shared" si="226"/>
        <v>140</v>
      </c>
      <c r="G396" s="396">
        <f t="shared" si="226"/>
        <v>140</v>
      </c>
      <c r="H396" s="397">
        <f t="shared" si="226"/>
        <v>361.56540000000001</v>
      </c>
      <c r="I396" s="397">
        <f t="shared" si="226"/>
        <v>206.89841999999999</v>
      </c>
      <c r="J396" s="397">
        <f t="shared" si="226"/>
        <v>108.07</v>
      </c>
      <c r="K396" s="397">
        <f t="shared" si="226"/>
        <v>44.293990000000001</v>
      </c>
      <c r="L396" s="397">
        <f t="shared" si="226"/>
        <v>32.832329999999999</v>
      </c>
      <c r="M396" s="397">
        <f t="shared" si="226"/>
        <v>0</v>
      </c>
      <c r="N396" s="397">
        <f t="shared" si="226"/>
        <v>0</v>
      </c>
      <c r="O396" s="397">
        <f t="shared" si="226"/>
        <v>44.514629999999997</v>
      </c>
      <c r="P396" s="397">
        <f t="shared" si="226"/>
        <v>108.07</v>
      </c>
      <c r="Q396" s="397">
        <f t="shared" si="226"/>
        <v>24.684000000000001</v>
      </c>
      <c r="R396" s="398"/>
      <c r="S396" s="398"/>
      <c r="T396" s="398"/>
      <c r="U396" s="520"/>
      <c r="V396" s="399"/>
      <c r="W396" s="399">
        <f>H396/F396</f>
        <v>2.5826100000000003</v>
      </c>
      <c r="X396" s="396">
        <f t="shared" ref="X396:AJ396" si="227">SUM(X397:X401)</f>
        <v>0</v>
      </c>
      <c r="Y396" s="396">
        <f t="shared" si="227"/>
        <v>0</v>
      </c>
      <c r="Z396" s="396">
        <f t="shared" si="227"/>
        <v>0</v>
      </c>
      <c r="AA396" s="397">
        <f t="shared" si="227"/>
        <v>0</v>
      </c>
      <c r="AB396" s="397">
        <f t="shared" si="227"/>
        <v>0</v>
      </c>
      <c r="AC396" s="397">
        <f t="shared" si="227"/>
        <v>0</v>
      </c>
      <c r="AD396" s="397">
        <f t="shared" si="227"/>
        <v>0</v>
      </c>
      <c r="AE396" s="397">
        <f t="shared" si="227"/>
        <v>0</v>
      </c>
      <c r="AF396" s="397">
        <f t="shared" si="227"/>
        <v>0</v>
      </c>
      <c r="AG396" s="397">
        <f t="shared" si="227"/>
        <v>0</v>
      </c>
      <c r="AH396" s="397">
        <f t="shared" si="227"/>
        <v>0</v>
      </c>
      <c r="AI396" s="397">
        <f t="shared" si="227"/>
        <v>0</v>
      </c>
      <c r="AJ396" s="397">
        <f t="shared" si="227"/>
        <v>0</v>
      </c>
      <c r="AK396" s="398"/>
      <c r="AL396" s="398"/>
      <c r="AM396" s="398"/>
      <c r="AN396" s="520"/>
      <c r="AO396" s="399"/>
      <c r="AP396" s="399" t="e">
        <f>AA396/Y396</f>
        <v>#DIV/0!</v>
      </c>
      <c r="AQ396" s="396">
        <f t="shared" ref="AQ396:BC396" si="228">SUM(AQ397:AQ401)</f>
        <v>0</v>
      </c>
      <c r="AR396" s="396">
        <f t="shared" si="228"/>
        <v>15</v>
      </c>
      <c r="AS396" s="396">
        <f t="shared" si="228"/>
        <v>15</v>
      </c>
      <c r="AT396" s="397">
        <f t="shared" si="228"/>
        <v>287.63317000000001</v>
      </c>
      <c r="AU396" s="397">
        <f t="shared" si="228"/>
        <v>208.35753</v>
      </c>
      <c r="AV396" s="397">
        <f t="shared" si="228"/>
        <v>157.19307000000001</v>
      </c>
      <c r="AW396" s="397">
        <f t="shared" si="228"/>
        <v>11.619420000000002</v>
      </c>
      <c r="AX396" s="397">
        <f t="shared" si="228"/>
        <v>15.420719999999999</v>
      </c>
      <c r="AY396" s="397">
        <f t="shared" si="228"/>
        <v>0</v>
      </c>
      <c r="AZ396" s="397">
        <f t="shared" si="228"/>
        <v>0</v>
      </c>
      <c r="BA396" s="397">
        <f t="shared" si="228"/>
        <v>25.745709999999999</v>
      </c>
      <c r="BB396" s="397">
        <f t="shared" si="228"/>
        <v>157.19307000000001</v>
      </c>
      <c r="BC396" s="397">
        <f t="shared" si="228"/>
        <v>10.5199</v>
      </c>
      <c r="BD396" s="398"/>
      <c r="BE396" s="398"/>
      <c r="BF396" s="398"/>
      <c r="BG396" s="520"/>
      <c r="BH396" s="399"/>
      <c r="BI396" s="399">
        <f t="shared" si="210"/>
        <v>19.175544666666667</v>
      </c>
    </row>
    <row r="397" spans="1:61" s="359" customFormat="1" ht="19.2" x14ac:dyDescent="0.3">
      <c r="A397" s="360" t="s">
        <v>179</v>
      </c>
      <c r="B397" s="518" t="s">
        <v>282</v>
      </c>
      <c r="C397" s="433" t="s">
        <v>283</v>
      </c>
      <c r="D397" s="361">
        <v>6</v>
      </c>
      <c r="E397" s="407"/>
      <c r="F397" s="416">
        <v>100</v>
      </c>
      <c r="G397" s="416">
        <v>100</v>
      </c>
      <c r="H397" s="419">
        <v>149.1704</v>
      </c>
      <c r="I397" s="401">
        <v>74.144419999999997</v>
      </c>
      <c r="J397" s="401">
        <v>0</v>
      </c>
      <c r="K397" s="401">
        <v>19.60999</v>
      </c>
      <c r="L397" s="401">
        <v>16.267330000000001</v>
      </c>
      <c r="M397" s="401">
        <v>0</v>
      </c>
      <c r="N397" s="401">
        <v>0</v>
      </c>
      <c r="O397" s="401">
        <v>21.50263</v>
      </c>
      <c r="P397" s="401">
        <v>0</v>
      </c>
      <c r="Q397" s="401">
        <v>0</v>
      </c>
      <c r="R397" s="385" t="s">
        <v>167</v>
      </c>
      <c r="S397" s="439" t="s">
        <v>175</v>
      </c>
      <c r="T397" s="389"/>
      <c r="U397" s="521">
        <v>68</v>
      </c>
      <c r="V397" s="402"/>
      <c r="W397" s="402">
        <f>H397/F397</f>
        <v>1.4917039999999999</v>
      </c>
      <c r="X397" s="407"/>
      <c r="Y397" s="416"/>
      <c r="Z397" s="416"/>
      <c r="AA397" s="419"/>
      <c r="AB397" s="401"/>
      <c r="AC397" s="401"/>
      <c r="AD397" s="401"/>
      <c r="AE397" s="401"/>
      <c r="AF397" s="401"/>
      <c r="AG397" s="401"/>
      <c r="AH397" s="401"/>
      <c r="AI397" s="401"/>
      <c r="AJ397" s="401"/>
      <c r="AK397" s="385"/>
      <c r="AL397" s="439"/>
      <c r="AM397" s="389"/>
      <c r="AN397" s="521"/>
      <c r="AO397" s="402"/>
      <c r="AP397" s="402" t="e">
        <f>AA397/Y397</f>
        <v>#DIV/0!</v>
      </c>
      <c r="AQ397" s="407"/>
      <c r="AR397" s="416"/>
      <c r="AS397" s="416"/>
      <c r="AT397" s="419"/>
      <c r="AU397" s="401"/>
      <c r="AV397" s="401"/>
      <c r="AW397" s="401"/>
      <c r="AX397" s="401"/>
      <c r="AY397" s="401"/>
      <c r="AZ397" s="401"/>
      <c r="BA397" s="401"/>
      <c r="BB397" s="401"/>
      <c r="BC397" s="401"/>
      <c r="BD397" s="385"/>
      <c r="BE397" s="439"/>
      <c r="BF397" s="389"/>
      <c r="BG397" s="521"/>
      <c r="BH397" s="402"/>
      <c r="BI397" s="402" t="e">
        <f t="shared" si="210"/>
        <v>#DIV/0!</v>
      </c>
    </row>
    <row r="398" spans="1:61" s="359" customFormat="1" ht="19.2" x14ac:dyDescent="0.3">
      <c r="A398" s="360" t="s">
        <v>183</v>
      </c>
      <c r="B398" s="513" t="s">
        <v>380</v>
      </c>
      <c r="C398" s="433" t="s">
        <v>381</v>
      </c>
      <c r="D398" s="361">
        <v>6</v>
      </c>
      <c r="E398" s="407"/>
      <c r="F398" s="404">
        <v>40</v>
      </c>
      <c r="G398" s="400">
        <v>40</v>
      </c>
      <c r="H398" s="419">
        <v>212.39500000000001</v>
      </c>
      <c r="I398" s="401">
        <v>132.75399999999999</v>
      </c>
      <c r="J398" s="401">
        <v>108.07</v>
      </c>
      <c r="K398" s="401">
        <v>24.684000000000001</v>
      </c>
      <c r="L398" s="401">
        <v>16.565000000000001</v>
      </c>
      <c r="M398" s="401">
        <v>0</v>
      </c>
      <c r="N398" s="401">
        <v>0</v>
      </c>
      <c r="O398" s="401">
        <v>23.012</v>
      </c>
      <c r="P398" s="401">
        <v>108.07</v>
      </c>
      <c r="Q398" s="401">
        <v>24.684000000000001</v>
      </c>
      <c r="R398" s="385" t="s">
        <v>167</v>
      </c>
      <c r="S398" s="439" t="s">
        <v>175</v>
      </c>
      <c r="T398" s="389"/>
      <c r="U398" s="521">
        <v>300</v>
      </c>
      <c r="V398" s="402"/>
      <c r="W398" s="402">
        <f>H398/F398</f>
        <v>5.3098749999999999</v>
      </c>
      <c r="X398" s="407"/>
      <c r="Y398" s="404"/>
      <c r="Z398" s="400"/>
      <c r="AA398" s="419"/>
      <c r="AB398" s="401"/>
      <c r="AC398" s="401"/>
      <c r="AD398" s="401"/>
      <c r="AE398" s="401"/>
      <c r="AF398" s="401"/>
      <c r="AG398" s="401"/>
      <c r="AH398" s="401"/>
      <c r="AI398" s="401"/>
      <c r="AJ398" s="401"/>
      <c r="AK398" s="385"/>
      <c r="AL398" s="439"/>
      <c r="AM398" s="389"/>
      <c r="AN398" s="521"/>
      <c r="AO398" s="402"/>
      <c r="AP398" s="402" t="e">
        <f>AA398/Y398</f>
        <v>#DIV/0!</v>
      </c>
      <c r="AQ398" s="407"/>
      <c r="AR398" s="587"/>
      <c r="AS398" s="400"/>
      <c r="AT398" s="419"/>
      <c r="AU398" s="401"/>
      <c r="AV398" s="401"/>
      <c r="AW398" s="401"/>
      <c r="AX398" s="401"/>
      <c r="AY398" s="401"/>
      <c r="AZ398" s="401"/>
      <c r="BA398" s="401"/>
      <c r="BB398" s="401"/>
      <c r="BC398" s="401"/>
      <c r="BD398" s="385"/>
      <c r="BE398" s="439"/>
      <c r="BF398" s="389"/>
      <c r="BG398" s="521"/>
      <c r="BH398" s="402"/>
      <c r="BI398" s="402" t="e">
        <f t="shared" si="210"/>
        <v>#DIV/0!</v>
      </c>
    </row>
    <row r="399" spans="1:61" s="359" customFormat="1" ht="19.2" x14ac:dyDescent="0.3">
      <c r="A399" s="360" t="s">
        <v>179</v>
      </c>
      <c r="B399" s="579" t="s">
        <v>799</v>
      </c>
      <c r="C399" s="433" t="s">
        <v>616</v>
      </c>
      <c r="D399" s="361">
        <v>6</v>
      </c>
      <c r="E399" s="407"/>
      <c r="F399" s="404"/>
      <c r="G399" s="400"/>
      <c r="H399" s="401"/>
      <c r="I399" s="401"/>
      <c r="J399" s="401"/>
      <c r="K399" s="401"/>
      <c r="L399" s="401"/>
      <c r="M399" s="401"/>
      <c r="N399" s="401"/>
      <c r="O399" s="401"/>
      <c r="P399" s="401"/>
      <c r="Q399" s="401"/>
      <c r="R399" s="385"/>
      <c r="S399" s="439"/>
      <c r="T399" s="389"/>
      <c r="U399" s="521"/>
      <c r="V399" s="402"/>
      <c r="W399" s="402"/>
      <c r="X399" s="407"/>
      <c r="Y399" s="404"/>
      <c r="Z399" s="400"/>
      <c r="AA399" s="401"/>
      <c r="AB399" s="401"/>
      <c r="AC399" s="401"/>
      <c r="AD399" s="401"/>
      <c r="AE399" s="401"/>
      <c r="AF399" s="401"/>
      <c r="AG399" s="401"/>
      <c r="AH399" s="401"/>
      <c r="AI399" s="401"/>
      <c r="AJ399" s="401"/>
      <c r="AK399" s="385"/>
      <c r="AL399" s="439"/>
      <c r="AM399" s="389"/>
      <c r="AN399" s="521"/>
      <c r="AO399" s="402"/>
      <c r="AP399" s="402"/>
      <c r="AQ399" s="407"/>
      <c r="AR399" s="587">
        <v>15</v>
      </c>
      <c r="AS399" s="400">
        <v>15</v>
      </c>
      <c r="AT399" s="578">
        <v>287.63317000000001</v>
      </c>
      <c r="AU399" s="401">
        <v>208.35753</v>
      </c>
      <c r="AV399" s="401">
        <v>157.19307000000001</v>
      </c>
      <c r="AW399" s="401">
        <f>1.64928+9.97014</f>
        <v>11.619420000000002</v>
      </c>
      <c r="AX399" s="401">
        <v>15.420719999999999</v>
      </c>
      <c r="AY399" s="401">
        <v>0</v>
      </c>
      <c r="AZ399" s="401">
        <v>0</v>
      </c>
      <c r="BA399" s="401">
        <v>25.745709999999999</v>
      </c>
      <c r="BB399" s="401">
        <v>157.19307000000001</v>
      </c>
      <c r="BC399" s="401">
        <f>0.54976+9.97014</f>
        <v>10.5199</v>
      </c>
      <c r="BD399" s="385" t="s">
        <v>167</v>
      </c>
      <c r="BE399" s="439" t="s">
        <v>175</v>
      </c>
      <c r="BF399" s="389"/>
      <c r="BG399" s="521">
        <v>590</v>
      </c>
      <c r="BH399" s="402"/>
      <c r="BI399" s="402">
        <f t="shared" si="210"/>
        <v>19.175544666666667</v>
      </c>
    </row>
    <row r="400" spans="1:61" s="359" customFormat="1" x14ac:dyDescent="0.3">
      <c r="A400" s="360"/>
      <c r="B400" s="382"/>
      <c r="C400" s="433"/>
      <c r="D400" s="361">
        <v>6</v>
      </c>
      <c r="E400" s="407"/>
      <c r="F400" s="404"/>
      <c r="G400" s="400"/>
      <c r="H400" s="401"/>
      <c r="I400" s="401"/>
      <c r="J400" s="401"/>
      <c r="K400" s="401"/>
      <c r="L400" s="401"/>
      <c r="M400" s="401"/>
      <c r="N400" s="401"/>
      <c r="O400" s="401"/>
      <c r="P400" s="401"/>
      <c r="Q400" s="401"/>
      <c r="R400" s="385"/>
      <c r="S400" s="439"/>
      <c r="T400" s="389"/>
      <c r="U400" s="521"/>
      <c r="V400" s="402"/>
      <c r="W400" s="402"/>
      <c r="X400" s="407"/>
      <c r="Y400" s="404"/>
      <c r="Z400" s="400"/>
      <c r="AA400" s="401"/>
      <c r="AB400" s="401"/>
      <c r="AC400" s="401"/>
      <c r="AD400" s="401"/>
      <c r="AE400" s="401"/>
      <c r="AF400" s="401"/>
      <c r="AG400" s="401"/>
      <c r="AH400" s="401"/>
      <c r="AI400" s="401"/>
      <c r="AJ400" s="401"/>
      <c r="AK400" s="385"/>
      <c r="AL400" s="439"/>
      <c r="AM400" s="389"/>
      <c r="AN400" s="521"/>
      <c r="AO400" s="402"/>
      <c r="AP400" s="402"/>
      <c r="AQ400" s="407"/>
      <c r="AR400" s="587"/>
      <c r="AS400" s="400"/>
      <c r="AT400" s="401"/>
      <c r="AU400" s="401"/>
      <c r="AV400" s="401"/>
      <c r="AW400" s="401"/>
      <c r="AX400" s="401"/>
      <c r="AY400" s="401"/>
      <c r="AZ400" s="401"/>
      <c r="BA400" s="401"/>
      <c r="BB400" s="401"/>
      <c r="BC400" s="401"/>
      <c r="BD400" s="385"/>
      <c r="BE400" s="439"/>
      <c r="BF400" s="389"/>
      <c r="BG400" s="521"/>
      <c r="BH400" s="402"/>
      <c r="BI400" s="402" t="e">
        <f t="shared" si="210"/>
        <v>#DIV/0!</v>
      </c>
    </row>
    <row r="401" spans="1:61" s="359" customFormat="1" x14ac:dyDescent="0.3">
      <c r="A401" s="360"/>
      <c r="B401" s="382"/>
      <c r="C401" s="433"/>
      <c r="D401" s="361"/>
      <c r="E401" s="407"/>
      <c r="F401" s="404"/>
      <c r="G401" s="400"/>
      <c r="H401" s="401"/>
      <c r="I401" s="401"/>
      <c r="J401" s="401"/>
      <c r="K401" s="401"/>
      <c r="L401" s="401"/>
      <c r="M401" s="401"/>
      <c r="N401" s="401"/>
      <c r="O401" s="401"/>
      <c r="P401" s="401"/>
      <c r="Q401" s="401"/>
      <c r="R401" s="389"/>
      <c r="S401" s="389"/>
      <c r="T401" s="389"/>
      <c r="U401" s="521"/>
      <c r="V401" s="402"/>
      <c r="W401" s="402" t="e">
        <f>H401/F401</f>
        <v>#DIV/0!</v>
      </c>
      <c r="X401" s="407"/>
      <c r="Y401" s="404"/>
      <c r="Z401" s="400"/>
      <c r="AA401" s="401"/>
      <c r="AB401" s="401"/>
      <c r="AC401" s="401"/>
      <c r="AD401" s="401"/>
      <c r="AE401" s="401"/>
      <c r="AF401" s="401"/>
      <c r="AG401" s="401"/>
      <c r="AH401" s="401"/>
      <c r="AI401" s="401"/>
      <c r="AJ401" s="401"/>
      <c r="AK401" s="389"/>
      <c r="AL401" s="389"/>
      <c r="AM401" s="389"/>
      <c r="AN401" s="521"/>
      <c r="AO401" s="402"/>
      <c r="AP401" s="402" t="e">
        <f>AA401/Y401</f>
        <v>#DIV/0!</v>
      </c>
      <c r="AQ401" s="407"/>
      <c r="AR401" s="587"/>
      <c r="AS401" s="400"/>
      <c r="AT401" s="401"/>
      <c r="AU401" s="401"/>
      <c r="AV401" s="401"/>
      <c r="AW401" s="401"/>
      <c r="AX401" s="401"/>
      <c r="AY401" s="401"/>
      <c r="AZ401" s="401"/>
      <c r="BA401" s="401"/>
      <c r="BB401" s="401"/>
      <c r="BC401" s="401"/>
      <c r="BD401" s="389"/>
      <c r="BE401" s="389"/>
      <c r="BF401" s="389"/>
      <c r="BG401" s="521"/>
      <c r="BH401" s="402"/>
      <c r="BI401" s="402" t="e">
        <f t="shared" si="210"/>
        <v>#DIV/0!</v>
      </c>
    </row>
    <row r="402" spans="1:61" s="359" customFormat="1" ht="90" customHeight="1" x14ac:dyDescent="0.3">
      <c r="A402" s="470" t="s">
        <v>237</v>
      </c>
      <c r="B402" s="471" t="s">
        <v>238</v>
      </c>
      <c r="C402" s="472"/>
      <c r="D402" s="473"/>
      <c r="E402" s="474">
        <f t="shared" ref="E402:Q402" si="229">E403+E407+E412</f>
        <v>0</v>
      </c>
      <c r="F402" s="474">
        <f t="shared" si="229"/>
        <v>365</v>
      </c>
      <c r="G402" s="474">
        <f t="shared" si="229"/>
        <v>365</v>
      </c>
      <c r="H402" s="475">
        <f t="shared" si="229"/>
        <v>1445.33392</v>
      </c>
      <c r="I402" s="475">
        <f t="shared" si="229"/>
        <v>1294.76259</v>
      </c>
      <c r="J402" s="475">
        <f t="shared" si="229"/>
        <v>672.65331000000003</v>
      </c>
      <c r="K402" s="475">
        <f t="shared" si="229"/>
        <v>622.10900000000004</v>
      </c>
      <c r="L402" s="475">
        <f t="shared" si="229"/>
        <v>33.529429999999998</v>
      </c>
      <c r="M402" s="475">
        <f t="shared" si="229"/>
        <v>0</v>
      </c>
      <c r="N402" s="475">
        <f t="shared" si="229"/>
        <v>0</v>
      </c>
      <c r="O402" s="475">
        <f t="shared" si="229"/>
        <v>39.49785</v>
      </c>
      <c r="P402" s="475">
        <f t="shared" si="229"/>
        <v>672.65331000000003</v>
      </c>
      <c r="Q402" s="475">
        <f t="shared" si="229"/>
        <v>984.94299999999998</v>
      </c>
      <c r="R402" s="476"/>
      <c r="S402" s="476"/>
      <c r="T402" s="476"/>
      <c r="U402" s="524"/>
      <c r="V402" s="477"/>
      <c r="W402" s="477">
        <f>H402/F402</f>
        <v>3.9598189589041097</v>
      </c>
      <c r="X402" s="474">
        <f t="shared" ref="X402:AJ402" si="230">X403+X407+X412</f>
        <v>0</v>
      </c>
      <c r="Y402" s="474">
        <f t="shared" si="230"/>
        <v>105</v>
      </c>
      <c r="Z402" s="474">
        <f t="shared" si="230"/>
        <v>105</v>
      </c>
      <c r="AA402" s="475">
        <f t="shared" si="230"/>
        <v>1313.05115</v>
      </c>
      <c r="AB402" s="475">
        <f t="shared" si="230"/>
        <v>1066.3982700000001</v>
      </c>
      <c r="AC402" s="475">
        <f t="shared" si="230"/>
        <v>564.79070999999999</v>
      </c>
      <c r="AD402" s="475">
        <f t="shared" si="230"/>
        <v>312.64472999999998</v>
      </c>
      <c r="AE402" s="475">
        <f t="shared" si="230"/>
        <v>60.518000000000001</v>
      </c>
      <c r="AF402" s="475">
        <f t="shared" si="230"/>
        <v>0</v>
      </c>
      <c r="AG402" s="475">
        <f t="shared" si="230"/>
        <v>0</v>
      </c>
      <c r="AH402" s="475">
        <f t="shared" si="230"/>
        <v>72.088250000000002</v>
      </c>
      <c r="AI402" s="475">
        <f t="shared" si="230"/>
        <v>538.80285000000003</v>
      </c>
      <c r="AJ402" s="475">
        <f t="shared" si="230"/>
        <v>566.33674999999994</v>
      </c>
      <c r="AK402" s="476"/>
      <c r="AL402" s="476"/>
      <c r="AM402" s="476"/>
      <c r="AN402" s="524"/>
      <c r="AO402" s="477"/>
      <c r="AP402" s="477">
        <f>AA402/Y402</f>
        <v>12.505249047619047</v>
      </c>
      <c r="AQ402" s="474">
        <f t="shared" ref="AQ402:BC402" si="231">AQ403+AQ407+AQ412</f>
        <v>0</v>
      </c>
      <c r="AR402" s="474">
        <f t="shared" si="231"/>
        <v>325</v>
      </c>
      <c r="AS402" s="474">
        <f t="shared" si="231"/>
        <v>325</v>
      </c>
      <c r="AT402" s="475">
        <f t="shared" si="231"/>
        <v>1219.83005</v>
      </c>
      <c r="AU402" s="475">
        <f t="shared" si="231"/>
        <v>971.79836999999998</v>
      </c>
      <c r="AV402" s="475">
        <f t="shared" si="231"/>
        <v>581.29213000000004</v>
      </c>
      <c r="AW402" s="475">
        <f t="shared" si="231"/>
        <v>27.233170000000001</v>
      </c>
      <c r="AX402" s="475">
        <f t="shared" si="231"/>
        <v>48.280659999999997</v>
      </c>
      <c r="AY402" s="475">
        <f t="shared" si="231"/>
        <v>0</v>
      </c>
      <c r="AZ402" s="475">
        <f t="shared" si="231"/>
        <v>0</v>
      </c>
      <c r="BA402" s="475">
        <f t="shared" si="231"/>
        <v>75.322910000000007</v>
      </c>
      <c r="BB402" s="475">
        <f t="shared" si="231"/>
        <v>581.29213000000004</v>
      </c>
      <c r="BC402" s="475">
        <f t="shared" si="231"/>
        <v>19.225729999999999</v>
      </c>
      <c r="BD402" s="476"/>
      <c r="BE402" s="476"/>
      <c r="BF402" s="476"/>
      <c r="BG402" s="524"/>
      <c r="BH402" s="477"/>
      <c r="BI402" s="477">
        <f t="shared" si="210"/>
        <v>3.7533232307692308</v>
      </c>
    </row>
    <row r="403" spans="1:61" s="359" customFormat="1" ht="24.75" customHeight="1" x14ac:dyDescent="0.3">
      <c r="A403" s="355" t="s">
        <v>179</v>
      </c>
      <c r="B403" s="356" t="s">
        <v>407</v>
      </c>
      <c r="C403" s="432"/>
      <c r="D403" s="357">
        <v>6</v>
      </c>
      <c r="E403" s="396">
        <f t="shared" ref="E403:Q403" si="232">SUM(E404:E406)</f>
        <v>0</v>
      </c>
      <c r="F403" s="396">
        <f t="shared" si="232"/>
        <v>0</v>
      </c>
      <c r="G403" s="396">
        <f t="shared" si="232"/>
        <v>0</v>
      </c>
      <c r="H403" s="397">
        <f t="shared" si="232"/>
        <v>0</v>
      </c>
      <c r="I403" s="397">
        <f t="shared" si="232"/>
        <v>0</v>
      </c>
      <c r="J403" s="397">
        <f t="shared" si="232"/>
        <v>0</v>
      </c>
      <c r="K403" s="397">
        <f t="shared" si="232"/>
        <v>0</v>
      </c>
      <c r="L403" s="397">
        <f t="shared" si="232"/>
        <v>0</v>
      </c>
      <c r="M403" s="397">
        <f t="shared" si="232"/>
        <v>0</v>
      </c>
      <c r="N403" s="397">
        <f t="shared" si="232"/>
        <v>0</v>
      </c>
      <c r="O403" s="397">
        <f t="shared" si="232"/>
        <v>0</v>
      </c>
      <c r="P403" s="397">
        <f t="shared" si="232"/>
        <v>0</v>
      </c>
      <c r="Q403" s="397">
        <f t="shared" si="232"/>
        <v>0</v>
      </c>
      <c r="R403" s="398"/>
      <c r="S403" s="398"/>
      <c r="T403" s="398"/>
      <c r="U403" s="520"/>
      <c r="V403" s="399"/>
      <c r="W403" s="399" t="e">
        <f>H403/F403</f>
        <v>#DIV/0!</v>
      </c>
      <c r="X403" s="396">
        <f t="shared" ref="X403:AJ403" si="233">SUM(X404:X406)</f>
        <v>0</v>
      </c>
      <c r="Y403" s="396">
        <f t="shared" si="233"/>
        <v>0</v>
      </c>
      <c r="Z403" s="396">
        <f t="shared" si="233"/>
        <v>0</v>
      </c>
      <c r="AA403" s="397">
        <f t="shared" si="233"/>
        <v>0</v>
      </c>
      <c r="AB403" s="397">
        <f t="shared" si="233"/>
        <v>0</v>
      </c>
      <c r="AC403" s="397">
        <f t="shared" si="233"/>
        <v>0</v>
      </c>
      <c r="AD403" s="397">
        <f t="shared" si="233"/>
        <v>0</v>
      </c>
      <c r="AE403" s="397">
        <f t="shared" si="233"/>
        <v>0</v>
      </c>
      <c r="AF403" s="397">
        <f t="shared" si="233"/>
        <v>0</v>
      </c>
      <c r="AG403" s="397">
        <f t="shared" si="233"/>
        <v>0</v>
      </c>
      <c r="AH403" s="397">
        <f t="shared" si="233"/>
        <v>0</v>
      </c>
      <c r="AI403" s="397">
        <f t="shared" si="233"/>
        <v>0</v>
      </c>
      <c r="AJ403" s="397">
        <f t="shared" si="233"/>
        <v>0</v>
      </c>
      <c r="AK403" s="398"/>
      <c r="AL403" s="398"/>
      <c r="AM403" s="398"/>
      <c r="AN403" s="520"/>
      <c r="AO403" s="399"/>
      <c r="AP403" s="399" t="e">
        <f>AA403/Y403</f>
        <v>#DIV/0!</v>
      </c>
      <c r="AQ403" s="396">
        <f t="shared" ref="AQ403:BC403" si="234">SUM(AQ404:AQ406)</f>
        <v>0</v>
      </c>
      <c r="AR403" s="396">
        <f t="shared" si="234"/>
        <v>300</v>
      </c>
      <c r="AS403" s="396">
        <f t="shared" si="234"/>
        <v>300</v>
      </c>
      <c r="AT403" s="397">
        <f t="shared" si="234"/>
        <v>588.16074000000003</v>
      </c>
      <c r="AU403" s="397">
        <f t="shared" si="234"/>
        <v>426.27591000000001</v>
      </c>
      <c r="AV403" s="397">
        <f t="shared" si="234"/>
        <v>352.49047000000002</v>
      </c>
      <c r="AW403" s="397">
        <f t="shared" si="234"/>
        <v>17.263030000000001</v>
      </c>
      <c r="AX403" s="397">
        <f t="shared" si="234"/>
        <v>19.701239999999999</v>
      </c>
      <c r="AY403" s="397">
        <f t="shared" si="234"/>
        <v>0</v>
      </c>
      <c r="AZ403" s="397">
        <f t="shared" si="234"/>
        <v>0</v>
      </c>
      <c r="BA403" s="397">
        <f t="shared" si="234"/>
        <v>51.683109999999999</v>
      </c>
      <c r="BB403" s="397">
        <f t="shared" si="234"/>
        <v>352.49047000000002</v>
      </c>
      <c r="BC403" s="397">
        <f t="shared" si="234"/>
        <v>9.2555899999999998</v>
      </c>
      <c r="BD403" s="398"/>
      <c r="BE403" s="398"/>
      <c r="BF403" s="398"/>
      <c r="BG403" s="520"/>
      <c r="BH403" s="399"/>
      <c r="BI403" s="399">
        <f t="shared" si="210"/>
        <v>1.9605358000000002</v>
      </c>
    </row>
    <row r="404" spans="1:61" s="359" customFormat="1" ht="19.2" x14ac:dyDescent="0.3">
      <c r="A404" s="360" t="s">
        <v>179</v>
      </c>
      <c r="B404" s="583" t="s">
        <v>560</v>
      </c>
      <c r="C404" s="434" t="s">
        <v>695</v>
      </c>
      <c r="D404" s="361">
        <v>6</v>
      </c>
      <c r="E404" s="407"/>
      <c r="F404" s="404"/>
      <c r="G404" s="404"/>
      <c r="H404" s="401"/>
      <c r="I404" s="401"/>
      <c r="J404" s="401"/>
      <c r="K404" s="401"/>
      <c r="L404" s="401"/>
      <c r="M404" s="401"/>
      <c r="N404" s="401"/>
      <c r="O404" s="401"/>
      <c r="P404" s="401"/>
      <c r="Q404" s="401"/>
      <c r="R404" s="389"/>
      <c r="S404" s="389"/>
      <c r="T404" s="389"/>
      <c r="U404" s="521"/>
      <c r="V404" s="402"/>
      <c r="W404" s="402"/>
      <c r="X404" s="407"/>
      <c r="Y404" s="404"/>
      <c r="Z404" s="404"/>
      <c r="AA404" s="401"/>
      <c r="AB404" s="401"/>
      <c r="AC404" s="401"/>
      <c r="AD404" s="401"/>
      <c r="AE404" s="401"/>
      <c r="AF404" s="401"/>
      <c r="AG404" s="401"/>
      <c r="AH404" s="401"/>
      <c r="AI404" s="401"/>
      <c r="AJ404" s="401"/>
      <c r="AK404" s="389"/>
      <c r="AL404" s="389"/>
      <c r="AM404" s="389"/>
      <c r="AN404" s="521"/>
      <c r="AO404" s="402"/>
      <c r="AP404" s="402"/>
      <c r="AQ404" s="407"/>
      <c r="AR404" s="587">
        <v>150</v>
      </c>
      <c r="AS404" s="587">
        <v>150</v>
      </c>
      <c r="AT404" s="578">
        <v>242.01080999999999</v>
      </c>
      <c r="AU404" s="401">
        <v>181.08811</v>
      </c>
      <c r="AV404" s="401">
        <v>152.70948000000001</v>
      </c>
      <c r="AW404" s="401">
        <f>3.82596+3.25818</f>
        <v>7.0841399999999997</v>
      </c>
      <c r="AX404" s="401">
        <v>10.160819999999999</v>
      </c>
      <c r="AY404" s="401">
        <v>0</v>
      </c>
      <c r="AZ404" s="401">
        <v>0</v>
      </c>
      <c r="BA404" s="401">
        <v>17.979759999999999</v>
      </c>
      <c r="BB404" s="401">
        <v>152.70948000000001</v>
      </c>
      <c r="BC404" s="401">
        <f>1.27532+1.08606</f>
        <v>2.36138</v>
      </c>
      <c r="BD404" s="385" t="s">
        <v>167</v>
      </c>
      <c r="BE404" s="439" t="s">
        <v>175</v>
      </c>
      <c r="BF404" s="389"/>
      <c r="BG404" s="521">
        <v>422</v>
      </c>
      <c r="BH404" s="402"/>
      <c r="BI404" s="402">
        <f t="shared" si="210"/>
        <v>1.6134054</v>
      </c>
    </row>
    <row r="405" spans="1:61" s="359" customFormat="1" ht="19.2" x14ac:dyDescent="0.3">
      <c r="A405" s="360" t="s">
        <v>183</v>
      </c>
      <c r="B405" s="583" t="s">
        <v>787</v>
      </c>
      <c r="C405" s="434" t="s">
        <v>696</v>
      </c>
      <c r="D405" s="361">
        <v>6</v>
      </c>
      <c r="E405" s="407"/>
      <c r="F405" s="404"/>
      <c r="G405" s="404"/>
      <c r="H405" s="401"/>
      <c r="I405" s="401"/>
      <c r="J405" s="401"/>
      <c r="K405" s="401"/>
      <c r="L405" s="401"/>
      <c r="M405" s="401"/>
      <c r="N405" s="401"/>
      <c r="O405" s="401"/>
      <c r="P405" s="401"/>
      <c r="Q405" s="401"/>
      <c r="R405" s="389"/>
      <c r="S405" s="389"/>
      <c r="T405" s="389"/>
      <c r="U405" s="521"/>
      <c r="V405" s="402"/>
      <c r="W405" s="402"/>
      <c r="X405" s="407"/>
      <c r="Y405" s="404"/>
      <c r="Z405" s="404"/>
      <c r="AA405" s="401"/>
      <c r="AB405" s="401"/>
      <c r="AC405" s="401"/>
      <c r="AD405" s="401"/>
      <c r="AE405" s="401"/>
      <c r="AF405" s="401"/>
      <c r="AG405" s="401"/>
      <c r="AH405" s="401"/>
      <c r="AI405" s="401"/>
      <c r="AJ405" s="401"/>
      <c r="AK405" s="389"/>
      <c r="AL405" s="389"/>
      <c r="AM405" s="389"/>
      <c r="AN405" s="521"/>
      <c r="AO405" s="402"/>
      <c r="AP405" s="402"/>
      <c r="AQ405" s="407"/>
      <c r="AR405" s="587">
        <v>150</v>
      </c>
      <c r="AS405" s="587">
        <v>150</v>
      </c>
      <c r="AT405" s="578">
        <v>346.14992999999998</v>
      </c>
      <c r="AU405" s="401">
        <v>245.18780000000001</v>
      </c>
      <c r="AV405" s="401">
        <v>199.78099</v>
      </c>
      <c r="AW405" s="401">
        <f>1.10106+2.83638+3.82596+2.41549</f>
        <v>10.178889999999999</v>
      </c>
      <c r="AX405" s="401">
        <v>9.5404199999999992</v>
      </c>
      <c r="AY405" s="401">
        <v>0</v>
      </c>
      <c r="AZ405" s="401">
        <v>0</v>
      </c>
      <c r="BA405" s="401">
        <v>33.70335</v>
      </c>
      <c r="BB405" s="401">
        <v>199.78099</v>
      </c>
      <c r="BC405" s="401">
        <f>0.36702+2.83638+1.27532+2.41549</f>
        <v>6.8942100000000002</v>
      </c>
      <c r="BD405" s="385" t="s">
        <v>167</v>
      </c>
      <c r="BE405" s="439" t="s">
        <v>175</v>
      </c>
      <c r="BF405" s="389"/>
      <c r="BG405" s="521">
        <v>352</v>
      </c>
      <c r="BH405" s="402"/>
      <c r="BI405" s="402">
        <f t="shared" si="210"/>
        <v>2.3076661999999999</v>
      </c>
    </row>
    <row r="406" spans="1:61" s="359" customFormat="1" x14ac:dyDescent="0.3">
      <c r="A406" s="360"/>
      <c r="B406" s="382"/>
      <c r="C406" s="433"/>
      <c r="D406" s="361"/>
      <c r="E406" s="407"/>
      <c r="F406" s="404"/>
      <c r="G406" s="400"/>
      <c r="H406" s="401"/>
      <c r="I406" s="401"/>
      <c r="J406" s="401"/>
      <c r="K406" s="401"/>
      <c r="L406" s="401"/>
      <c r="M406" s="401"/>
      <c r="N406" s="401"/>
      <c r="O406" s="401"/>
      <c r="P406" s="401"/>
      <c r="Q406" s="401"/>
      <c r="R406" s="389"/>
      <c r="S406" s="389"/>
      <c r="T406" s="389"/>
      <c r="U406" s="521"/>
      <c r="V406" s="402"/>
      <c r="W406" s="402" t="e">
        <f>H406/F406</f>
        <v>#DIV/0!</v>
      </c>
      <c r="X406" s="407"/>
      <c r="Y406" s="404"/>
      <c r="Z406" s="400"/>
      <c r="AA406" s="401"/>
      <c r="AB406" s="401"/>
      <c r="AC406" s="401"/>
      <c r="AD406" s="401"/>
      <c r="AE406" s="401"/>
      <c r="AF406" s="401"/>
      <c r="AG406" s="401"/>
      <c r="AH406" s="401"/>
      <c r="AI406" s="401"/>
      <c r="AJ406" s="401"/>
      <c r="AK406" s="389"/>
      <c r="AL406" s="389"/>
      <c r="AM406" s="389"/>
      <c r="AN406" s="521"/>
      <c r="AO406" s="402"/>
      <c r="AP406" s="402" t="e">
        <f>AA406/Y406</f>
        <v>#DIV/0!</v>
      </c>
      <c r="AQ406" s="407"/>
      <c r="AR406" s="587"/>
      <c r="AS406" s="400"/>
      <c r="AT406" s="401"/>
      <c r="AU406" s="401"/>
      <c r="AV406" s="401"/>
      <c r="AW406" s="401"/>
      <c r="AX406" s="401"/>
      <c r="AY406" s="401"/>
      <c r="AZ406" s="401"/>
      <c r="BA406" s="401"/>
      <c r="BB406" s="401"/>
      <c r="BC406" s="401"/>
      <c r="BD406" s="389"/>
      <c r="BE406" s="389"/>
      <c r="BF406" s="389"/>
      <c r="BG406" s="521"/>
      <c r="BH406" s="402"/>
      <c r="BI406" s="402" t="e">
        <f t="shared" ref="BI406:BI434" si="235">AT406/AR406</f>
        <v>#DIV/0!</v>
      </c>
    </row>
    <row r="407" spans="1:61" s="359" customFormat="1" ht="24.75" customHeight="1" x14ac:dyDescent="0.3">
      <c r="A407" s="355" t="s">
        <v>183</v>
      </c>
      <c r="B407" s="356" t="s">
        <v>408</v>
      </c>
      <c r="C407" s="432"/>
      <c r="D407" s="357">
        <v>6</v>
      </c>
      <c r="E407" s="396">
        <f t="shared" ref="E407:Q407" si="236">SUM(E408:E411)</f>
        <v>0</v>
      </c>
      <c r="F407" s="396">
        <f t="shared" si="236"/>
        <v>15</v>
      </c>
      <c r="G407" s="396">
        <f t="shared" si="236"/>
        <v>15</v>
      </c>
      <c r="H407" s="397">
        <f t="shared" si="236"/>
        <v>946.92692</v>
      </c>
      <c r="I407" s="397">
        <f t="shared" si="236"/>
        <v>857.48658999999998</v>
      </c>
      <c r="J407" s="397">
        <f t="shared" si="236"/>
        <v>272.59831000000003</v>
      </c>
      <c r="K407" s="397">
        <f t="shared" si="236"/>
        <v>584.88800000000003</v>
      </c>
      <c r="L407" s="397">
        <f t="shared" si="236"/>
        <v>19.768429999999999</v>
      </c>
      <c r="M407" s="397">
        <f t="shared" si="236"/>
        <v>0</v>
      </c>
      <c r="N407" s="397">
        <f t="shared" si="236"/>
        <v>0</v>
      </c>
      <c r="O407" s="397">
        <f t="shared" si="236"/>
        <v>22.458850000000002</v>
      </c>
      <c r="P407" s="397">
        <f t="shared" si="236"/>
        <v>272.59831000000003</v>
      </c>
      <c r="Q407" s="397">
        <f t="shared" si="236"/>
        <v>584.88800000000003</v>
      </c>
      <c r="R407" s="398"/>
      <c r="S407" s="398"/>
      <c r="T407" s="398"/>
      <c r="U407" s="520"/>
      <c r="V407" s="399"/>
      <c r="W407" s="399">
        <f>H407/F407</f>
        <v>63.128461333333334</v>
      </c>
      <c r="X407" s="396">
        <f t="shared" ref="X407:AJ407" si="237">SUM(X408:X411)</f>
        <v>0</v>
      </c>
      <c r="Y407" s="396">
        <f t="shared" si="237"/>
        <v>20</v>
      </c>
      <c r="Z407" s="396">
        <f t="shared" si="237"/>
        <v>20</v>
      </c>
      <c r="AA407" s="397">
        <f t="shared" si="237"/>
        <v>664.32956000000001</v>
      </c>
      <c r="AB407" s="397">
        <f t="shared" si="237"/>
        <v>579.76949000000002</v>
      </c>
      <c r="AC407" s="397">
        <f t="shared" si="237"/>
        <v>247.88982999999999</v>
      </c>
      <c r="AD407" s="397">
        <f t="shared" si="237"/>
        <v>275.42372999999998</v>
      </c>
      <c r="AE407" s="397">
        <f t="shared" si="237"/>
        <v>27.164449999999999</v>
      </c>
      <c r="AF407" s="397">
        <f t="shared" si="237"/>
        <v>0</v>
      </c>
      <c r="AG407" s="397">
        <f t="shared" si="237"/>
        <v>0</v>
      </c>
      <c r="AH407" s="397">
        <f t="shared" si="237"/>
        <v>23.54513</v>
      </c>
      <c r="AI407" s="397">
        <f t="shared" si="237"/>
        <v>247.88982999999999</v>
      </c>
      <c r="AJ407" s="397">
        <f t="shared" si="237"/>
        <v>275.42372999999998</v>
      </c>
      <c r="AK407" s="398"/>
      <c r="AL407" s="398"/>
      <c r="AM407" s="398"/>
      <c r="AN407" s="520"/>
      <c r="AO407" s="399"/>
      <c r="AP407" s="399">
        <f>AA407/Y407</f>
        <v>33.216478000000002</v>
      </c>
      <c r="AQ407" s="396">
        <f t="shared" ref="AQ407:BC407" si="238">SUM(AQ408:AQ411)</f>
        <v>0</v>
      </c>
      <c r="AR407" s="396">
        <f t="shared" si="238"/>
        <v>0</v>
      </c>
      <c r="AS407" s="396">
        <f t="shared" si="238"/>
        <v>0</v>
      </c>
      <c r="AT407" s="397">
        <f t="shared" si="238"/>
        <v>0</v>
      </c>
      <c r="AU407" s="397">
        <f t="shared" si="238"/>
        <v>0</v>
      </c>
      <c r="AV407" s="397">
        <f t="shared" si="238"/>
        <v>0</v>
      </c>
      <c r="AW407" s="397">
        <f t="shared" si="238"/>
        <v>0</v>
      </c>
      <c r="AX407" s="397">
        <f t="shared" si="238"/>
        <v>0</v>
      </c>
      <c r="AY407" s="397">
        <f t="shared" si="238"/>
        <v>0</v>
      </c>
      <c r="AZ407" s="397">
        <f t="shared" si="238"/>
        <v>0</v>
      </c>
      <c r="BA407" s="397">
        <f t="shared" si="238"/>
        <v>0</v>
      </c>
      <c r="BB407" s="397">
        <f t="shared" si="238"/>
        <v>0</v>
      </c>
      <c r="BC407" s="397">
        <f t="shared" si="238"/>
        <v>0</v>
      </c>
      <c r="BD407" s="398"/>
      <c r="BE407" s="398"/>
      <c r="BF407" s="398"/>
      <c r="BG407" s="520"/>
      <c r="BH407" s="399"/>
      <c r="BI407" s="399" t="e">
        <f t="shared" si="235"/>
        <v>#DIV/0!</v>
      </c>
    </row>
    <row r="408" spans="1:61" s="359" customFormat="1" ht="19.2" x14ac:dyDescent="0.3">
      <c r="A408" s="360" t="s">
        <v>179</v>
      </c>
      <c r="B408" s="517" t="s">
        <v>269</v>
      </c>
      <c r="C408" s="437" t="s">
        <v>270</v>
      </c>
      <c r="D408" s="361">
        <v>6</v>
      </c>
      <c r="E408" s="407"/>
      <c r="F408" s="404">
        <v>15</v>
      </c>
      <c r="G408" s="404">
        <v>15</v>
      </c>
      <c r="H408" s="419">
        <v>946.92692</v>
      </c>
      <c r="I408" s="401">
        <v>857.48658999999998</v>
      </c>
      <c r="J408" s="401">
        <v>272.59831000000003</v>
      </c>
      <c r="K408" s="401">
        <v>584.88800000000003</v>
      </c>
      <c r="L408" s="401">
        <v>19.768429999999999</v>
      </c>
      <c r="M408" s="401">
        <v>0</v>
      </c>
      <c r="N408" s="401">
        <v>0</v>
      </c>
      <c r="O408" s="401">
        <v>22.458850000000002</v>
      </c>
      <c r="P408" s="401">
        <v>272.59831000000003</v>
      </c>
      <c r="Q408" s="401">
        <v>584.88800000000003</v>
      </c>
      <c r="R408" s="385" t="s">
        <v>167</v>
      </c>
      <c r="S408" s="439" t="s">
        <v>175</v>
      </c>
      <c r="T408" s="389"/>
      <c r="U408" s="521">
        <v>32</v>
      </c>
      <c r="V408" s="402"/>
      <c r="W408" s="402">
        <f>H408/F408</f>
        <v>63.128461333333334</v>
      </c>
      <c r="X408" s="407"/>
      <c r="Y408" s="404"/>
      <c r="Z408" s="404"/>
      <c r="AA408" s="419"/>
      <c r="AB408" s="401"/>
      <c r="AC408" s="401"/>
      <c r="AD408" s="401"/>
      <c r="AE408" s="401"/>
      <c r="AF408" s="401"/>
      <c r="AG408" s="401"/>
      <c r="AH408" s="401"/>
      <c r="AI408" s="401"/>
      <c r="AJ408" s="401"/>
      <c r="AK408" s="385"/>
      <c r="AL408" s="439"/>
      <c r="AM408" s="389"/>
      <c r="AN408" s="521"/>
      <c r="AO408" s="402"/>
      <c r="AP408" s="402" t="e">
        <f>AA408/Y408</f>
        <v>#DIV/0!</v>
      </c>
      <c r="AQ408" s="407"/>
      <c r="AR408" s="587"/>
      <c r="AS408" s="587"/>
      <c r="AT408" s="419"/>
      <c r="AU408" s="401"/>
      <c r="AV408" s="401"/>
      <c r="AW408" s="401"/>
      <c r="AX408" s="401"/>
      <c r="AY408" s="401"/>
      <c r="AZ408" s="401"/>
      <c r="BA408" s="401"/>
      <c r="BB408" s="401"/>
      <c r="BC408" s="401"/>
      <c r="BD408" s="385"/>
      <c r="BE408" s="439"/>
      <c r="BF408" s="389"/>
      <c r="BG408" s="521"/>
      <c r="BH408" s="402"/>
      <c r="BI408" s="402" t="e">
        <f t="shared" si="235"/>
        <v>#DIV/0!</v>
      </c>
    </row>
    <row r="409" spans="1:61" s="359" customFormat="1" ht="19.2" x14ac:dyDescent="0.3">
      <c r="A409" s="360" t="s">
        <v>179</v>
      </c>
      <c r="B409" s="543" t="s">
        <v>566</v>
      </c>
      <c r="C409" s="433" t="s">
        <v>409</v>
      </c>
      <c r="D409" s="361">
        <v>6</v>
      </c>
      <c r="E409" s="407"/>
      <c r="F409" s="404"/>
      <c r="G409" s="400"/>
      <c r="H409" s="401"/>
      <c r="I409" s="401"/>
      <c r="J409" s="401"/>
      <c r="K409" s="401"/>
      <c r="L409" s="401"/>
      <c r="M409" s="401"/>
      <c r="N409" s="401"/>
      <c r="O409" s="401"/>
      <c r="P409" s="401"/>
      <c r="Q409" s="401"/>
      <c r="R409" s="389"/>
      <c r="S409" s="389"/>
      <c r="T409" s="389"/>
      <c r="U409" s="521"/>
      <c r="V409" s="402"/>
      <c r="W409" s="402" t="e">
        <f>H409/F409</f>
        <v>#DIV/0!</v>
      </c>
      <c r="X409" s="407"/>
      <c r="Y409" s="404">
        <v>20</v>
      </c>
      <c r="Z409" s="400">
        <v>20</v>
      </c>
      <c r="AA409" s="545">
        <v>664.32956000000001</v>
      </c>
      <c r="AB409" s="401">
        <v>579.76949000000002</v>
      </c>
      <c r="AC409" s="401">
        <v>247.88982999999999</v>
      </c>
      <c r="AD409" s="401">
        <v>275.42372999999998</v>
      </c>
      <c r="AE409" s="401">
        <v>27.164449999999999</v>
      </c>
      <c r="AF409" s="401">
        <v>0</v>
      </c>
      <c r="AG409" s="401">
        <v>0</v>
      </c>
      <c r="AH409" s="401">
        <v>23.54513</v>
      </c>
      <c r="AI409" s="401">
        <v>247.88982999999999</v>
      </c>
      <c r="AJ409" s="401">
        <v>275.42372999999998</v>
      </c>
      <c r="AK409" s="385" t="s">
        <v>167</v>
      </c>
      <c r="AL409" s="439" t="s">
        <v>175</v>
      </c>
      <c r="AM409" s="389"/>
      <c r="AN409" s="521">
        <v>16</v>
      </c>
      <c r="AO409" s="402"/>
      <c r="AP409" s="402">
        <f>AA409/Y409</f>
        <v>33.216478000000002</v>
      </c>
      <c r="AQ409" s="407"/>
      <c r="AR409" s="587"/>
      <c r="AS409" s="400"/>
      <c r="AT409" s="545"/>
      <c r="AU409" s="401"/>
      <c r="AV409" s="401"/>
      <c r="AW409" s="401"/>
      <c r="AX409" s="401"/>
      <c r="AY409" s="401"/>
      <c r="AZ409" s="401"/>
      <c r="BA409" s="401"/>
      <c r="BB409" s="401"/>
      <c r="BC409" s="401"/>
      <c r="BD409" s="385"/>
      <c r="BE409" s="439"/>
      <c r="BF409" s="389"/>
      <c r="BG409" s="521"/>
      <c r="BH409" s="402"/>
      <c r="BI409" s="402" t="e">
        <f t="shared" si="235"/>
        <v>#DIV/0!</v>
      </c>
    </row>
    <row r="410" spans="1:61" s="359" customFormat="1" x14ac:dyDescent="0.3">
      <c r="A410" s="360"/>
      <c r="B410" s="382"/>
      <c r="C410" s="433"/>
      <c r="D410" s="361">
        <v>6</v>
      </c>
      <c r="E410" s="407"/>
      <c r="F410" s="404"/>
      <c r="G410" s="400"/>
      <c r="H410" s="401"/>
      <c r="I410" s="401"/>
      <c r="J410" s="401"/>
      <c r="K410" s="401"/>
      <c r="L410" s="401"/>
      <c r="M410" s="401"/>
      <c r="N410" s="401"/>
      <c r="O410" s="401"/>
      <c r="P410" s="401"/>
      <c r="Q410" s="401"/>
      <c r="R410" s="389"/>
      <c r="S410" s="389"/>
      <c r="T410" s="389"/>
      <c r="U410" s="521"/>
      <c r="V410" s="402"/>
      <c r="W410" s="402"/>
      <c r="X410" s="407"/>
      <c r="Y410" s="404"/>
      <c r="Z410" s="400"/>
      <c r="AA410" s="401"/>
      <c r="AB410" s="401"/>
      <c r="AC410" s="401"/>
      <c r="AD410" s="401"/>
      <c r="AE410" s="401"/>
      <c r="AF410" s="401"/>
      <c r="AG410" s="401"/>
      <c r="AH410" s="401"/>
      <c r="AI410" s="401"/>
      <c r="AJ410" s="401"/>
      <c r="AK410" s="385"/>
      <c r="AL410" s="439"/>
      <c r="AM410" s="389"/>
      <c r="AN410" s="521"/>
      <c r="AO410" s="402"/>
      <c r="AP410" s="402"/>
      <c r="AQ410" s="407"/>
      <c r="AR410" s="587"/>
      <c r="AS410" s="400"/>
      <c r="AT410" s="401"/>
      <c r="AU410" s="401"/>
      <c r="AV410" s="401"/>
      <c r="AW410" s="401"/>
      <c r="AX410" s="401"/>
      <c r="AY410" s="401"/>
      <c r="AZ410" s="401"/>
      <c r="BA410" s="401"/>
      <c r="BB410" s="401"/>
      <c r="BC410" s="401"/>
      <c r="BD410" s="385"/>
      <c r="BE410" s="439"/>
      <c r="BF410" s="389"/>
      <c r="BG410" s="521"/>
      <c r="BH410" s="402"/>
      <c r="BI410" s="402" t="e">
        <f t="shared" si="235"/>
        <v>#DIV/0!</v>
      </c>
    </row>
    <row r="411" spans="1:61" s="359" customFormat="1" x14ac:dyDescent="0.3">
      <c r="A411" s="360"/>
      <c r="B411" s="382"/>
      <c r="C411" s="433"/>
      <c r="D411" s="361"/>
      <c r="E411" s="407"/>
      <c r="F411" s="404"/>
      <c r="G411" s="400"/>
      <c r="H411" s="401"/>
      <c r="I411" s="401"/>
      <c r="J411" s="401"/>
      <c r="K411" s="401"/>
      <c r="L411" s="401"/>
      <c r="M411" s="401"/>
      <c r="N411" s="401"/>
      <c r="O411" s="401"/>
      <c r="P411" s="401"/>
      <c r="Q411" s="401"/>
      <c r="R411" s="389"/>
      <c r="S411" s="389"/>
      <c r="T411" s="389"/>
      <c r="U411" s="521"/>
      <c r="V411" s="402"/>
      <c r="W411" s="402" t="e">
        <f>H411/F411</f>
        <v>#DIV/0!</v>
      </c>
      <c r="X411" s="407"/>
      <c r="Y411" s="404"/>
      <c r="Z411" s="400"/>
      <c r="AA411" s="401"/>
      <c r="AB411" s="401"/>
      <c r="AC411" s="401"/>
      <c r="AD411" s="401"/>
      <c r="AE411" s="401"/>
      <c r="AF411" s="401"/>
      <c r="AG411" s="401"/>
      <c r="AH411" s="401"/>
      <c r="AI411" s="401"/>
      <c r="AJ411" s="401"/>
      <c r="AK411" s="389"/>
      <c r="AL411" s="389"/>
      <c r="AM411" s="389"/>
      <c r="AN411" s="521"/>
      <c r="AO411" s="402"/>
      <c r="AP411" s="402" t="e">
        <f>AA411/Y411</f>
        <v>#DIV/0!</v>
      </c>
      <c r="AQ411" s="407"/>
      <c r="AR411" s="587"/>
      <c r="AS411" s="400"/>
      <c r="AT411" s="401"/>
      <c r="AU411" s="401"/>
      <c r="AV411" s="401"/>
      <c r="AW411" s="401"/>
      <c r="AX411" s="401"/>
      <c r="AY411" s="401"/>
      <c r="AZ411" s="401"/>
      <c r="BA411" s="401"/>
      <c r="BB411" s="401"/>
      <c r="BC411" s="401"/>
      <c r="BD411" s="389"/>
      <c r="BE411" s="389"/>
      <c r="BF411" s="389"/>
      <c r="BG411" s="521"/>
      <c r="BH411" s="402"/>
      <c r="BI411" s="402" t="e">
        <f t="shared" si="235"/>
        <v>#DIV/0!</v>
      </c>
    </row>
    <row r="412" spans="1:61" s="359" customFormat="1" ht="24.75" customHeight="1" x14ac:dyDescent="0.3">
      <c r="A412" s="355" t="s">
        <v>5</v>
      </c>
      <c r="B412" s="356" t="s">
        <v>239</v>
      </c>
      <c r="C412" s="432"/>
      <c r="D412" s="357">
        <v>6</v>
      </c>
      <c r="E412" s="396">
        <f t="shared" ref="E412:Q412" si="239">SUM(E413:E418)</f>
        <v>0</v>
      </c>
      <c r="F412" s="396">
        <f t="shared" si="239"/>
        <v>350</v>
      </c>
      <c r="G412" s="396">
        <f t="shared" si="239"/>
        <v>350</v>
      </c>
      <c r="H412" s="397">
        <f t="shared" si="239"/>
        <v>498.40699999999998</v>
      </c>
      <c r="I412" s="397">
        <f t="shared" si="239"/>
        <v>437.27600000000001</v>
      </c>
      <c r="J412" s="397">
        <f t="shared" si="239"/>
        <v>400.05500000000001</v>
      </c>
      <c r="K412" s="397">
        <f t="shared" si="239"/>
        <v>37.220999999999997</v>
      </c>
      <c r="L412" s="397">
        <f t="shared" si="239"/>
        <v>13.760999999999999</v>
      </c>
      <c r="M412" s="397">
        <f t="shared" si="239"/>
        <v>0</v>
      </c>
      <c r="N412" s="397">
        <f t="shared" si="239"/>
        <v>0</v>
      </c>
      <c r="O412" s="397">
        <f t="shared" si="239"/>
        <v>17.039000000000001</v>
      </c>
      <c r="P412" s="397">
        <f t="shared" si="239"/>
        <v>400.05500000000001</v>
      </c>
      <c r="Q412" s="397">
        <f t="shared" si="239"/>
        <v>400.05500000000001</v>
      </c>
      <c r="R412" s="398"/>
      <c r="S412" s="398"/>
      <c r="T412" s="398"/>
      <c r="U412" s="520"/>
      <c r="V412" s="399"/>
      <c r="W412" s="399">
        <f>H412/F412</f>
        <v>1.4240199999999998</v>
      </c>
      <c r="X412" s="396">
        <f t="shared" ref="X412:AJ412" si="240">SUM(X413:X418)</f>
        <v>0</v>
      </c>
      <c r="Y412" s="396">
        <f t="shared" si="240"/>
        <v>85</v>
      </c>
      <c r="Z412" s="396">
        <f t="shared" si="240"/>
        <v>85</v>
      </c>
      <c r="AA412" s="397">
        <f t="shared" si="240"/>
        <v>648.72158999999999</v>
      </c>
      <c r="AB412" s="397">
        <f t="shared" si="240"/>
        <v>486.62878000000001</v>
      </c>
      <c r="AC412" s="397">
        <f t="shared" si="240"/>
        <v>316.90087999999997</v>
      </c>
      <c r="AD412" s="397">
        <f t="shared" si="240"/>
        <v>37.220999999999997</v>
      </c>
      <c r="AE412" s="397">
        <f t="shared" si="240"/>
        <v>33.353549999999998</v>
      </c>
      <c r="AF412" s="397">
        <f t="shared" si="240"/>
        <v>0</v>
      </c>
      <c r="AG412" s="397">
        <f t="shared" si="240"/>
        <v>0</v>
      </c>
      <c r="AH412" s="397">
        <f t="shared" si="240"/>
        <v>48.543120000000002</v>
      </c>
      <c r="AI412" s="397">
        <f t="shared" si="240"/>
        <v>290.91302000000002</v>
      </c>
      <c r="AJ412" s="397">
        <f t="shared" si="240"/>
        <v>290.91302000000002</v>
      </c>
      <c r="AK412" s="398"/>
      <c r="AL412" s="398"/>
      <c r="AM412" s="398"/>
      <c r="AN412" s="520"/>
      <c r="AO412" s="399"/>
      <c r="AP412" s="399">
        <f>AA412/Y412</f>
        <v>7.632018705882353</v>
      </c>
      <c r="AQ412" s="396">
        <f t="shared" ref="AQ412:BC412" si="241">SUM(AQ413:AQ418)</f>
        <v>0</v>
      </c>
      <c r="AR412" s="396">
        <f t="shared" si="241"/>
        <v>25</v>
      </c>
      <c r="AS412" s="396">
        <f t="shared" si="241"/>
        <v>25</v>
      </c>
      <c r="AT412" s="397">
        <f t="shared" si="241"/>
        <v>631.66931</v>
      </c>
      <c r="AU412" s="397">
        <f t="shared" si="241"/>
        <v>545.52246000000002</v>
      </c>
      <c r="AV412" s="397">
        <f t="shared" si="241"/>
        <v>228.80166</v>
      </c>
      <c r="AW412" s="397">
        <f t="shared" si="241"/>
        <v>9.9701400000000007</v>
      </c>
      <c r="AX412" s="397">
        <f t="shared" si="241"/>
        <v>28.579419999999999</v>
      </c>
      <c r="AY412" s="397">
        <f t="shared" si="241"/>
        <v>0</v>
      </c>
      <c r="AZ412" s="397">
        <f t="shared" si="241"/>
        <v>0</v>
      </c>
      <c r="BA412" s="397">
        <f t="shared" si="241"/>
        <v>23.639800000000001</v>
      </c>
      <c r="BB412" s="397">
        <f t="shared" si="241"/>
        <v>228.80166</v>
      </c>
      <c r="BC412" s="397">
        <f t="shared" si="241"/>
        <v>9.9701400000000007</v>
      </c>
      <c r="BD412" s="398"/>
      <c r="BE412" s="398"/>
      <c r="BF412" s="398"/>
      <c r="BG412" s="520"/>
      <c r="BH412" s="399"/>
      <c r="BI412" s="399">
        <f t="shared" si="235"/>
        <v>25.266772400000001</v>
      </c>
    </row>
    <row r="413" spans="1:61" s="359" customFormat="1" ht="19.2" x14ac:dyDescent="0.3">
      <c r="A413" s="360" t="s">
        <v>179</v>
      </c>
      <c r="B413" s="513" t="s">
        <v>299</v>
      </c>
      <c r="C413" s="433" t="s">
        <v>298</v>
      </c>
      <c r="D413" s="361">
        <v>6</v>
      </c>
      <c r="E413" s="407"/>
      <c r="F413" s="404">
        <v>350</v>
      </c>
      <c r="G413" s="404">
        <v>350</v>
      </c>
      <c r="H413" s="419">
        <v>498.40699999999998</v>
      </c>
      <c r="I413" s="401">
        <v>437.27600000000001</v>
      </c>
      <c r="J413" s="401">
        <v>400.05500000000001</v>
      </c>
      <c r="K413" s="401">
        <v>37.220999999999997</v>
      </c>
      <c r="L413" s="401">
        <v>13.760999999999999</v>
      </c>
      <c r="M413" s="401">
        <v>0</v>
      </c>
      <c r="N413" s="401">
        <v>0</v>
      </c>
      <c r="O413" s="401">
        <v>17.039000000000001</v>
      </c>
      <c r="P413" s="401">
        <v>400.05500000000001</v>
      </c>
      <c r="Q413" s="401">
        <v>400.05500000000001</v>
      </c>
      <c r="R413" s="385" t="s">
        <v>167</v>
      </c>
      <c r="S413" s="439" t="s">
        <v>175</v>
      </c>
      <c r="T413" s="389"/>
      <c r="U413" s="521">
        <v>112</v>
      </c>
      <c r="V413" s="402"/>
      <c r="W413" s="402">
        <f>H413/F413</f>
        <v>1.4240199999999998</v>
      </c>
      <c r="X413" s="407"/>
      <c r="Y413" s="404"/>
      <c r="Z413" s="404"/>
      <c r="AA413" s="419"/>
      <c r="AB413" s="401"/>
      <c r="AC413" s="401"/>
      <c r="AD413" s="401"/>
      <c r="AE413" s="401"/>
      <c r="AF413" s="401"/>
      <c r="AG413" s="401"/>
      <c r="AH413" s="401"/>
      <c r="AI413" s="401"/>
      <c r="AJ413" s="401"/>
      <c r="AK413" s="385"/>
      <c r="AL413" s="439"/>
      <c r="AM413" s="389"/>
      <c r="AN413" s="521"/>
      <c r="AO413" s="402"/>
      <c r="AP413" s="402" t="e">
        <f>AA413/Y413</f>
        <v>#DIV/0!</v>
      </c>
      <c r="AQ413" s="407"/>
      <c r="AR413" s="587"/>
      <c r="AS413" s="587"/>
      <c r="AT413" s="419"/>
      <c r="AU413" s="401"/>
      <c r="AV413" s="401"/>
      <c r="AW413" s="401"/>
      <c r="AX413" s="401"/>
      <c r="AY413" s="401"/>
      <c r="AZ413" s="401"/>
      <c r="BA413" s="401"/>
      <c r="BB413" s="401"/>
      <c r="BC413" s="401"/>
      <c r="BD413" s="385"/>
      <c r="BE413" s="439"/>
      <c r="BF413" s="389"/>
      <c r="BG413" s="521"/>
      <c r="BH413" s="402"/>
      <c r="BI413" s="402" t="e">
        <f t="shared" si="235"/>
        <v>#DIV/0!</v>
      </c>
    </row>
    <row r="414" spans="1:61" s="359" customFormat="1" ht="19.2" x14ac:dyDescent="0.3">
      <c r="A414" s="360" t="s">
        <v>179</v>
      </c>
      <c r="B414" s="543" t="s">
        <v>567</v>
      </c>
      <c r="C414" s="433" t="s">
        <v>481</v>
      </c>
      <c r="D414" s="361">
        <v>6</v>
      </c>
      <c r="E414" s="407"/>
      <c r="F414" s="404"/>
      <c r="G414" s="400"/>
      <c r="H414" s="401"/>
      <c r="I414" s="401"/>
      <c r="J414" s="401"/>
      <c r="K414" s="401"/>
      <c r="L414" s="401"/>
      <c r="M414" s="401"/>
      <c r="N414" s="401"/>
      <c r="O414" s="401"/>
      <c r="P414" s="401"/>
      <c r="Q414" s="401"/>
      <c r="R414" s="389"/>
      <c r="S414" s="389"/>
      <c r="T414" s="389"/>
      <c r="U414" s="521"/>
      <c r="V414" s="402"/>
      <c r="W414" s="402" t="e">
        <f>H414/F414</f>
        <v>#DIV/0!</v>
      </c>
      <c r="X414" s="407"/>
      <c r="Y414" s="404">
        <v>85</v>
      </c>
      <c r="Z414" s="400">
        <v>85</v>
      </c>
      <c r="AA414" s="545">
        <v>648.72158999999999</v>
      </c>
      <c r="AB414" s="401">
        <v>486.62878000000001</v>
      </c>
      <c r="AC414" s="401">
        <v>316.90087999999997</v>
      </c>
      <c r="AD414" s="401">
        <v>37.220999999999997</v>
      </c>
      <c r="AE414" s="401">
        <v>33.353549999999998</v>
      </c>
      <c r="AF414" s="401">
        <v>0</v>
      </c>
      <c r="AG414" s="401">
        <v>0</v>
      </c>
      <c r="AH414" s="401">
        <v>48.543120000000002</v>
      </c>
      <c r="AI414" s="401">
        <v>290.91302000000002</v>
      </c>
      <c r="AJ414" s="401">
        <v>290.91302000000002</v>
      </c>
      <c r="AK414" s="385" t="s">
        <v>167</v>
      </c>
      <c r="AL414" s="439" t="s">
        <v>175</v>
      </c>
      <c r="AM414" s="389"/>
      <c r="AN414" s="521">
        <v>432</v>
      </c>
      <c r="AO414" s="402"/>
      <c r="AP414" s="402">
        <f>AA414/Y414</f>
        <v>7.632018705882353</v>
      </c>
      <c r="AQ414" s="407"/>
      <c r="AR414" s="587"/>
      <c r="AS414" s="400"/>
      <c r="AT414" s="545"/>
      <c r="AU414" s="401"/>
      <c r="AV414" s="401"/>
      <c r="AW414" s="401"/>
      <c r="AX414" s="401"/>
      <c r="AY414" s="401"/>
      <c r="AZ414" s="401"/>
      <c r="BA414" s="401"/>
      <c r="BB414" s="401"/>
      <c r="BC414" s="401"/>
      <c r="BD414" s="385"/>
      <c r="BE414" s="439"/>
      <c r="BF414" s="389"/>
      <c r="BG414" s="521"/>
      <c r="BH414" s="402"/>
      <c r="BI414" s="402" t="e">
        <f t="shared" si="235"/>
        <v>#DIV/0!</v>
      </c>
    </row>
    <row r="415" spans="1:61" s="359" customFormat="1" ht="19.2" x14ac:dyDescent="0.3">
      <c r="A415" s="360" t="s">
        <v>179</v>
      </c>
      <c r="B415" s="579" t="s">
        <v>526</v>
      </c>
      <c r="C415" s="433" t="s">
        <v>631</v>
      </c>
      <c r="D415" s="361">
        <v>6</v>
      </c>
      <c r="E415" s="407"/>
      <c r="F415" s="404"/>
      <c r="G415" s="400"/>
      <c r="H415" s="401"/>
      <c r="I415" s="401"/>
      <c r="J415" s="401"/>
      <c r="K415" s="401"/>
      <c r="L415" s="401"/>
      <c r="M415" s="401"/>
      <c r="N415" s="401"/>
      <c r="O415" s="401"/>
      <c r="P415" s="401"/>
      <c r="Q415" s="401"/>
      <c r="R415" s="389"/>
      <c r="S415" s="389"/>
      <c r="T415" s="389"/>
      <c r="U415" s="521"/>
      <c r="V415" s="402"/>
      <c r="W415" s="402"/>
      <c r="X415" s="407"/>
      <c r="Y415" s="404"/>
      <c r="Z415" s="400"/>
      <c r="AA415" s="401"/>
      <c r="AB415" s="401"/>
      <c r="AC415" s="401"/>
      <c r="AD415" s="401"/>
      <c r="AE415" s="401"/>
      <c r="AF415" s="401"/>
      <c r="AG415" s="401"/>
      <c r="AH415" s="401"/>
      <c r="AI415" s="401"/>
      <c r="AJ415" s="401"/>
      <c r="AK415" s="385"/>
      <c r="AL415" s="439"/>
      <c r="AM415" s="389"/>
      <c r="AN415" s="521"/>
      <c r="AO415" s="402"/>
      <c r="AP415" s="402"/>
      <c r="AQ415" s="407"/>
      <c r="AR415" s="587">
        <v>25</v>
      </c>
      <c r="AS415" s="400">
        <v>25</v>
      </c>
      <c r="AT415" s="578">
        <v>631.66931</v>
      </c>
      <c r="AU415" s="401">
        <v>545.52246000000002</v>
      </c>
      <c r="AV415" s="401">
        <v>228.80166</v>
      </c>
      <c r="AW415" s="401">
        <v>9.9701400000000007</v>
      </c>
      <c r="AX415" s="401">
        <v>28.579419999999999</v>
      </c>
      <c r="AY415" s="401">
        <v>0</v>
      </c>
      <c r="AZ415" s="401">
        <v>0</v>
      </c>
      <c r="BA415" s="401">
        <v>23.639800000000001</v>
      </c>
      <c r="BB415" s="401">
        <v>228.80166</v>
      </c>
      <c r="BC415" s="401">
        <v>9.9701400000000007</v>
      </c>
      <c r="BD415" s="385" t="s">
        <v>167</v>
      </c>
      <c r="BE415" s="439" t="s">
        <v>175</v>
      </c>
      <c r="BF415" s="389"/>
      <c r="BG415" s="521">
        <v>596</v>
      </c>
      <c r="BH415" s="402"/>
      <c r="BI415" s="402">
        <f t="shared" si="235"/>
        <v>25.266772400000001</v>
      </c>
    </row>
    <row r="416" spans="1:61" s="359" customFormat="1" x14ac:dyDescent="0.3">
      <c r="A416" s="360"/>
      <c r="B416" s="382"/>
      <c r="C416" s="433"/>
      <c r="D416" s="361">
        <v>6</v>
      </c>
      <c r="E416" s="407"/>
      <c r="F416" s="404"/>
      <c r="G416" s="400"/>
      <c r="H416" s="401"/>
      <c r="I416" s="401"/>
      <c r="J416" s="401"/>
      <c r="K416" s="401"/>
      <c r="L416" s="401"/>
      <c r="M416" s="401"/>
      <c r="N416" s="401"/>
      <c r="O416" s="401"/>
      <c r="P416" s="401"/>
      <c r="Q416" s="401"/>
      <c r="R416" s="389"/>
      <c r="S416" s="389"/>
      <c r="T416" s="389"/>
      <c r="U416" s="521"/>
      <c r="V416" s="402"/>
      <c r="W416" s="402"/>
      <c r="X416" s="407"/>
      <c r="Y416" s="404"/>
      <c r="Z416" s="400"/>
      <c r="AA416" s="401"/>
      <c r="AB416" s="401"/>
      <c r="AC416" s="401"/>
      <c r="AD416" s="401"/>
      <c r="AE416" s="401"/>
      <c r="AF416" s="401"/>
      <c r="AG416" s="401"/>
      <c r="AH416" s="401"/>
      <c r="AI416" s="401"/>
      <c r="AJ416" s="401"/>
      <c r="AK416" s="385"/>
      <c r="AL416" s="439"/>
      <c r="AM416" s="389"/>
      <c r="AN416" s="521"/>
      <c r="AO416" s="402"/>
      <c r="AP416" s="402"/>
      <c r="AQ416" s="407"/>
      <c r="AR416" s="587"/>
      <c r="AS416" s="400"/>
      <c r="AT416" s="401"/>
      <c r="AU416" s="401"/>
      <c r="AV416" s="401"/>
      <c r="AW416" s="401"/>
      <c r="AX416" s="401"/>
      <c r="AY416" s="401"/>
      <c r="AZ416" s="401"/>
      <c r="BA416" s="401"/>
      <c r="BB416" s="401"/>
      <c r="BC416" s="401"/>
      <c r="BD416" s="385"/>
      <c r="BE416" s="439"/>
      <c r="BF416" s="389"/>
      <c r="BG416" s="521"/>
      <c r="BH416" s="402"/>
      <c r="BI416" s="402" t="e">
        <f t="shared" si="235"/>
        <v>#DIV/0!</v>
      </c>
    </row>
    <row r="417" spans="1:61" s="359" customFormat="1" x14ac:dyDescent="0.3">
      <c r="A417" s="360"/>
      <c r="B417" s="382"/>
      <c r="C417" s="433"/>
      <c r="D417" s="361"/>
      <c r="E417" s="407"/>
      <c r="F417" s="404"/>
      <c r="G417" s="400"/>
      <c r="H417" s="401"/>
      <c r="I417" s="401"/>
      <c r="J417" s="401"/>
      <c r="K417" s="401"/>
      <c r="L417" s="401"/>
      <c r="M417" s="401"/>
      <c r="N417" s="401"/>
      <c r="O417" s="401"/>
      <c r="P417" s="401"/>
      <c r="Q417" s="401"/>
      <c r="R417" s="389"/>
      <c r="S417" s="389"/>
      <c r="T417" s="389"/>
      <c r="U417" s="521"/>
      <c r="V417" s="402"/>
      <c r="W417" s="402" t="e">
        <f t="shared" ref="W417:W422" si="242">H417/F417</f>
        <v>#DIV/0!</v>
      </c>
      <c r="X417" s="407"/>
      <c r="Y417" s="404"/>
      <c r="Z417" s="400"/>
      <c r="AA417" s="401"/>
      <c r="AB417" s="401"/>
      <c r="AC417" s="401"/>
      <c r="AD417" s="401"/>
      <c r="AE417" s="401"/>
      <c r="AF417" s="401"/>
      <c r="AG417" s="401"/>
      <c r="AH417" s="401"/>
      <c r="AI417" s="401"/>
      <c r="AJ417" s="401"/>
      <c r="AK417" s="389"/>
      <c r="AL417" s="389"/>
      <c r="AM417" s="389"/>
      <c r="AN417" s="521"/>
      <c r="AO417" s="402"/>
      <c r="AP417" s="402" t="e">
        <f t="shared" ref="AP417:AP422" si="243">AA417/Y417</f>
        <v>#DIV/0!</v>
      </c>
      <c r="AQ417" s="407"/>
      <c r="AR417" s="587"/>
      <c r="AS417" s="400"/>
      <c r="AT417" s="401"/>
      <c r="AU417" s="401"/>
      <c r="AV417" s="401"/>
      <c r="AW417" s="401"/>
      <c r="AX417" s="401"/>
      <c r="AY417" s="401"/>
      <c r="AZ417" s="401"/>
      <c r="BA417" s="401"/>
      <c r="BB417" s="401"/>
      <c r="BC417" s="401"/>
      <c r="BD417" s="389"/>
      <c r="BE417" s="389"/>
      <c r="BF417" s="389"/>
      <c r="BG417" s="521"/>
      <c r="BH417" s="402"/>
      <c r="BI417" s="402" t="e">
        <f t="shared" si="235"/>
        <v>#DIV/0!</v>
      </c>
    </row>
    <row r="418" spans="1:61" s="359" customFormat="1" x14ac:dyDescent="0.3">
      <c r="A418" s="360"/>
      <c r="B418" s="382"/>
      <c r="C418" s="433"/>
      <c r="D418" s="361"/>
      <c r="E418" s="407"/>
      <c r="F418" s="404"/>
      <c r="G418" s="400"/>
      <c r="H418" s="401"/>
      <c r="I418" s="401"/>
      <c r="J418" s="401"/>
      <c r="K418" s="401"/>
      <c r="L418" s="401"/>
      <c r="M418" s="401"/>
      <c r="N418" s="401"/>
      <c r="O418" s="401"/>
      <c r="P418" s="401"/>
      <c r="Q418" s="401"/>
      <c r="R418" s="389"/>
      <c r="S418" s="389"/>
      <c r="T418" s="389"/>
      <c r="U418" s="521"/>
      <c r="V418" s="402"/>
      <c r="W418" s="402" t="e">
        <f t="shared" si="242"/>
        <v>#DIV/0!</v>
      </c>
      <c r="X418" s="407"/>
      <c r="Y418" s="404"/>
      <c r="Z418" s="400"/>
      <c r="AA418" s="401"/>
      <c r="AB418" s="401"/>
      <c r="AC418" s="401"/>
      <c r="AD418" s="401"/>
      <c r="AE418" s="401"/>
      <c r="AF418" s="401"/>
      <c r="AG418" s="401"/>
      <c r="AH418" s="401"/>
      <c r="AI418" s="401"/>
      <c r="AJ418" s="401"/>
      <c r="AK418" s="389"/>
      <c r="AL418" s="389"/>
      <c r="AM418" s="389"/>
      <c r="AN418" s="521"/>
      <c r="AO418" s="402"/>
      <c r="AP418" s="402" t="e">
        <f t="shared" si="243"/>
        <v>#DIV/0!</v>
      </c>
      <c r="AQ418" s="407"/>
      <c r="AR418" s="587"/>
      <c r="AS418" s="400"/>
      <c r="AT418" s="401"/>
      <c r="AU418" s="401"/>
      <c r="AV418" s="401"/>
      <c r="AW418" s="401"/>
      <c r="AX418" s="401"/>
      <c r="AY418" s="401"/>
      <c r="AZ418" s="401"/>
      <c r="BA418" s="401"/>
      <c r="BB418" s="401"/>
      <c r="BC418" s="401"/>
      <c r="BD418" s="389"/>
      <c r="BE418" s="389"/>
      <c r="BF418" s="389"/>
      <c r="BG418" s="521"/>
      <c r="BH418" s="402"/>
      <c r="BI418" s="402" t="e">
        <f t="shared" si="235"/>
        <v>#DIV/0!</v>
      </c>
    </row>
    <row r="419" spans="1:61" s="359" customFormat="1" ht="93" customHeight="1" x14ac:dyDescent="0.3">
      <c r="A419" s="470" t="s">
        <v>240</v>
      </c>
      <c r="B419" s="471" t="s">
        <v>225</v>
      </c>
      <c r="C419" s="472"/>
      <c r="D419" s="473"/>
      <c r="E419" s="474">
        <f t="shared" ref="E419:Q419" si="244">E420</f>
        <v>0</v>
      </c>
      <c r="F419" s="474">
        <f t="shared" si="244"/>
        <v>149</v>
      </c>
      <c r="G419" s="474">
        <f t="shared" si="244"/>
        <v>149</v>
      </c>
      <c r="H419" s="475">
        <f t="shared" si="244"/>
        <v>1749.223</v>
      </c>
      <c r="I419" s="475">
        <f t="shared" si="244"/>
        <v>1632.845</v>
      </c>
      <c r="J419" s="475">
        <f t="shared" si="244"/>
        <v>1614.7670000000001</v>
      </c>
      <c r="K419" s="475">
        <f t="shared" si="244"/>
        <v>18.077999999999999</v>
      </c>
      <c r="L419" s="475">
        <f t="shared" si="244"/>
        <v>35.875999999999998</v>
      </c>
      <c r="M419" s="475">
        <f t="shared" si="244"/>
        <v>0</v>
      </c>
      <c r="N419" s="475">
        <f t="shared" si="244"/>
        <v>0</v>
      </c>
      <c r="O419" s="475">
        <f t="shared" si="244"/>
        <v>29.138999999999999</v>
      </c>
      <c r="P419" s="475">
        <f t="shared" si="244"/>
        <v>1614.7670000000001</v>
      </c>
      <c r="Q419" s="475">
        <f t="shared" si="244"/>
        <v>1632.845</v>
      </c>
      <c r="R419" s="476"/>
      <c r="S419" s="476"/>
      <c r="T419" s="476"/>
      <c r="U419" s="524"/>
      <c r="V419" s="477"/>
      <c r="W419" s="477">
        <f t="shared" si="242"/>
        <v>11.739751677852349</v>
      </c>
      <c r="X419" s="474">
        <f t="shared" ref="X419:AJ419" si="245">X420</f>
        <v>0</v>
      </c>
      <c r="Y419" s="474">
        <f t="shared" si="245"/>
        <v>200</v>
      </c>
      <c r="Z419" s="474">
        <f t="shared" si="245"/>
        <v>200</v>
      </c>
      <c r="AA419" s="475">
        <f t="shared" si="245"/>
        <v>1965.5469900000001</v>
      </c>
      <c r="AB419" s="475">
        <f t="shared" si="245"/>
        <v>1774.9108699999999</v>
      </c>
      <c r="AC419" s="475">
        <f t="shared" si="245"/>
        <v>1727.3351600000001</v>
      </c>
      <c r="AD419" s="475">
        <f t="shared" si="245"/>
        <v>17.215969999999999</v>
      </c>
      <c r="AE419" s="475">
        <f t="shared" si="245"/>
        <v>85.493390000000005</v>
      </c>
      <c r="AF419" s="475">
        <f t="shared" si="245"/>
        <v>0</v>
      </c>
      <c r="AG419" s="475">
        <f t="shared" si="245"/>
        <v>0</v>
      </c>
      <c r="AH419" s="475">
        <f t="shared" si="245"/>
        <v>41.951779999999999</v>
      </c>
      <c r="AI419" s="475">
        <f t="shared" si="245"/>
        <v>1727.3351600000001</v>
      </c>
      <c r="AJ419" s="475">
        <f t="shared" si="245"/>
        <v>1727.3351600000001</v>
      </c>
      <c r="AK419" s="476"/>
      <c r="AL419" s="476"/>
      <c r="AM419" s="476"/>
      <c r="AN419" s="524"/>
      <c r="AO419" s="477"/>
      <c r="AP419" s="477">
        <f t="shared" si="243"/>
        <v>9.82773495</v>
      </c>
      <c r="AQ419" s="474">
        <f t="shared" ref="AQ419:BC419" si="246">AQ420</f>
        <v>0</v>
      </c>
      <c r="AR419" s="474">
        <f t="shared" si="246"/>
        <v>0</v>
      </c>
      <c r="AS419" s="474">
        <f t="shared" si="246"/>
        <v>0</v>
      </c>
      <c r="AT419" s="475">
        <f t="shared" si="246"/>
        <v>0</v>
      </c>
      <c r="AU419" s="475">
        <f t="shared" si="246"/>
        <v>0</v>
      </c>
      <c r="AV419" s="475">
        <f t="shared" si="246"/>
        <v>0</v>
      </c>
      <c r="AW419" s="475">
        <f t="shared" si="246"/>
        <v>0</v>
      </c>
      <c r="AX419" s="475">
        <f t="shared" si="246"/>
        <v>0</v>
      </c>
      <c r="AY419" s="475">
        <f t="shared" si="246"/>
        <v>0</v>
      </c>
      <c r="AZ419" s="475">
        <f t="shared" si="246"/>
        <v>0</v>
      </c>
      <c r="BA419" s="475">
        <f t="shared" si="246"/>
        <v>0</v>
      </c>
      <c r="BB419" s="475">
        <f t="shared" si="246"/>
        <v>0</v>
      </c>
      <c r="BC419" s="475">
        <f t="shared" si="246"/>
        <v>0</v>
      </c>
      <c r="BD419" s="476"/>
      <c r="BE419" s="476"/>
      <c r="BF419" s="476"/>
      <c r="BG419" s="524"/>
      <c r="BH419" s="477"/>
      <c r="BI419" s="477" t="e">
        <f t="shared" si="235"/>
        <v>#DIV/0!</v>
      </c>
    </row>
    <row r="420" spans="1:61" s="359" customFormat="1" ht="24.75" customHeight="1" x14ac:dyDescent="0.3">
      <c r="A420" s="355" t="s">
        <v>179</v>
      </c>
      <c r="B420" s="356" t="s">
        <v>466</v>
      </c>
      <c r="C420" s="432"/>
      <c r="D420" s="357">
        <v>6</v>
      </c>
      <c r="E420" s="396">
        <f t="shared" ref="E420:Q420" si="247">SUM(E421:E426)</f>
        <v>0</v>
      </c>
      <c r="F420" s="396">
        <f t="shared" si="247"/>
        <v>149</v>
      </c>
      <c r="G420" s="396">
        <f t="shared" si="247"/>
        <v>149</v>
      </c>
      <c r="H420" s="397">
        <f t="shared" si="247"/>
        <v>1749.223</v>
      </c>
      <c r="I420" s="397">
        <f t="shared" si="247"/>
        <v>1632.845</v>
      </c>
      <c r="J420" s="397">
        <f t="shared" si="247"/>
        <v>1614.7670000000001</v>
      </c>
      <c r="K420" s="397">
        <f t="shared" si="247"/>
        <v>18.077999999999999</v>
      </c>
      <c r="L420" s="397">
        <f t="shared" si="247"/>
        <v>35.875999999999998</v>
      </c>
      <c r="M420" s="397">
        <f t="shared" si="247"/>
        <v>0</v>
      </c>
      <c r="N420" s="397">
        <f t="shared" si="247"/>
        <v>0</v>
      </c>
      <c r="O420" s="397">
        <f t="shared" si="247"/>
        <v>29.138999999999999</v>
      </c>
      <c r="P420" s="397">
        <f t="shared" si="247"/>
        <v>1614.7670000000001</v>
      </c>
      <c r="Q420" s="397">
        <f t="shared" si="247"/>
        <v>1632.845</v>
      </c>
      <c r="R420" s="398"/>
      <c r="S420" s="398"/>
      <c r="T420" s="398"/>
      <c r="U420" s="520"/>
      <c r="V420" s="399"/>
      <c r="W420" s="399">
        <f t="shared" si="242"/>
        <v>11.739751677852349</v>
      </c>
      <c r="X420" s="396">
        <f t="shared" ref="X420:AJ420" si="248">SUM(X421:X426)</f>
        <v>0</v>
      </c>
      <c r="Y420" s="396">
        <f t="shared" si="248"/>
        <v>200</v>
      </c>
      <c r="Z420" s="396">
        <f t="shared" si="248"/>
        <v>200</v>
      </c>
      <c r="AA420" s="397">
        <f t="shared" si="248"/>
        <v>1965.5469900000001</v>
      </c>
      <c r="AB420" s="397">
        <f t="shared" si="248"/>
        <v>1774.9108699999999</v>
      </c>
      <c r="AC420" s="397">
        <f t="shared" si="248"/>
        <v>1727.3351600000001</v>
      </c>
      <c r="AD420" s="397">
        <f t="shared" si="248"/>
        <v>17.215969999999999</v>
      </c>
      <c r="AE420" s="397">
        <f t="shared" si="248"/>
        <v>85.493390000000005</v>
      </c>
      <c r="AF420" s="397">
        <f t="shared" si="248"/>
        <v>0</v>
      </c>
      <c r="AG420" s="397">
        <f t="shared" si="248"/>
        <v>0</v>
      </c>
      <c r="AH420" s="397">
        <f t="shared" si="248"/>
        <v>41.951779999999999</v>
      </c>
      <c r="AI420" s="397">
        <f t="shared" si="248"/>
        <v>1727.3351600000001</v>
      </c>
      <c r="AJ420" s="397">
        <f t="shared" si="248"/>
        <v>1727.3351600000001</v>
      </c>
      <c r="AK420" s="398"/>
      <c r="AL420" s="398"/>
      <c r="AM420" s="398"/>
      <c r="AN420" s="520"/>
      <c r="AO420" s="399"/>
      <c r="AP420" s="399">
        <f t="shared" si="243"/>
        <v>9.82773495</v>
      </c>
      <c r="AQ420" s="396">
        <f t="shared" ref="AQ420:BC420" si="249">SUM(AQ421:AQ426)</f>
        <v>0</v>
      </c>
      <c r="AR420" s="396">
        <f t="shared" si="249"/>
        <v>0</v>
      </c>
      <c r="AS420" s="396">
        <f t="shared" si="249"/>
        <v>0</v>
      </c>
      <c r="AT420" s="397">
        <f t="shared" si="249"/>
        <v>0</v>
      </c>
      <c r="AU420" s="397">
        <f t="shared" si="249"/>
        <v>0</v>
      </c>
      <c r="AV420" s="397">
        <f t="shared" si="249"/>
        <v>0</v>
      </c>
      <c r="AW420" s="397">
        <f t="shared" si="249"/>
        <v>0</v>
      </c>
      <c r="AX420" s="397">
        <f t="shared" si="249"/>
        <v>0</v>
      </c>
      <c r="AY420" s="397">
        <f t="shared" si="249"/>
        <v>0</v>
      </c>
      <c r="AZ420" s="397">
        <f t="shared" si="249"/>
        <v>0</v>
      </c>
      <c r="BA420" s="397">
        <f t="shared" si="249"/>
        <v>0</v>
      </c>
      <c r="BB420" s="397">
        <f t="shared" si="249"/>
        <v>0</v>
      </c>
      <c r="BC420" s="397">
        <f t="shared" si="249"/>
        <v>0</v>
      </c>
      <c r="BD420" s="398"/>
      <c r="BE420" s="398"/>
      <c r="BF420" s="398"/>
      <c r="BG420" s="520"/>
      <c r="BH420" s="399"/>
      <c r="BI420" s="399" t="e">
        <f t="shared" si="235"/>
        <v>#DIV/0!</v>
      </c>
    </row>
    <row r="421" spans="1:61" s="359" customFormat="1" ht="19.2" x14ac:dyDescent="0.3">
      <c r="A421" s="360" t="s">
        <v>179</v>
      </c>
      <c r="B421" s="513" t="s">
        <v>252</v>
      </c>
      <c r="C421" s="433" t="s">
        <v>370</v>
      </c>
      <c r="D421" s="361">
        <v>6</v>
      </c>
      <c r="E421" s="400"/>
      <c r="F421" s="400">
        <v>149</v>
      </c>
      <c r="G421" s="400">
        <v>149</v>
      </c>
      <c r="H421" s="419">
        <v>1749.223</v>
      </c>
      <c r="I421" s="401">
        <v>1632.845</v>
      </c>
      <c r="J421" s="401">
        <v>1614.7670000000001</v>
      </c>
      <c r="K421" s="401">
        <v>18.077999999999999</v>
      </c>
      <c r="L421" s="401">
        <v>35.875999999999998</v>
      </c>
      <c r="M421" s="401">
        <v>0</v>
      </c>
      <c r="N421" s="401">
        <v>0</v>
      </c>
      <c r="O421" s="401">
        <v>29.138999999999999</v>
      </c>
      <c r="P421" s="401">
        <v>1614.7670000000001</v>
      </c>
      <c r="Q421" s="401">
        <v>1632.845</v>
      </c>
      <c r="R421" s="385" t="s">
        <v>167</v>
      </c>
      <c r="S421" s="439" t="s">
        <v>175</v>
      </c>
      <c r="T421" s="389"/>
      <c r="U421" s="521">
        <v>266</v>
      </c>
      <c r="V421" s="402"/>
      <c r="W421" s="402">
        <f t="shared" si="242"/>
        <v>11.739751677852349</v>
      </c>
      <c r="X421" s="400"/>
      <c r="Y421" s="400"/>
      <c r="Z421" s="400"/>
      <c r="AA421" s="419"/>
      <c r="AB421" s="401"/>
      <c r="AC421" s="401"/>
      <c r="AD421" s="401"/>
      <c r="AE421" s="401"/>
      <c r="AF421" s="401"/>
      <c r="AG421" s="401"/>
      <c r="AH421" s="401"/>
      <c r="AI421" s="401"/>
      <c r="AJ421" s="401"/>
      <c r="AK421" s="385"/>
      <c r="AL421" s="439"/>
      <c r="AM421" s="389"/>
      <c r="AN421" s="521"/>
      <c r="AO421" s="402"/>
      <c r="AP421" s="402" t="e">
        <f t="shared" si="243"/>
        <v>#DIV/0!</v>
      </c>
      <c r="AQ421" s="400"/>
      <c r="AR421" s="400"/>
      <c r="AS421" s="400"/>
      <c r="AT421" s="419"/>
      <c r="AU421" s="401"/>
      <c r="AV421" s="401"/>
      <c r="AW421" s="401"/>
      <c r="AX421" s="401"/>
      <c r="AY421" s="401"/>
      <c r="AZ421" s="401"/>
      <c r="BA421" s="401"/>
      <c r="BB421" s="401"/>
      <c r="BC421" s="401"/>
      <c r="BD421" s="385"/>
      <c r="BE421" s="439"/>
      <c r="BF421" s="389"/>
      <c r="BG421" s="521"/>
      <c r="BH421" s="402"/>
      <c r="BI421" s="402" t="e">
        <f t="shared" si="235"/>
        <v>#DIV/0!</v>
      </c>
    </row>
    <row r="422" spans="1:61" s="359" customFormat="1" ht="19.2" x14ac:dyDescent="0.3">
      <c r="A422" s="360" t="s">
        <v>179</v>
      </c>
      <c r="B422" s="543" t="s">
        <v>557</v>
      </c>
      <c r="C422" s="433" t="s">
        <v>467</v>
      </c>
      <c r="D422" s="361">
        <v>6</v>
      </c>
      <c r="E422" s="407"/>
      <c r="F422" s="404"/>
      <c r="G422" s="400"/>
      <c r="H422" s="401"/>
      <c r="I422" s="401"/>
      <c r="J422" s="401"/>
      <c r="K422" s="401"/>
      <c r="L422" s="401"/>
      <c r="M422" s="401"/>
      <c r="N422" s="401"/>
      <c r="O422" s="401"/>
      <c r="P422" s="401"/>
      <c r="Q422" s="401"/>
      <c r="R422" s="389"/>
      <c r="S422" s="389"/>
      <c r="T422" s="389"/>
      <c r="U422" s="521"/>
      <c r="V422" s="402"/>
      <c r="W422" s="402" t="e">
        <f t="shared" si="242"/>
        <v>#DIV/0!</v>
      </c>
      <c r="X422" s="407"/>
      <c r="Y422" s="404">
        <v>200</v>
      </c>
      <c r="Z422" s="400">
        <v>200</v>
      </c>
      <c r="AA422" s="545">
        <v>1965.5469900000001</v>
      </c>
      <c r="AB422" s="401">
        <v>1774.9108699999999</v>
      </c>
      <c r="AC422" s="401">
        <v>1727.3351600000001</v>
      </c>
      <c r="AD422" s="401">
        <f>5.46765+1.35214+6.28676+4.10942</f>
        <v>17.215969999999999</v>
      </c>
      <c r="AE422" s="401">
        <v>85.493390000000005</v>
      </c>
      <c r="AF422" s="401">
        <v>0</v>
      </c>
      <c r="AG422" s="401">
        <v>0</v>
      </c>
      <c r="AH422" s="401">
        <v>41.951779999999999</v>
      </c>
      <c r="AI422" s="401">
        <v>1727.3351600000001</v>
      </c>
      <c r="AJ422" s="401">
        <v>1727.3351600000001</v>
      </c>
      <c r="AK422" s="385" t="s">
        <v>167</v>
      </c>
      <c r="AL422" s="439" t="s">
        <v>175</v>
      </c>
      <c r="AM422" s="389"/>
      <c r="AN422" s="521">
        <v>318</v>
      </c>
      <c r="AO422" s="402"/>
      <c r="AP422" s="402">
        <f t="shared" si="243"/>
        <v>9.82773495</v>
      </c>
      <c r="AQ422" s="407"/>
      <c r="AR422" s="587"/>
      <c r="AS422" s="400"/>
      <c r="AT422" s="545"/>
      <c r="AU422" s="401"/>
      <c r="AV422" s="401"/>
      <c r="AW422" s="401"/>
      <c r="AX422" s="401"/>
      <c r="AY422" s="401"/>
      <c r="AZ422" s="401"/>
      <c r="BA422" s="401"/>
      <c r="BB422" s="401"/>
      <c r="BC422" s="401"/>
      <c r="BD422" s="385"/>
      <c r="BE422" s="439"/>
      <c r="BF422" s="389"/>
      <c r="BG422" s="521"/>
      <c r="BH422" s="402"/>
      <c r="BI422" s="402" t="e">
        <f t="shared" si="235"/>
        <v>#DIV/0!</v>
      </c>
    </row>
    <row r="423" spans="1:61" s="359" customFormat="1" x14ac:dyDescent="0.3">
      <c r="A423" s="360"/>
      <c r="B423" s="382"/>
      <c r="C423" s="433"/>
      <c r="D423" s="361">
        <v>6</v>
      </c>
      <c r="E423" s="407"/>
      <c r="F423" s="404"/>
      <c r="G423" s="400"/>
      <c r="H423" s="401"/>
      <c r="I423" s="401"/>
      <c r="J423" s="401"/>
      <c r="K423" s="401"/>
      <c r="L423" s="401"/>
      <c r="M423" s="401"/>
      <c r="N423" s="401"/>
      <c r="O423" s="401"/>
      <c r="P423" s="401"/>
      <c r="Q423" s="401"/>
      <c r="R423" s="389"/>
      <c r="S423" s="389"/>
      <c r="T423" s="389"/>
      <c r="U423" s="521"/>
      <c r="V423" s="402"/>
      <c r="W423" s="402"/>
      <c r="X423" s="407"/>
      <c r="Y423" s="404"/>
      <c r="Z423" s="400"/>
      <c r="AA423" s="401"/>
      <c r="AB423" s="401"/>
      <c r="AC423" s="401"/>
      <c r="AD423" s="401"/>
      <c r="AE423" s="401"/>
      <c r="AF423" s="401"/>
      <c r="AG423" s="401"/>
      <c r="AH423" s="401"/>
      <c r="AI423" s="401"/>
      <c r="AJ423" s="401"/>
      <c r="AK423" s="385"/>
      <c r="AL423" s="439"/>
      <c r="AM423" s="389"/>
      <c r="AN423" s="521"/>
      <c r="AO423" s="402"/>
      <c r="AP423" s="402"/>
      <c r="AQ423" s="407"/>
      <c r="AR423" s="587"/>
      <c r="AS423" s="400"/>
      <c r="AT423" s="401"/>
      <c r="AU423" s="401"/>
      <c r="AV423" s="401"/>
      <c r="AW423" s="401"/>
      <c r="AX423" s="401"/>
      <c r="AY423" s="401"/>
      <c r="AZ423" s="401"/>
      <c r="BA423" s="401"/>
      <c r="BB423" s="401"/>
      <c r="BC423" s="401"/>
      <c r="BD423" s="385"/>
      <c r="BE423" s="439"/>
      <c r="BF423" s="389"/>
      <c r="BG423" s="521"/>
      <c r="BH423" s="402"/>
      <c r="BI423" s="402" t="e">
        <f t="shared" si="235"/>
        <v>#DIV/0!</v>
      </c>
    </row>
    <row r="424" spans="1:61" s="359" customFormat="1" x14ac:dyDescent="0.3">
      <c r="A424" s="360"/>
      <c r="B424" s="382"/>
      <c r="C424" s="433"/>
      <c r="D424" s="361">
        <v>6</v>
      </c>
      <c r="E424" s="407"/>
      <c r="F424" s="404"/>
      <c r="G424" s="400"/>
      <c r="H424" s="401"/>
      <c r="I424" s="401"/>
      <c r="J424" s="401"/>
      <c r="K424" s="401"/>
      <c r="L424" s="401"/>
      <c r="M424" s="401"/>
      <c r="N424" s="401"/>
      <c r="O424" s="401"/>
      <c r="P424" s="401"/>
      <c r="Q424" s="401"/>
      <c r="R424" s="389"/>
      <c r="S424" s="389"/>
      <c r="T424" s="389"/>
      <c r="U424" s="521"/>
      <c r="V424" s="402"/>
      <c r="W424" s="402"/>
      <c r="X424" s="407"/>
      <c r="Y424" s="404"/>
      <c r="Z424" s="400"/>
      <c r="AA424" s="401"/>
      <c r="AB424" s="401"/>
      <c r="AC424" s="401"/>
      <c r="AD424" s="401"/>
      <c r="AE424" s="401"/>
      <c r="AF424" s="401"/>
      <c r="AG424" s="401"/>
      <c r="AH424" s="401"/>
      <c r="AI424" s="401"/>
      <c r="AJ424" s="401"/>
      <c r="AK424" s="385"/>
      <c r="AL424" s="439"/>
      <c r="AM424" s="389"/>
      <c r="AN424" s="521"/>
      <c r="AO424" s="402"/>
      <c r="AP424" s="402"/>
      <c r="AQ424" s="407"/>
      <c r="AR424" s="587"/>
      <c r="AS424" s="400"/>
      <c r="AT424" s="401"/>
      <c r="AU424" s="401"/>
      <c r="AV424" s="401"/>
      <c r="AW424" s="401"/>
      <c r="AX424" s="401"/>
      <c r="AY424" s="401"/>
      <c r="AZ424" s="401"/>
      <c r="BA424" s="401"/>
      <c r="BB424" s="401"/>
      <c r="BC424" s="401"/>
      <c r="BD424" s="385"/>
      <c r="BE424" s="439"/>
      <c r="BF424" s="389"/>
      <c r="BG424" s="521"/>
      <c r="BH424" s="402"/>
      <c r="BI424" s="402" t="e">
        <f t="shared" si="235"/>
        <v>#DIV/0!</v>
      </c>
    </row>
    <row r="425" spans="1:61" s="359" customFormat="1" x14ac:dyDescent="0.3">
      <c r="A425" s="360"/>
      <c r="B425" s="382"/>
      <c r="C425" s="433"/>
      <c r="D425" s="361">
        <v>6</v>
      </c>
      <c r="E425" s="407"/>
      <c r="F425" s="404"/>
      <c r="G425" s="400"/>
      <c r="H425" s="401"/>
      <c r="I425" s="401"/>
      <c r="J425" s="401"/>
      <c r="K425" s="401"/>
      <c r="L425" s="401"/>
      <c r="M425" s="401"/>
      <c r="N425" s="401"/>
      <c r="O425" s="401"/>
      <c r="P425" s="401"/>
      <c r="Q425" s="401"/>
      <c r="R425" s="389"/>
      <c r="S425" s="389"/>
      <c r="T425" s="389"/>
      <c r="U425" s="521"/>
      <c r="V425" s="402"/>
      <c r="W425" s="402"/>
      <c r="X425" s="407"/>
      <c r="Y425" s="404"/>
      <c r="Z425" s="400"/>
      <c r="AA425" s="401"/>
      <c r="AB425" s="401"/>
      <c r="AC425" s="401"/>
      <c r="AD425" s="401"/>
      <c r="AE425" s="401"/>
      <c r="AF425" s="401"/>
      <c r="AG425" s="401"/>
      <c r="AH425" s="401"/>
      <c r="AI425" s="401"/>
      <c r="AJ425" s="401"/>
      <c r="AK425" s="385"/>
      <c r="AL425" s="439"/>
      <c r="AM425" s="389"/>
      <c r="AN425" s="521"/>
      <c r="AO425" s="402"/>
      <c r="AP425" s="402"/>
      <c r="AQ425" s="407"/>
      <c r="AR425" s="587"/>
      <c r="AS425" s="400"/>
      <c r="AT425" s="401"/>
      <c r="AU425" s="401"/>
      <c r="AV425" s="401"/>
      <c r="AW425" s="401"/>
      <c r="AX425" s="401"/>
      <c r="AY425" s="401"/>
      <c r="AZ425" s="401"/>
      <c r="BA425" s="401"/>
      <c r="BB425" s="401"/>
      <c r="BC425" s="401"/>
      <c r="BD425" s="385"/>
      <c r="BE425" s="439"/>
      <c r="BF425" s="389"/>
      <c r="BG425" s="521"/>
      <c r="BH425" s="402"/>
      <c r="BI425" s="402" t="e">
        <f t="shared" si="235"/>
        <v>#DIV/0!</v>
      </c>
    </row>
    <row r="426" spans="1:61" s="359" customFormat="1" ht="13.2" customHeight="1" x14ac:dyDescent="0.3">
      <c r="A426" s="360"/>
      <c r="B426" s="382"/>
      <c r="C426" s="433"/>
      <c r="D426" s="361"/>
      <c r="E426" s="407"/>
      <c r="F426" s="404"/>
      <c r="G426" s="400"/>
      <c r="H426" s="401"/>
      <c r="I426" s="401"/>
      <c r="J426" s="401"/>
      <c r="K426" s="401"/>
      <c r="L426" s="401"/>
      <c r="M426" s="401"/>
      <c r="N426" s="401"/>
      <c r="O426" s="401"/>
      <c r="P426" s="401"/>
      <c r="Q426" s="401"/>
      <c r="R426" s="389"/>
      <c r="S426" s="389"/>
      <c r="T426" s="389"/>
      <c r="U426" s="521"/>
      <c r="V426" s="402"/>
      <c r="W426" s="402" t="e">
        <f t="shared" ref="W426:W433" si="250">H426/F426</f>
        <v>#DIV/0!</v>
      </c>
      <c r="X426" s="407"/>
      <c r="Y426" s="404"/>
      <c r="Z426" s="400"/>
      <c r="AA426" s="401"/>
      <c r="AB426" s="401"/>
      <c r="AC426" s="401"/>
      <c r="AD426" s="401"/>
      <c r="AE426" s="401"/>
      <c r="AF426" s="401"/>
      <c r="AG426" s="401"/>
      <c r="AH426" s="401"/>
      <c r="AI426" s="401"/>
      <c r="AJ426" s="401"/>
      <c r="AK426" s="389"/>
      <c r="AL426" s="389"/>
      <c r="AM426" s="389"/>
      <c r="AN426" s="521"/>
      <c r="AO426" s="402"/>
      <c r="AP426" s="402" t="e">
        <f t="shared" ref="AP426:AP433" si="251">AA426/Y426</f>
        <v>#DIV/0!</v>
      </c>
      <c r="AQ426" s="407"/>
      <c r="AR426" s="587"/>
      <c r="AS426" s="400"/>
      <c r="AT426" s="401"/>
      <c r="AU426" s="401"/>
      <c r="AV426" s="401"/>
      <c r="AW426" s="401"/>
      <c r="AX426" s="401"/>
      <c r="AY426" s="401"/>
      <c r="AZ426" s="401"/>
      <c r="BA426" s="401"/>
      <c r="BB426" s="401"/>
      <c r="BC426" s="401"/>
      <c r="BD426" s="389"/>
      <c r="BE426" s="389"/>
      <c r="BF426" s="389"/>
      <c r="BG426" s="521"/>
      <c r="BH426" s="402"/>
      <c r="BI426" s="402" t="e">
        <f t="shared" si="235"/>
        <v>#DIV/0!</v>
      </c>
    </row>
    <row r="427" spans="1:61" s="359" customFormat="1" ht="94.2" customHeight="1" x14ac:dyDescent="0.3">
      <c r="A427" s="470" t="s">
        <v>224</v>
      </c>
      <c r="B427" s="471" t="s">
        <v>227</v>
      </c>
      <c r="C427" s="472"/>
      <c r="D427" s="473"/>
      <c r="E427" s="474">
        <f t="shared" ref="E427:Q427" si="252">E428</f>
        <v>0</v>
      </c>
      <c r="F427" s="474">
        <f t="shared" si="252"/>
        <v>0</v>
      </c>
      <c r="G427" s="474">
        <f t="shared" si="252"/>
        <v>0</v>
      </c>
      <c r="H427" s="475">
        <f t="shared" si="252"/>
        <v>0</v>
      </c>
      <c r="I427" s="475">
        <f t="shared" si="252"/>
        <v>0</v>
      </c>
      <c r="J427" s="475">
        <f t="shared" si="252"/>
        <v>0</v>
      </c>
      <c r="K427" s="475">
        <f t="shared" si="252"/>
        <v>0</v>
      </c>
      <c r="L427" s="475">
        <f t="shared" si="252"/>
        <v>0</v>
      </c>
      <c r="M427" s="475">
        <f t="shared" si="252"/>
        <v>0</v>
      </c>
      <c r="N427" s="475">
        <f t="shared" si="252"/>
        <v>0</v>
      </c>
      <c r="O427" s="475">
        <f t="shared" si="252"/>
        <v>0</v>
      </c>
      <c r="P427" s="475">
        <f t="shared" si="252"/>
        <v>0</v>
      </c>
      <c r="Q427" s="475">
        <f t="shared" si="252"/>
        <v>0</v>
      </c>
      <c r="R427" s="476"/>
      <c r="S427" s="476"/>
      <c r="T427" s="476"/>
      <c r="U427" s="524"/>
      <c r="V427" s="477"/>
      <c r="W427" s="477" t="e">
        <f t="shared" si="250"/>
        <v>#DIV/0!</v>
      </c>
      <c r="X427" s="474">
        <f t="shared" ref="X427:AJ427" si="253">X428</f>
        <v>0</v>
      </c>
      <c r="Y427" s="474">
        <f t="shared" si="253"/>
        <v>0</v>
      </c>
      <c r="Z427" s="474">
        <f t="shared" si="253"/>
        <v>0</v>
      </c>
      <c r="AA427" s="475">
        <f t="shared" si="253"/>
        <v>0</v>
      </c>
      <c r="AB427" s="475">
        <f t="shared" si="253"/>
        <v>0</v>
      </c>
      <c r="AC427" s="475">
        <f t="shared" si="253"/>
        <v>0</v>
      </c>
      <c r="AD427" s="475">
        <f t="shared" si="253"/>
        <v>0</v>
      </c>
      <c r="AE427" s="475">
        <f t="shared" si="253"/>
        <v>0</v>
      </c>
      <c r="AF427" s="475">
        <f t="shared" si="253"/>
        <v>0</v>
      </c>
      <c r="AG427" s="475">
        <f t="shared" si="253"/>
        <v>0</v>
      </c>
      <c r="AH427" s="475">
        <f t="shared" si="253"/>
        <v>0</v>
      </c>
      <c r="AI427" s="475">
        <f t="shared" si="253"/>
        <v>0</v>
      </c>
      <c r="AJ427" s="475">
        <f t="shared" si="253"/>
        <v>0</v>
      </c>
      <c r="AK427" s="476"/>
      <c r="AL427" s="476"/>
      <c r="AM427" s="476"/>
      <c r="AN427" s="524"/>
      <c r="AO427" s="477"/>
      <c r="AP427" s="477" t="e">
        <f t="shared" si="251"/>
        <v>#DIV/0!</v>
      </c>
      <c r="AQ427" s="474">
        <f t="shared" ref="AQ427:BC427" si="254">AQ428</f>
        <v>0</v>
      </c>
      <c r="AR427" s="474">
        <f t="shared" si="254"/>
        <v>0</v>
      </c>
      <c r="AS427" s="474">
        <f t="shared" si="254"/>
        <v>0</v>
      </c>
      <c r="AT427" s="475">
        <f t="shared" si="254"/>
        <v>0</v>
      </c>
      <c r="AU427" s="475">
        <f t="shared" si="254"/>
        <v>0</v>
      </c>
      <c r="AV427" s="475">
        <f t="shared" si="254"/>
        <v>0</v>
      </c>
      <c r="AW427" s="475">
        <f t="shared" si="254"/>
        <v>0</v>
      </c>
      <c r="AX427" s="475">
        <f t="shared" si="254"/>
        <v>0</v>
      </c>
      <c r="AY427" s="475">
        <f t="shared" si="254"/>
        <v>0</v>
      </c>
      <c r="AZ427" s="475">
        <f t="shared" si="254"/>
        <v>0</v>
      </c>
      <c r="BA427" s="475">
        <f t="shared" si="254"/>
        <v>0</v>
      </c>
      <c r="BB427" s="475">
        <f t="shared" si="254"/>
        <v>0</v>
      </c>
      <c r="BC427" s="475">
        <f t="shared" si="254"/>
        <v>0</v>
      </c>
      <c r="BD427" s="476"/>
      <c r="BE427" s="476"/>
      <c r="BF427" s="476"/>
      <c r="BG427" s="524"/>
      <c r="BH427" s="477"/>
      <c r="BI427" s="477" t="e">
        <f t="shared" si="235"/>
        <v>#DIV/0!</v>
      </c>
    </row>
    <row r="428" spans="1:61" s="359" customFormat="1" ht="24.75" customHeight="1" x14ac:dyDescent="0.3">
      <c r="A428" s="355" t="s">
        <v>179</v>
      </c>
      <c r="B428" s="356" t="s">
        <v>228</v>
      </c>
      <c r="C428" s="432"/>
      <c r="D428" s="357">
        <v>6</v>
      </c>
      <c r="E428" s="396">
        <f t="shared" ref="E428:Q428" si="255">SUM(E429:E429)</f>
        <v>0</v>
      </c>
      <c r="F428" s="396">
        <f t="shared" si="255"/>
        <v>0</v>
      </c>
      <c r="G428" s="396">
        <f t="shared" si="255"/>
        <v>0</v>
      </c>
      <c r="H428" s="397">
        <f t="shared" si="255"/>
        <v>0</v>
      </c>
      <c r="I428" s="397">
        <f t="shared" si="255"/>
        <v>0</v>
      </c>
      <c r="J428" s="397">
        <f t="shared" si="255"/>
        <v>0</v>
      </c>
      <c r="K428" s="397">
        <f t="shared" si="255"/>
        <v>0</v>
      </c>
      <c r="L428" s="397">
        <f t="shared" si="255"/>
        <v>0</v>
      </c>
      <c r="M428" s="397">
        <f t="shared" si="255"/>
        <v>0</v>
      </c>
      <c r="N428" s="397">
        <f t="shared" si="255"/>
        <v>0</v>
      </c>
      <c r="O428" s="397">
        <f t="shared" si="255"/>
        <v>0</v>
      </c>
      <c r="P428" s="397">
        <f t="shared" si="255"/>
        <v>0</v>
      </c>
      <c r="Q428" s="397">
        <f t="shared" si="255"/>
        <v>0</v>
      </c>
      <c r="R428" s="398"/>
      <c r="S428" s="398"/>
      <c r="T428" s="398"/>
      <c r="U428" s="520"/>
      <c r="V428" s="399"/>
      <c r="W428" s="399" t="e">
        <f t="shared" si="250"/>
        <v>#DIV/0!</v>
      </c>
      <c r="X428" s="396">
        <f t="shared" ref="X428:AJ428" si="256">SUM(X429:X429)</f>
        <v>0</v>
      </c>
      <c r="Y428" s="396">
        <f t="shared" si="256"/>
        <v>0</v>
      </c>
      <c r="Z428" s="396">
        <f t="shared" si="256"/>
        <v>0</v>
      </c>
      <c r="AA428" s="397">
        <f t="shared" si="256"/>
        <v>0</v>
      </c>
      <c r="AB428" s="397">
        <f t="shared" si="256"/>
        <v>0</v>
      </c>
      <c r="AC428" s="397">
        <f t="shared" si="256"/>
        <v>0</v>
      </c>
      <c r="AD428" s="397">
        <f t="shared" si="256"/>
        <v>0</v>
      </c>
      <c r="AE428" s="397">
        <f t="shared" si="256"/>
        <v>0</v>
      </c>
      <c r="AF428" s="397">
        <f t="shared" si="256"/>
        <v>0</v>
      </c>
      <c r="AG428" s="397">
        <f t="shared" si="256"/>
        <v>0</v>
      </c>
      <c r="AH428" s="397">
        <f t="shared" si="256"/>
        <v>0</v>
      </c>
      <c r="AI428" s="397">
        <f t="shared" si="256"/>
        <v>0</v>
      </c>
      <c r="AJ428" s="397">
        <f t="shared" si="256"/>
        <v>0</v>
      </c>
      <c r="AK428" s="398"/>
      <c r="AL428" s="398"/>
      <c r="AM428" s="398"/>
      <c r="AN428" s="520"/>
      <c r="AO428" s="399"/>
      <c r="AP428" s="399" t="e">
        <f t="shared" si="251"/>
        <v>#DIV/0!</v>
      </c>
      <c r="AQ428" s="396">
        <f t="shared" ref="AQ428:BC428" si="257">SUM(AQ429:AQ429)</f>
        <v>0</v>
      </c>
      <c r="AR428" s="396">
        <f t="shared" si="257"/>
        <v>0</v>
      </c>
      <c r="AS428" s="396">
        <f t="shared" si="257"/>
        <v>0</v>
      </c>
      <c r="AT428" s="397">
        <f t="shared" si="257"/>
        <v>0</v>
      </c>
      <c r="AU428" s="397">
        <f t="shared" si="257"/>
        <v>0</v>
      </c>
      <c r="AV428" s="397">
        <f t="shared" si="257"/>
        <v>0</v>
      </c>
      <c r="AW428" s="397">
        <f t="shared" si="257"/>
        <v>0</v>
      </c>
      <c r="AX428" s="397">
        <f t="shared" si="257"/>
        <v>0</v>
      </c>
      <c r="AY428" s="397">
        <f t="shared" si="257"/>
        <v>0</v>
      </c>
      <c r="AZ428" s="397">
        <f t="shared" si="257"/>
        <v>0</v>
      </c>
      <c r="BA428" s="397">
        <f t="shared" si="257"/>
        <v>0</v>
      </c>
      <c r="BB428" s="397">
        <f t="shared" si="257"/>
        <v>0</v>
      </c>
      <c r="BC428" s="397">
        <f t="shared" si="257"/>
        <v>0</v>
      </c>
      <c r="BD428" s="398"/>
      <c r="BE428" s="398"/>
      <c r="BF428" s="398"/>
      <c r="BG428" s="520"/>
      <c r="BH428" s="399"/>
      <c r="BI428" s="399" t="e">
        <f t="shared" si="235"/>
        <v>#DIV/0!</v>
      </c>
    </row>
    <row r="429" spans="1:61" s="359" customFormat="1" x14ac:dyDescent="0.3">
      <c r="A429" s="360"/>
      <c r="B429" s="382"/>
      <c r="C429" s="433"/>
      <c r="D429" s="361"/>
      <c r="E429" s="400"/>
      <c r="F429" s="404"/>
      <c r="G429" s="400"/>
      <c r="H429" s="401"/>
      <c r="I429" s="401"/>
      <c r="J429" s="401"/>
      <c r="K429" s="401"/>
      <c r="L429" s="401"/>
      <c r="M429" s="401"/>
      <c r="N429" s="401"/>
      <c r="O429" s="401"/>
      <c r="P429" s="401"/>
      <c r="Q429" s="401"/>
      <c r="R429" s="389"/>
      <c r="S429" s="389"/>
      <c r="T429" s="389"/>
      <c r="U429" s="521"/>
      <c r="V429" s="402"/>
      <c r="W429" s="402" t="e">
        <f t="shared" si="250"/>
        <v>#DIV/0!</v>
      </c>
      <c r="X429" s="400"/>
      <c r="Y429" s="404"/>
      <c r="Z429" s="400"/>
      <c r="AA429" s="401"/>
      <c r="AB429" s="401"/>
      <c r="AC429" s="401"/>
      <c r="AD429" s="401"/>
      <c r="AE429" s="401"/>
      <c r="AF429" s="401"/>
      <c r="AG429" s="401"/>
      <c r="AH429" s="401"/>
      <c r="AI429" s="401"/>
      <c r="AJ429" s="401"/>
      <c r="AK429" s="389"/>
      <c r="AL429" s="389"/>
      <c r="AM429" s="389"/>
      <c r="AN429" s="521"/>
      <c r="AO429" s="402"/>
      <c r="AP429" s="402" t="e">
        <f t="shared" si="251"/>
        <v>#DIV/0!</v>
      </c>
      <c r="AQ429" s="400"/>
      <c r="AR429" s="587"/>
      <c r="AS429" s="400"/>
      <c r="AT429" s="401"/>
      <c r="AU429" s="401"/>
      <c r="AV429" s="401"/>
      <c r="AW429" s="401"/>
      <c r="AX429" s="401"/>
      <c r="AY429" s="401"/>
      <c r="AZ429" s="401"/>
      <c r="BA429" s="401"/>
      <c r="BB429" s="401"/>
      <c r="BC429" s="401"/>
      <c r="BD429" s="389"/>
      <c r="BE429" s="389"/>
      <c r="BF429" s="389"/>
      <c r="BG429" s="521"/>
      <c r="BH429" s="402"/>
      <c r="BI429" s="402" t="e">
        <f t="shared" si="235"/>
        <v>#DIV/0!</v>
      </c>
    </row>
    <row r="430" spans="1:61" s="359" customFormat="1" ht="91.2" customHeight="1" x14ac:dyDescent="0.3">
      <c r="A430" s="470" t="s">
        <v>386</v>
      </c>
      <c r="B430" s="471" t="s">
        <v>387</v>
      </c>
      <c r="C430" s="472"/>
      <c r="D430" s="473"/>
      <c r="E430" s="474">
        <f t="shared" ref="E430:Q430" si="258">E431+E438+E443</f>
        <v>0</v>
      </c>
      <c r="F430" s="474">
        <f t="shared" si="258"/>
        <v>385</v>
      </c>
      <c r="G430" s="474">
        <f t="shared" si="258"/>
        <v>385</v>
      </c>
      <c r="H430" s="475">
        <f t="shared" si="258"/>
        <v>2409.5259999999998</v>
      </c>
      <c r="I430" s="475">
        <f t="shared" si="258"/>
        <v>2301.692</v>
      </c>
      <c r="J430" s="475">
        <f t="shared" si="258"/>
        <v>2227.0574799999999</v>
      </c>
      <c r="K430" s="475">
        <f t="shared" si="258"/>
        <v>2227.0574799999999</v>
      </c>
      <c r="L430" s="475">
        <f t="shared" si="258"/>
        <v>36.921999999999997</v>
      </c>
      <c r="M430" s="475">
        <f t="shared" si="258"/>
        <v>0</v>
      </c>
      <c r="N430" s="475">
        <f t="shared" si="258"/>
        <v>0</v>
      </c>
      <c r="O430" s="475">
        <f t="shared" si="258"/>
        <v>27.088000000000001</v>
      </c>
      <c r="P430" s="475">
        <f t="shared" si="258"/>
        <v>2227.0574799999999</v>
      </c>
      <c r="Q430" s="475">
        <f t="shared" si="258"/>
        <v>2227.0574799999999</v>
      </c>
      <c r="R430" s="476"/>
      <c r="S430" s="476"/>
      <c r="T430" s="476"/>
      <c r="U430" s="524"/>
      <c r="V430" s="477"/>
      <c r="W430" s="477">
        <f t="shared" si="250"/>
        <v>6.2585090909090901</v>
      </c>
      <c r="X430" s="474">
        <f t="shared" ref="X430:AJ430" si="259">X431+X438+X443</f>
        <v>0</v>
      </c>
      <c r="Y430" s="474">
        <f t="shared" si="259"/>
        <v>426.25</v>
      </c>
      <c r="Z430" s="474">
        <f t="shared" si="259"/>
        <v>426.25</v>
      </c>
      <c r="AA430" s="475">
        <f t="shared" si="259"/>
        <v>2510.3751499999998</v>
      </c>
      <c r="AB430" s="475">
        <f t="shared" si="259"/>
        <v>2345.4184399999999</v>
      </c>
      <c r="AC430" s="475">
        <f t="shared" si="259"/>
        <v>2324.1667000000002</v>
      </c>
      <c r="AD430" s="475">
        <f t="shared" si="259"/>
        <v>2324.1667000000002</v>
      </c>
      <c r="AE430" s="475">
        <f t="shared" si="259"/>
        <v>42.279919999999997</v>
      </c>
      <c r="AF430" s="475">
        <f t="shared" si="259"/>
        <v>0</v>
      </c>
      <c r="AG430" s="475">
        <f t="shared" si="259"/>
        <v>0</v>
      </c>
      <c r="AH430" s="475">
        <f t="shared" si="259"/>
        <v>39.942639999999997</v>
      </c>
      <c r="AI430" s="475">
        <f t="shared" si="259"/>
        <v>2324.1667000000002</v>
      </c>
      <c r="AJ430" s="475">
        <f t="shared" si="259"/>
        <v>2324.1667000000002</v>
      </c>
      <c r="AK430" s="476"/>
      <c r="AL430" s="476"/>
      <c r="AM430" s="476"/>
      <c r="AN430" s="524"/>
      <c r="AO430" s="477"/>
      <c r="AP430" s="477">
        <f t="shared" si="251"/>
        <v>5.8894431671554246</v>
      </c>
      <c r="AQ430" s="474">
        <f t="shared" ref="AQ430:BC430" si="260">AQ431+AQ438+AQ443</f>
        <v>0</v>
      </c>
      <c r="AR430" s="474">
        <f t="shared" si="260"/>
        <v>420</v>
      </c>
      <c r="AS430" s="474">
        <f t="shared" si="260"/>
        <v>420</v>
      </c>
      <c r="AT430" s="475">
        <f t="shared" si="260"/>
        <v>2607.7845900000002</v>
      </c>
      <c r="AU430" s="475">
        <f t="shared" si="260"/>
        <v>2025.3033399999999</v>
      </c>
      <c r="AV430" s="475">
        <f t="shared" si="260"/>
        <v>2227.0574799999999</v>
      </c>
      <c r="AW430" s="475">
        <f t="shared" si="260"/>
        <v>20.255549999999999</v>
      </c>
      <c r="AX430" s="475">
        <f t="shared" si="260"/>
        <v>126.67733</v>
      </c>
      <c r="AY430" s="475">
        <f t="shared" si="260"/>
        <v>0</v>
      </c>
      <c r="AZ430" s="475">
        <f t="shared" si="260"/>
        <v>0</v>
      </c>
      <c r="BA430" s="475">
        <f t="shared" si="260"/>
        <v>85.121949999999998</v>
      </c>
      <c r="BB430" s="475">
        <f t="shared" si="260"/>
        <v>2227.0574799999999</v>
      </c>
      <c r="BC430" s="475">
        <f t="shared" si="260"/>
        <v>5.7616300000000003</v>
      </c>
      <c r="BD430" s="476"/>
      <c r="BE430" s="476"/>
      <c r="BF430" s="476"/>
      <c r="BG430" s="524"/>
      <c r="BH430" s="477"/>
      <c r="BI430" s="477">
        <f t="shared" si="235"/>
        <v>6.2090109285714288</v>
      </c>
    </row>
    <row r="431" spans="1:61" s="359" customFormat="1" ht="24.75" customHeight="1" x14ac:dyDescent="0.3">
      <c r="A431" s="355" t="s">
        <v>179</v>
      </c>
      <c r="B431" s="356" t="s">
        <v>229</v>
      </c>
      <c r="C431" s="432"/>
      <c r="D431" s="357">
        <v>6</v>
      </c>
      <c r="E431" s="396">
        <f t="shared" ref="E431:Q431" si="261">SUM(E432:E437)</f>
        <v>0</v>
      </c>
      <c r="F431" s="396">
        <f t="shared" si="261"/>
        <v>385</v>
      </c>
      <c r="G431" s="396">
        <f t="shared" si="261"/>
        <v>385</v>
      </c>
      <c r="H431" s="397">
        <f t="shared" si="261"/>
        <v>2409.5259999999998</v>
      </c>
      <c r="I431" s="397">
        <f t="shared" si="261"/>
        <v>2301.692</v>
      </c>
      <c r="J431" s="397">
        <f t="shared" si="261"/>
        <v>2227.0574799999999</v>
      </c>
      <c r="K431" s="397">
        <f t="shared" si="261"/>
        <v>2227.0574799999999</v>
      </c>
      <c r="L431" s="397">
        <f t="shared" si="261"/>
        <v>36.921999999999997</v>
      </c>
      <c r="M431" s="397">
        <f t="shared" si="261"/>
        <v>0</v>
      </c>
      <c r="N431" s="397">
        <f t="shared" si="261"/>
        <v>0</v>
      </c>
      <c r="O431" s="397">
        <f t="shared" si="261"/>
        <v>27.088000000000001</v>
      </c>
      <c r="P431" s="397">
        <f t="shared" si="261"/>
        <v>2227.0574799999999</v>
      </c>
      <c r="Q431" s="397">
        <f t="shared" si="261"/>
        <v>2227.0574799999999</v>
      </c>
      <c r="R431" s="398"/>
      <c r="S431" s="398"/>
      <c r="T431" s="398"/>
      <c r="U431" s="520"/>
      <c r="V431" s="399"/>
      <c r="W431" s="399">
        <f t="shared" si="250"/>
        <v>6.2585090909090901</v>
      </c>
      <c r="X431" s="396">
        <f t="shared" ref="X431:AJ431" si="262">SUM(X432:X437)</f>
        <v>0</v>
      </c>
      <c r="Y431" s="396">
        <f t="shared" si="262"/>
        <v>0</v>
      </c>
      <c r="Z431" s="396">
        <f t="shared" si="262"/>
        <v>0</v>
      </c>
      <c r="AA431" s="397">
        <f t="shared" si="262"/>
        <v>0</v>
      </c>
      <c r="AB431" s="397">
        <f t="shared" si="262"/>
        <v>0</v>
      </c>
      <c r="AC431" s="397">
        <f t="shared" si="262"/>
        <v>0</v>
      </c>
      <c r="AD431" s="397">
        <f t="shared" si="262"/>
        <v>0</v>
      </c>
      <c r="AE431" s="397">
        <f t="shared" si="262"/>
        <v>0</v>
      </c>
      <c r="AF431" s="397">
        <f t="shared" si="262"/>
        <v>0</v>
      </c>
      <c r="AG431" s="397">
        <f t="shared" si="262"/>
        <v>0</v>
      </c>
      <c r="AH431" s="397">
        <f t="shared" si="262"/>
        <v>0</v>
      </c>
      <c r="AI431" s="397">
        <f t="shared" si="262"/>
        <v>0</v>
      </c>
      <c r="AJ431" s="397">
        <f t="shared" si="262"/>
        <v>0</v>
      </c>
      <c r="AK431" s="398"/>
      <c r="AL431" s="398"/>
      <c r="AM431" s="398"/>
      <c r="AN431" s="520"/>
      <c r="AO431" s="399"/>
      <c r="AP431" s="399" t="e">
        <f t="shared" si="251"/>
        <v>#DIV/0!</v>
      </c>
      <c r="AQ431" s="396">
        <f t="shared" ref="AQ431:BC431" si="263">SUM(AQ432:AQ437)</f>
        <v>0</v>
      </c>
      <c r="AR431" s="396">
        <f t="shared" si="263"/>
        <v>420</v>
      </c>
      <c r="AS431" s="396">
        <f t="shared" si="263"/>
        <v>420</v>
      </c>
      <c r="AT431" s="397">
        <f t="shared" si="263"/>
        <v>2607.7845900000002</v>
      </c>
      <c r="AU431" s="397">
        <f t="shared" si="263"/>
        <v>2025.3033399999999</v>
      </c>
      <c r="AV431" s="397">
        <f t="shared" si="263"/>
        <v>2227.0574799999999</v>
      </c>
      <c r="AW431" s="397">
        <f t="shared" si="263"/>
        <v>20.255549999999999</v>
      </c>
      <c r="AX431" s="397">
        <f t="shared" si="263"/>
        <v>126.67733</v>
      </c>
      <c r="AY431" s="397">
        <f t="shared" si="263"/>
        <v>0</v>
      </c>
      <c r="AZ431" s="397">
        <f t="shared" si="263"/>
        <v>0</v>
      </c>
      <c r="BA431" s="397">
        <f t="shared" si="263"/>
        <v>85.121949999999998</v>
      </c>
      <c r="BB431" s="397">
        <f t="shared" si="263"/>
        <v>2227.0574799999999</v>
      </c>
      <c r="BC431" s="397">
        <f t="shared" si="263"/>
        <v>5.7616300000000003</v>
      </c>
      <c r="BD431" s="398"/>
      <c r="BE431" s="398"/>
      <c r="BF431" s="398"/>
      <c r="BG431" s="520"/>
      <c r="BH431" s="399"/>
      <c r="BI431" s="399">
        <f t="shared" si="235"/>
        <v>6.2090109285714288</v>
      </c>
    </row>
    <row r="432" spans="1:61" s="359" customFormat="1" x14ac:dyDescent="0.3">
      <c r="A432" s="360" t="s">
        <v>179</v>
      </c>
      <c r="B432" s="512" t="s">
        <v>253</v>
      </c>
      <c r="C432" s="433" t="s">
        <v>233</v>
      </c>
      <c r="D432" s="361">
        <v>6</v>
      </c>
      <c r="E432" s="407"/>
      <c r="F432" s="405"/>
      <c r="G432" s="405"/>
      <c r="H432" s="406"/>
      <c r="I432" s="401"/>
      <c r="J432" s="401"/>
      <c r="K432" s="401"/>
      <c r="L432" s="401"/>
      <c r="M432" s="401"/>
      <c r="N432" s="401"/>
      <c r="O432" s="401"/>
      <c r="P432" s="401"/>
      <c r="Q432" s="401"/>
      <c r="R432" s="389"/>
      <c r="S432" s="389"/>
      <c r="T432" s="389"/>
      <c r="U432" s="521"/>
      <c r="V432" s="402"/>
      <c r="W432" s="402" t="e">
        <f t="shared" si="250"/>
        <v>#DIV/0!</v>
      </c>
      <c r="X432" s="407"/>
      <c r="Y432" s="405"/>
      <c r="Z432" s="405"/>
      <c r="AA432" s="406"/>
      <c r="AB432" s="401"/>
      <c r="AC432" s="401"/>
      <c r="AD432" s="401"/>
      <c r="AE432" s="401"/>
      <c r="AF432" s="401"/>
      <c r="AG432" s="401"/>
      <c r="AH432" s="401"/>
      <c r="AI432" s="401"/>
      <c r="AJ432" s="401"/>
      <c r="AK432" s="389"/>
      <c r="AL432" s="389"/>
      <c r="AM432" s="389"/>
      <c r="AN432" s="521"/>
      <c r="AO432" s="402"/>
      <c r="AP432" s="402" t="e">
        <f t="shared" si="251"/>
        <v>#DIV/0!</v>
      </c>
      <c r="AQ432" s="407"/>
      <c r="AR432" s="588"/>
      <c r="AS432" s="588"/>
      <c r="AT432" s="406"/>
      <c r="AU432" s="401"/>
      <c r="AV432" s="401"/>
      <c r="AW432" s="401"/>
      <c r="AX432" s="401"/>
      <c r="AY432" s="401"/>
      <c r="AZ432" s="401"/>
      <c r="BA432" s="401"/>
      <c r="BB432" s="401"/>
      <c r="BC432" s="401"/>
      <c r="BD432" s="389"/>
      <c r="BE432" s="389"/>
      <c r="BF432" s="389"/>
      <c r="BG432" s="521"/>
      <c r="BH432" s="402"/>
      <c r="BI432" s="402" t="e">
        <f t="shared" si="235"/>
        <v>#DIV/0!</v>
      </c>
    </row>
    <row r="433" spans="1:61" s="359" customFormat="1" ht="19.2" x14ac:dyDescent="0.3">
      <c r="A433" s="360" t="s">
        <v>179</v>
      </c>
      <c r="B433" s="513" t="s">
        <v>388</v>
      </c>
      <c r="C433" s="433" t="s">
        <v>389</v>
      </c>
      <c r="D433" s="361">
        <v>6</v>
      </c>
      <c r="E433" s="400"/>
      <c r="F433" s="404">
        <v>385</v>
      </c>
      <c r="G433" s="400">
        <v>385</v>
      </c>
      <c r="H433" s="419">
        <v>2409.5259999999998</v>
      </c>
      <c r="I433" s="401">
        <v>2301.692</v>
      </c>
      <c r="J433" s="401">
        <v>2227.0574799999999</v>
      </c>
      <c r="K433" s="401">
        <v>2227.0574799999999</v>
      </c>
      <c r="L433" s="401">
        <v>36.921999999999997</v>
      </c>
      <c r="M433" s="401">
        <v>0</v>
      </c>
      <c r="N433" s="401">
        <v>0</v>
      </c>
      <c r="O433" s="401">
        <v>27.088000000000001</v>
      </c>
      <c r="P433" s="401">
        <v>2227.0574799999999</v>
      </c>
      <c r="Q433" s="401">
        <v>2227.0574799999999</v>
      </c>
      <c r="R433" s="385" t="s">
        <v>167</v>
      </c>
      <c r="S433" s="439" t="s">
        <v>175</v>
      </c>
      <c r="T433" s="389"/>
      <c r="U433" s="521">
        <v>316</v>
      </c>
      <c r="V433" s="402"/>
      <c r="W433" s="402">
        <f t="shared" si="250"/>
        <v>6.2585090909090901</v>
      </c>
      <c r="X433" s="400"/>
      <c r="Y433" s="404"/>
      <c r="Z433" s="400"/>
      <c r="AA433" s="419"/>
      <c r="AB433" s="401"/>
      <c r="AC433" s="401"/>
      <c r="AD433" s="401"/>
      <c r="AE433" s="401"/>
      <c r="AF433" s="401"/>
      <c r="AG433" s="401"/>
      <c r="AH433" s="401"/>
      <c r="AI433" s="401"/>
      <c r="AJ433" s="401"/>
      <c r="AK433" s="385"/>
      <c r="AL433" s="439"/>
      <c r="AM433" s="389"/>
      <c r="AN433" s="521"/>
      <c r="AO433" s="402"/>
      <c r="AP433" s="402" t="e">
        <f t="shared" si="251"/>
        <v>#DIV/0!</v>
      </c>
      <c r="AQ433" s="400"/>
      <c r="AR433" s="587"/>
      <c r="AS433" s="400"/>
      <c r="AT433" s="419"/>
      <c r="AU433" s="401"/>
      <c r="AV433" s="401"/>
      <c r="AW433" s="401"/>
      <c r="AX433" s="401"/>
      <c r="AY433" s="401"/>
      <c r="AZ433" s="401"/>
      <c r="BA433" s="401"/>
      <c r="BB433" s="401"/>
      <c r="BC433" s="401"/>
      <c r="BD433" s="385"/>
      <c r="BE433" s="439"/>
      <c r="BF433" s="389"/>
      <c r="BG433" s="521"/>
      <c r="BH433" s="402"/>
      <c r="BI433" s="402" t="e">
        <f t="shared" si="235"/>
        <v>#DIV/0!</v>
      </c>
    </row>
    <row r="434" spans="1:61" s="359" customFormat="1" ht="19.2" x14ac:dyDescent="0.3">
      <c r="A434" s="360" t="s">
        <v>179</v>
      </c>
      <c r="B434" s="579" t="s">
        <v>795</v>
      </c>
      <c r="C434" s="433" t="s">
        <v>686</v>
      </c>
      <c r="D434" s="361">
        <v>6</v>
      </c>
      <c r="E434" s="400"/>
      <c r="F434" s="404"/>
      <c r="G434" s="400"/>
      <c r="H434" s="401"/>
      <c r="I434" s="401"/>
      <c r="J434" s="401"/>
      <c r="K434" s="401"/>
      <c r="L434" s="401"/>
      <c r="M434" s="401"/>
      <c r="N434" s="401"/>
      <c r="O434" s="401"/>
      <c r="P434" s="401"/>
      <c r="Q434" s="401"/>
      <c r="R434" s="385"/>
      <c r="S434" s="439"/>
      <c r="T434" s="389"/>
      <c r="U434" s="521"/>
      <c r="V434" s="402"/>
      <c r="W434" s="402"/>
      <c r="X434" s="400"/>
      <c r="Y434" s="404"/>
      <c r="Z434" s="400"/>
      <c r="AA434" s="401"/>
      <c r="AB434" s="401"/>
      <c r="AC434" s="401"/>
      <c r="AD434" s="401"/>
      <c r="AE434" s="401"/>
      <c r="AF434" s="401"/>
      <c r="AG434" s="401"/>
      <c r="AH434" s="401"/>
      <c r="AI434" s="401"/>
      <c r="AJ434" s="401"/>
      <c r="AK434" s="385"/>
      <c r="AL434" s="439"/>
      <c r="AM434" s="389"/>
      <c r="AN434" s="521"/>
      <c r="AO434" s="402"/>
      <c r="AP434" s="402"/>
      <c r="AQ434" s="400"/>
      <c r="AR434" s="587">
        <v>420</v>
      </c>
      <c r="AS434" s="400">
        <v>420</v>
      </c>
      <c r="AT434" s="578">
        <v>2607.7845900000002</v>
      </c>
      <c r="AU434" s="401">
        <v>2025.3033399999999</v>
      </c>
      <c r="AV434" s="401">
        <v>2227.0574799999999</v>
      </c>
      <c r="AW434" s="401">
        <f>16.30566+3.94989</f>
        <v>20.255549999999999</v>
      </c>
      <c r="AX434" s="401">
        <v>126.67733</v>
      </c>
      <c r="AY434" s="401">
        <v>0</v>
      </c>
      <c r="AZ434" s="401">
        <v>0</v>
      </c>
      <c r="BA434" s="401">
        <v>85.121949999999998</v>
      </c>
      <c r="BB434" s="401">
        <v>2227.0574799999999</v>
      </c>
      <c r="BC434" s="401">
        <f>1.81174+3.94989</f>
        <v>5.7616300000000003</v>
      </c>
      <c r="BD434" s="385" t="s">
        <v>167</v>
      </c>
      <c r="BE434" s="439" t="s">
        <v>175</v>
      </c>
      <c r="BF434" s="389"/>
      <c r="BG434" s="521">
        <v>452</v>
      </c>
      <c r="BH434" s="402"/>
      <c r="BI434" s="402">
        <f t="shared" si="235"/>
        <v>6.2090109285714288</v>
      </c>
    </row>
    <row r="435" spans="1:61" s="359" customFormat="1" x14ac:dyDescent="0.3">
      <c r="A435" s="360"/>
      <c r="B435" s="382"/>
      <c r="C435" s="433"/>
      <c r="D435" s="361">
        <v>6</v>
      </c>
      <c r="E435" s="400"/>
      <c r="F435" s="404"/>
      <c r="G435" s="400"/>
      <c r="H435" s="401"/>
      <c r="I435" s="401"/>
      <c r="J435" s="401"/>
      <c r="K435" s="401"/>
      <c r="L435" s="401"/>
      <c r="M435" s="401"/>
      <c r="N435" s="401"/>
      <c r="O435" s="401"/>
      <c r="P435" s="401"/>
      <c r="Q435" s="401"/>
      <c r="R435" s="385"/>
      <c r="S435" s="439"/>
      <c r="T435" s="389"/>
      <c r="U435" s="521"/>
      <c r="V435" s="402"/>
      <c r="W435" s="402"/>
      <c r="X435" s="400"/>
      <c r="Y435" s="404"/>
      <c r="Z435" s="400"/>
      <c r="AA435" s="401"/>
      <c r="AB435" s="401"/>
      <c r="AC435" s="401"/>
      <c r="AD435" s="401"/>
      <c r="AE435" s="401"/>
      <c r="AF435" s="401"/>
      <c r="AG435" s="401"/>
      <c r="AH435" s="401"/>
      <c r="AI435" s="401"/>
      <c r="AJ435" s="401"/>
      <c r="AK435" s="385"/>
      <c r="AL435" s="439"/>
      <c r="AM435" s="389"/>
      <c r="AN435" s="521"/>
      <c r="AO435" s="402"/>
      <c r="AP435" s="402"/>
      <c r="AQ435" s="400"/>
      <c r="AR435" s="587"/>
      <c r="AS435" s="400"/>
      <c r="AT435" s="401"/>
      <c r="AU435" s="401"/>
      <c r="AV435" s="401"/>
      <c r="AW435" s="401"/>
      <c r="AX435" s="401"/>
      <c r="AY435" s="401"/>
      <c r="AZ435" s="401"/>
      <c r="BA435" s="401"/>
      <c r="BB435" s="401"/>
      <c r="BC435" s="401"/>
      <c r="BD435" s="385"/>
      <c r="BE435" s="439"/>
      <c r="BF435" s="389"/>
      <c r="BG435" s="521"/>
      <c r="BH435" s="402"/>
      <c r="BI435" s="402" t="e">
        <f t="shared" ref="BI435:BI466" si="264">AT435/AR435</f>
        <v>#DIV/0!</v>
      </c>
    </row>
    <row r="436" spans="1:61" s="359" customFormat="1" x14ac:dyDescent="0.3">
      <c r="A436" s="360"/>
      <c r="B436" s="382"/>
      <c r="C436" s="433"/>
      <c r="D436" s="361">
        <v>6</v>
      </c>
      <c r="E436" s="400"/>
      <c r="F436" s="404"/>
      <c r="G436" s="400"/>
      <c r="H436" s="401"/>
      <c r="I436" s="401"/>
      <c r="J436" s="401"/>
      <c r="K436" s="401"/>
      <c r="L436" s="401"/>
      <c r="M436" s="401"/>
      <c r="N436" s="401"/>
      <c r="O436" s="401"/>
      <c r="P436" s="401"/>
      <c r="Q436" s="401"/>
      <c r="R436" s="385"/>
      <c r="S436" s="439"/>
      <c r="T436" s="389"/>
      <c r="U436" s="521"/>
      <c r="V436" s="402"/>
      <c r="W436" s="402"/>
      <c r="X436" s="400"/>
      <c r="Y436" s="404"/>
      <c r="Z436" s="400"/>
      <c r="AA436" s="401"/>
      <c r="AB436" s="401"/>
      <c r="AC436" s="401"/>
      <c r="AD436" s="401"/>
      <c r="AE436" s="401"/>
      <c r="AF436" s="401"/>
      <c r="AG436" s="401"/>
      <c r="AH436" s="401"/>
      <c r="AI436" s="401"/>
      <c r="AJ436" s="401"/>
      <c r="AK436" s="385"/>
      <c r="AL436" s="439"/>
      <c r="AM436" s="389"/>
      <c r="AN436" s="521"/>
      <c r="AO436" s="402"/>
      <c r="AP436" s="402"/>
      <c r="AQ436" s="400"/>
      <c r="AR436" s="587"/>
      <c r="AS436" s="400"/>
      <c r="AT436" s="401"/>
      <c r="AU436" s="401"/>
      <c r="AV436" s="401"/>
      <c r="AW436" s="401"/>
      <c r="AX436" s="401"/>
      <c r="AY436" s="401"/>
      <c r="AZ436" s="401"/>
      <c r="BA436" s="401"/>
      <c r="BB436" s="401"/>
      <c r="BC436" s="401"/>
      <c r="BD436" s="385"/>
      <c r="BE436" s="439"/>
      <c r="BF436" s="389"/>
      <c r="BG436" s="521"/>
      <c r="BH436" s="402"/>
      <c r="BI436" s="402" t="e">
        <f t="shared" si="264"/>
        <v>#DIV/0!</v>
      </c>
    </row>
    <row r="437" spans="1:61" s="359" customFormat="1" x14ac:dyDescent="0.3">
      <c r="A437" s="360"/>
      <c r="B437" s="382"/>
      <c r="C437" s="433"/>
      <c r="D437" s="361"/>
      <c r="E437" s="400"/>
      <c r="F437" s="404"/>
      <c r="G437" s="400"/>
      <c r="H437" s="401"/>
      <c r="I437" s="401"/>
      <c r="J437" s="401"/>
      <c r="K437" s="401"/>
      <c r="L437" s="401"/>
      <c r="M437" s="401"/>
      <c r="N437" s="401"/>
      <c r="O437" s="401"/>
      <c r="P437" s="401"/>
      <c r="Q437" s="401"/>
      <c r="R437" s="389"/>
      <c r="S437" s="389"/>
      <c r="T437" s="389"/>
      <c r="U437" s="521"/>
      <c r="V437" s="402"/>
      <c r="W437" s="402" t="e">
        <f>H437/F437</f>
        <v>#DIV/0!</v>
      </c>
      <c r="X437" s="400"/>
      <c r="Y437" s="404"/>
      <c r="Z437" s="400"/>
      <c r="AA437" s="401"/>
      <c r="AB437" s="401"/>
      <c r="AC437" s="401"/>
      <c r="AD437" s="401"/>
      <c r="AE437" s="401"/>
      <c r="AF437" s="401"/>
      <c r="AG437" s="401"/>
      <c r="AH437" s="401"/>
      <c r="AI437" s="401"/>
      <c r="AJ437" s="401"/>
      <c r="AK437" s="389"/>
      <c r="AL437" s="389"/>
      <c r="AM437" s="389"/>
      <c r="AN437" s="521"/>
      <c r="AO437" s="402"/>
      <c r="AP437" s="402" t="e">
        <f>AA437/Y437</f>
        <v>#DIV/0!</v>
      </c>
      <c r="AQ437" s="400"/>
      <c r="AR437" s="587"/>
      <c r="AS437" s="400"/>
      <c r="AT437" s="401"/>
      <c r="AU437" s="401"/>
      <c r="AV437" s="401"/>
      <c r="AW437" s="401"/>
      <c r="AX437" s="401"/>
      <c r="AY437" s="401"/>
      <c r="AZ437" s="401"/>
      <c r="BA437" s="401"/>
      <c r="BB437" s="401"/>
      <c r="BC437" s="401"/>
      <c r="BD437" s="389"/>
      <c r="BE437" s="389"/>
      <c r="BF437" s="389"/>
      <c r="BG437" s="521"/>
      <c r="BH437" s="402"/>
      <c r="BI437" s="402" t="e">
        <f t="shared" si="264"/>
        <v>#DIV/0!</v>
      </c>
    </row>
    <row r="438" spans="1:61" s="359" customFormat="1" ht="24.75" customHeight="1" x14ac:dyDescent="0.3">
      <c r="A438" s="355" t="s">
        <v>183</v>
      </c>
      <c r="B438" s="356" t="s">
        <v>230</v>
      </c>
      <c r="C438" s="432"/>
      <c r="D438" s="357">
        <v>6</v>
      </c>
      <c r="E438" s="396">
        <f t="shared" ref="E438:Q438" si="265">SUM(E439:E442)</f>
        <v>0</v>
      </c>
      <c r="F438" s="396">
        <f t="shared" si="265"/>
        <v>0</v>
      </c>
      <c r="G438" s="396">
        <f t="shared" si="265"/>
        <v>0</v>
      </c>
      <c r="H438" s="397">
        <f t="shared" si="265"/>
        <v>0</v>
      </c>
      <c r="I438" s="397">
        <f t="shared" si="265"/>
        <v>0</v>
      </c>
      <c r="J438" s="397">
        <f t="shared" si="265"/>
        <v>0</v>
      </c>
      <c r="K438" s="397">
        <f t="shared" si="265"/>
        <v>0</v>
      </c>
      <c r="L438" s="397">
        <f t="shared" si="265"/>
        <v>0</v>
      </c>
      <c r="M438" s="397">
        <f t="shared" si="265"/>
        <v>0</v>
      </c>
      <c r="N438" s="397">
        <f t="shared" si="265"/>
        <v>0</v>
      </c>
      <c r="O438" s="397">
        <f t="shared" si="265"/>
        <v>0</v>
      </c>
      <c r="P438" s="397">
        <f t="shared" si="265"/>
        <v>0</v>
      </c>
      <c r="Q438" s="397">
        <f t="shared" si="265"/>
        <v>0</v>
      </c>
      <c r="R438" s="398"/>
      <c r="S438" s="398"/>
      <c r="T438" s="398"/>
      <c r="U438" s="520"/>
      <c r="V438" s="399"/>
      <c r="W438" s="399" t="e">
        <f>H438/F438</f>
        <v>#DIV/0!</v>
      </c>
      <c r="X438" s="396">
        <f t="shared" ref="X438:AJ438" si="266">SUM(X439:X442)</f>
        <v>0</v>
      </c>
      <c r="Y438" s="396">
        <f t="shared" si="266"/>
        <v>426.25</v>
      </c>
      <c r="Z438" s="396">
        <f t="shared" si="266"/>
        <v>426.25</v>
      </c>
      <c r="AA438" s="397">
        <f t="shared" si="266"/>
        <v>2510.3751499999998</v>
      </c>
      <c r="AB438" s="397">
        <f t="shared" si="266"/>
        <v>2345.4184399999999</v>
      </c>
      <c r="AC438" s="397">
        <f t="shared" si="266"/>
        <v>2324.1667000000002</v>
      </c>
      <c r="AD438" s="397">
        <f t="shared" si="266"/>
        <v>2324.1667000000002</v>
      </c>
      <c r="AE438" s="397">
        <f t="shared" si="266"/>
        <v>42.279919999999997</v>
      </c>
      <c r="AF438" s="397">
        <f t="shared" si="266"/>
        <v>0</v>
      </c>
      <c r="AG438" s="397">
        <f t="shared" si="266"/>
        <v>0</v>
      </c>
      <c r="AH438" s="397">
        <f t="shared" si="266"/>
        <v>39.942639999999997</v>
      </c>
      <c r="AI438" s="397">
        <f t="shared" si="266"/>
        <v>2324.1667000000002</v>
      </c>
      <c r="AJ438" s="397">
        <f t="shared" si="266"/>
        <v>2324.1667000000002</v>
      </c>
      <c r="AK438" s="398"/>
      <c r="AL438" s="398"/>
      <c r="AM438" s="398"/>
      <c r="AN438" s="520"/>
      <c r="AO438" s="399"/>
      <c r="AP438" s="399">
        <f>AA438/Y438</f>
        <v>5.8894431671554246</v>
      </c>
      <c r="AQ438" s="396">
        <f t="shared" ref="AQ438:BC438" si="267">SUM(AQ439:AQ442)</f>
        <v>0</v>
      </c>
      <c r="AR438" s="396">
        <f t="shared" si="267"/>
        <v>0</v>
      </c>
      <c r="AS438" s="396">
        <f t="shared" si="267"/>
        <v>0</v>
      </c>
      <c r="AT438" s="397">
        <f t="shared" si="267"/>
        <v>0</v>
      </c>
      <c r="AU438" s="397">
        <f t="shared" si="267"/>
        <v>0</v>
      </c>
      <c r="AV438" s="397">
        <f t="shared" si="267"/>
        <v>0</v>
      </c>
      <c r="AW438" s="397">
        <f t="shared" si="267"/>
        <v>0</v>
      </c>
      <c r="AX438" s="397">
        <f t="shared" si="267"/>
        <v>0</v>
      </c>
      <c r="AY438" s="397">
        <f t="shared" si="267"/>
        <v>0</v>
      </c>
      <c r="AZ438" s="397">
        <f t="shared" si="267"/>
        <v>0</v>
      </c>
      <c r="BA438" s="397">
        <f t="shared" si="267"/>
        <v>0</v>
      </c>
      <c r="BB438" s="397">
        <f t="shared" si="267"/>
        <v>0</v>
      </c>
      <c r="BC438" s="397">
        <f t="shared" si="267"/>
        <v>0</v>
      </c>
      <c r="BD438" s="398"/>
      <c r="BE438" s="398"/>
      <c r="BF438" s="398"/>
      <c r="BG438" s="520"/>
      <c r="BH438" s="399"/>
      <c r="BI438" s="399" t="e">
        <f t="shared" si="264"/>
        <v>#DIV/0!</v>
      </c>
    </row>
    <row r="439" spans="1:61" s="359" customFormat="1" ht="19.2" x14ac:dyDescent="0.3">
      <c r="A439" s="360" t="s">
        <v>179</v>
      </c>
      <c r="B439" s="543" t="s">
        <v>568</v>
      </c>
      <c r="C439" s="433" t="s">
        <v>480</v>
      </c>
      <c r="D439" s="361">
        <v>6</v>
      </c>
      <c r="E439" s="400"/>
      <c r="F439" s="404"/>
      <c r="G439" s="400"/>
      <c r="H439" s="401"/>
      <c r="I439" s="401"/>
      <c r="J439" s="401"/>
      <c r="K439" s="401"/>
      <c r="L439" s="401"/>
      <c r="M439" s="401"/>
      <c r="N439" s="401"/>
      <c r="O439" s="401"/>
      <c r="P439" s="401"/>
      <c r="Q439" s="401"/>
      <c r="R439" s="389"/>
      <c r="S439" s="389"/>
      <c r="T439" s="389"/>
      <c r="U439" s="521"/>
      <c r="V439" s="402"/>
      <c r="W439" s="402" t="e">
        <f>H439/F439</f>
        <v>#DIV/0!</v>
      </c>
      <c r="X439" s="400"/>
      <c r="Y439" s="550">
        <v>426.25</v>
      </c>
      <c r="Z439" s="549">
        <v>426.25</v>
      </c>
      <c r="AA439" s="545">
        <v>2510.3751499999998</v>
      </c>
      <c r="AB439" s="401">
        <v>2345.4184399999999</v>
      </c>
      <c r="AC439" s="401">
        <v>2324.1667000000002</v>
      </c>
      <c r="AD439" s="401">
        <v>2324.1667000000002</v>
      </c>
      <c r="AE439" s="401">
        <v>42.279919999999997</v>
      </c>
      <c r="AF439" s="401">
        <v>0</v>
      </c>
      <c r="AG439" s="401">
        <v>0</v>
      </c>
      <c r="AH439" s="401">
        <v>39.942639999999997</v>
      </c>
      <c r="AI439" s="401">
        <v>2324.1667000000002</v>
      </c>
      <c r="AJ439" s="401">
        <v>2324.1667000000002</v>
      </c>
      <c r="AK439" s="385" t="s">
        <v>167</v>
      </c>
      <c r="AL439" s="439" t="s">
        <v>175</v>
      </c>
      <c r="AM439" s="389"/>
      <c r="AN439" s="521">
        <v>396</v>
      </c>
      <c r="AO439" s="402"/>
      <c r="AP439" s="402">
        <f>AA439/Y439</f>
        <v>5.8894431671554246</v>
      </c>
      <c r="AQ439" s="400"/>
      <c r="AR439" s="549"/>
      <c r="AS439" s="549"/>
      <c r="AT439" s="545"/>
      <c r="AU439" s="401"/>
      <c r="AV439" s="401"/>
      <c r="AW439" s="401"/>
      <c r="AX439" s="401"/>
      <c r="AY439" s="401"/>
      <c r="AZ439" s="401"/>
      <c r="BA439" s="401"/>
      <c r="BB439" s="401"/>
      <c r="BC439" s="401"/>
      <c r="BD439" s="385"/>
      <c r="BE439" s="439"/>
      <c r="BF439" s="389"/>
      <c r="BG439" s="521"/>
      <c r="BH439" s="402"/>
      <c r="BI439" s="402" t="e">
        <f t="shared" si="264"/>
        <v>#DIV/0!</v>
      </c>
    </row>
    <row r="440" spans="1:61" s="359" customFormat="1" x14ac:dyDescent="0.3">
      <c r="A440" s="360"/>
      <c r="B440" s="382"/>
      <c r="C440" s="433"/>
      <c r="D440" s="361">
        <v>6</v>
      </c>
      <c r="E440" s="400"/>
      <c r="F440" s="404"/>
      <c r="G440" s="400"/>
      <c r="H440" s="401"/>
      <c r="I440" s="401"/>
      <c r="J440" s="401"/>
      <c r="K440" s="401"/>
      <c r="L440" s="401"/>
      <c r="M440" s="401"/>
      <c r="N440" s="401"/>
      <c r="O440" s="401"/>
      <c r="P440" s="401"/>
      <c r="Q440" s="401"/>
      <c r="R440" s="389"/>
      <c r="S440" s="389"/>
      <c r="T440" s="389"/>
      <c r="U440" s="521"/>
      <c r="V440" s="402"/>
      <c r="W440" s="402"/>
      <c r="X440" s="400"/>
      <c r="Y440" s="589"/>
      <c r="Z440" s="337"/>
      <c r="AA440" s="401"/>
      <c r="AB440" s="401"/>
      <c r="AC440" s="401"/>
      <c r="AD440" s="401"/>
      <c r="AE440" s="401"/>
      <c r="AF440" s="401"/>
      <c r="AG440" s="401"/>
      <c r="AH440" s="401"/>
      <c r="AI440" s="401"/>
      <c r="AJ440" s="401"/>
      <c r="AK440" s="385"/>
      <c r="AL440" s="439"/>
      <c r="AM440" s="389"/>
      <c r="AN440" s="521"/>
      <c r="AO440" s="402"/>
      <c r="AP440" s="402"/>
      <c r="AQ440" s="400"/>
      <c r="AR440" s="337"/>
      <c r="AS440" s="337"/>
      <c r="AT440" s="401"/>
      <c r="AU440" s="401"/>
      <c r="AV440" s="401"/>
      <c r="AW440" s="401"/>
      <c r="AX440" s="401"/>
      <c r="AY440" s="401"/>
      <c r="AZ440" s="401"/>
      <c r="BA440" s="401"/>
      <c r="BB440" s="401"/>
      <c r="BC440" s="401"/>
      <c r="BD440" s="385"/>
      <c r="BE440" s="439"/>
      <c r="BF440" s="389"/>
      <c r="BG440" s="521"/>
      <c r="BH440" s="402"/>
      <c r="BI440" s="402" t="e">
        <f t="shared" si="264"/>
        <v>#DIV/0!</v>
      </c>
    </row>
    <row r="441" spans="1:61" s="359" customFormat="1" x14ac:dyDescent="0.3">
      <c r="A441" s="360"/>
      <c r="B441" s="382"/>
      <c r="C441" s="433"/>
      <c r="D441" s="361">
        <v>6</v>
      </c>
      <c r="E441" s="400"/>
      <c r="F441" s="404"/>
      <c r="G441" s="400"/>
      <c r="H441" s="401"/>
      <c r="I441" s="401"/>
      <c r="J441" s="401"/>
      <c r="K441" s="401"/>
      <c r="L441" s="401"/>
      <c r="M441" s="401"/>
      <c r="N441" s="401"/>
      <c r="O441" s="401"/>
      <c r="P441" s="401"/>
      <c r="Q441" s="401"/>
      <c r="R441" s="389"/>
      <c r="S441" s="389"/>
      <c r="T441" s="389"/>
      <c r="U441" s="521"/>
      <c r="V441" s="402"/>
      <c r="W441" s="402"/>
      <c r="X441" s="400"/>
      <c r="Y441" s="589"/>
      <c r="Z441" s="337"/>
      <c r="AA441" s="401"/>
      <c r="AB441" s="401"/>
      <c r="AC441" s="401"/>
      <c r="AD441" s="401"/>
      <c r="AE441" s="401"/>
      <c r="AF441" s="401"/>
      <c r="AG441" s="401"/>
      <c r="AH441" s="401"/>
      <c r="AI441" s="401"/>
      <c r="AJ441" s="401"/>
      <c r="AK441" s="385"/>
      <c r="AL441" s="439"/>
      <c r="AM441" s="389"/>
      <c r="AN441" s="521"/>
      <c r="AO441" s="402"/>
      <c r="AP441" s="402"/>
      <c r="AQ441" s="400"/>
      <c r="AR441" s="337"/>
      <c r="AS441" s="337"/>
      <c r="AT441" s="401"/>
      <c r="AU441" s="401"/>
      <c r="AV441" s="401"/>
      <c r="AW441" s="401"/>
      <c r="AX441" s="401"/>
      <c r="AY441" s="401"/>
      <c r="AZ441" s="401"/>
      <c r="BA441" s="401"/>
      <c r="BB441" s="401"/>
      <c r="BC441" s="401"/>
      <c r="BD441" s="385"/>
      <c r="BE441" s="439"/>
      <c r="BF441" s="389"/>
      <c r="BG441" s="521"/>
      <c r="BH441" s="402"/>
      <c r="BI441" s="402" t="e">
        <f t="shared" si="264"/>
        <v>#DIV/0!</v>
      </c>
    </row>
    <row r="442" spans="1:61" s="359" customFormat="1" x14ac:dyDescent="0.3">
      <c r="A442" s="360"/>
      <c r="B442" s="382"/>
      <c r="C442" s="433"/>
      <c r="D442" s="361"/>
      <c r="E442" s="400"/>
      <c r="F442" s="404"/>
      <c r="G442" s="400"/>
      <c r="H442" s="401"/>
      <c r="I442" s="401"/>
      <c r="J442" s="401"/>
      <c r="K442" s="401"/>
      <c r="L442" s="401"/>
      <c r="M442" s="401"/>
      <c r="N442" s="401"/>
      <c r="O442" s="401"/>
      <c r="P442" s="401"/>
      <c r="Q442" s="401"/>
      <c r="R442" s="389"/>
      <c r="S442" s="389"/>
      <c r="T442" s="389"/>
      <c r="U442" s="521"/>
      <c r="V442" s="402"/>
      <c r="W442" s="402" t="e">
        <f>H442/F442</f>
        <v>#DIV/0!</v>
      </c>
      <c r="X442" s="400"/>
      <c r="Y442" s="404"/>
      <c r="Z442" s="400"/>
      <c r="AA442" s="401"/>
      <c r="AB442" s="401"/>
      <c r="AC442" s="401"/>
      <c r="AD442" s="401"/>
      <c r="AE442" s="401"/>
      <c r="AF442" s="401"/>
      <c r="AG442" s="401"/>
      <c r="AH442" s="401"/>
      <c r="AI442" s="401"/>
      <c r="AJ442" s="401"/>
      <c r="AK442" s="389"/>
      <c r="AL442" s="389"/>
      <c r="AM442" s="389"/>
      <c r="AN442" s="521"/>
      <c r="AO442" s="402"/>
      <c r="AP442" s="402" t="e">
        <f>AA442/Y442</f>
        <v>#DIV/0!</v>
      </c>
      <c r="AQ442" s="400"/>
      <c r="AR442" s="587"/>
      <c r="AS442" s="400"/>
      <c r="AT442" s="401"/>
      <c r="AU442" s="401"/>
      <c r="AV442" s="401"/>
      <c r="AW442" s="401"/>
      <c r="AX442" s="401"/>
      <c r="AY442" s="401"/>
      <c r="AZ442" s="401"/>
      <c r="BA442" s="401"/>
      <c r="BB442" s="401"/>
      <c r="BC442" s="401"/>
      <c r="BD442" s="389"/>
      <c r="BE442" s="389"/>
      <c r="BF442" s="389"/>
      <c r="BG442" s="521"/>
      <c r="BH442" s="402"/>
      <c r="BI442" s="402" t="e">
        <f t="shared" si="264"/>
        <v>#DIV/0!</v>
      </c>
    </row>
    <row r="443" spans="1:61" s="359" customFormat="1" ht="24.75" customHeight="1" x14ac:dyDescent="0.3">
      <c r="A443" s="355" t="s">
        <v>185</v>
      </c>
      <c r="B443" s="356" t="s">
        <v>231</v>
      </c>
      <c r="C443" s="432"/>
      <c r="D443" s="357">
        <v>6</v>
      </c>
      <c r="E443" s="396">
        <f t="shared" ref="E443:Q443" si="268">SUM(E444:E444)</f>
        <v>0</v>
      </c>
      <c r="F443" s="396">
        <f t="shared" si="268"/>
        <v>0</v>
      </c>
      <c r="G443" s="396">
        <f t="shared" si="268"/>
        <v>0</v>
      </c>
      <c r="H443" s="397">
        <f t="shared" si="268"/>
        <v>0</v>
      </c>
      <c r="I443" s="397">
        <f t="shared" si="268"/>
        <v>0</v>
      </c>
      <c r="J443" s="397">
        <f t="shared" si="268"/>
        <v>0</v>
      </c>
      <c r="K443" s="397">
        <f t="shared" si="268"/>
        <v>0</v>
      </c>
      <c r="L443" s="397">
        <f t="shared" si="268"/>
        <v>0</v>
      </c>
      <c r="M443" s="397">
        <f t="shared" si="268"/>
        <v>0</v>
      </c>
      <c r="N443" s="397">
        <f t="shared" si="268"/>
        <v>0</v>
      </c>
      <c r="O443" s="397">
        <f t="shared" si="268"/>
        <v>0</v>
      </c>
      <c r="P443" s="397">
        <f t="shared" si="268"/>
        <v>0</v>
      </c>
      <c r="Q443" s="397">
        <f t="shared" si="268"/>
        <v>0</v>
      </c>
      <c r="R443" s="398"/>
      <c r="S443" s="398"/>
      <c r="T443" s="398"/>
      <c r="U443" s="520"/>
      <c r="V443" s="399"/>
      <c r="W443" s="399" t="e">
        <f>H443/F443</f>
        <v>#DIV/0!</v>
      </c>
      <c r="X443" s="396">
        <f t="shared" ref="X443:AJ443" si="269">SUM(X444:X444)</f>
        <v>0</v>
      </c>
      <c r="Y443" s="396">
        <f t="shared" si="269"/>
        <v>0</v>
      </c>
      <c r="Z443" s="396">
        <f t="shared" si="269"/>
        <v>0</v>
      </c>
      <c r="AA443" s="397">
        <f t="shared" si="269"/>
        <v>0</v>
      </c>
      <c r="AB443" s="397">
        <f t="shared" si="269"/>
        <v>0</v>
      </c>
      <c r="AC443" s="397">
        <f t="shared" si="269"/>
        <v>0</v>
      </c>
      <c r="AD443" s="397">
        <f t="shared" si="269"/>
        <v>0</v>
      </c>
      <c r="AE443" s="397">
        <f t="shared" si="269"/>
        <v>0</v>
      </c>
      <c r="AF443" s="397">
        <f t="shared" si="269"/>
        <v>0</v>
      </c>
      <c r="AG443" s="397">
        <f t="shared" si="269"/>
        <v>0</v>
      </c>
      <c r="AH443" s="397">
        <f t="shared" si="269"/>
        <v>0</v>
      </c>
      <c r="AI443" s="397">
        <f t="shared" si="269"/>
        <v>0</v>
      </c>
      <c r="AJ443" s="397">
        <f t="shared" si="269"/>
        <v>0</v>
      </c>
      <c r="AK443" s="398"/>
      <c r="AL443" s="398"/>
      <c r="AM443" s="398"/>
      <c r="AN443" s="520"/>
      <c r="AO443" s="399"/>
      <c r="AP443" s="399" t="e">
        <f>AA443/Y443</f>
        <v>#DIV/0!</v>
      </c>
      <c r="AQ443" s="396">
        <f t="shared" ref="AQ443:BC443" si="270">SUM(AQ444:AQ444)</f>
        <v>0</v>
      </c>
      <c r="AR443" s="396">
        <f t="shared" si="270"/>
        <v>0</v>
      </c>
      <c r="AS443" s="396">
        <f t="shared" si="270"/>
        <v>0</v>
      </c>
      <c r="AT443" s="397">
        <f t="shared" si="270"/>
        <v>0</v>
      </c>
      <c r="AU443" s="397">
        <f t="shared" si="270"/>
        <v>0</v>
      </c>
      <c r="AV443" s="397">
        <f t="shared" si="270"/>
        <v>0</v>
      </c>
      <c r="AW443" s="397">
        <f t="shared" si="270"/>
        <v>0</v>
      </c>
      <c r="AX443" s="397">
        <f t="shared" si="270"/>
        <v>0</v>
      </c>
      <c r="AY443" s="397">
        <f t="shared" si="270"/>
        <v>0</v>
      </c>
      <c r="AZ443" s="397">
        <f t="shared" si="270"/>
        <v>0</v>
      </c>
      <c r="BA443" s="397">
        <f t="shared" si="270"/>
        <v>0</v>
      </c>
      <c r="BB443" s="397">
        <f t="shared" si="270"/>
        <v>0</v>
      </c>
      <c r="BC443" s="397">
        <f t="shared" si="270"/>
        <v>0</v>
      </c>
      <c r="BD443" s="398"/>
      <c r="BE443" s="398"/>
      <c r="BF443" s="398"/>
      <c r="BG443" s="520"/>
      <c r="BH443" s="399"/>
      <c r="BI443" s="399" t="e">
        <f t="shared" si="264"/>
        <v>#DIV/0!</v>
      </c>
    </row>
    <row r="444" spans="1:61" s="359" customFormat="1" x14ac:dyDescent="0.3">
      <c r="A444" s="360"/>
      <c r="B444" s="382"/>
      <c r="C444" s="433"/>
      <c r="D444" s="361"/>
      <c r="E444" s="400"/>
      <c r="F444" s="404"/>
      <c r="G444" s="400"/>
      <c r="H444" s="401"/>
      <c r="I444" s="401"/>
      <c r="J444" s="401"/>
      <c r="K444" s="401"/>
      <c r="L444" s="401"/>
      <c r="M444" s="401"/>
      <c r="N444" s="401"/>
      <c r="O444" s="401"/>
      <c r="P444" s="401"/>
      <c r="Q444" s="401"/>
      <c r="R444" s="389"/>
      <c r="S444" s="389"/>
      <c r="T444" s="389"/>
      <c r="U444" s="521"/>
      <c r="V444" s="402"/>
      <c r="W444" s="402" t="e">
        <f>H444/F444</f>
        <v>#DIV/0!</v>
      </c>
      <c r="X444" s="400"/>
      <c r="Y444" s="404"/>
      <c r="Z444" s="400"/>
      <c r="AA444" s="401"/>
      <c r="AB444" s="401"/>
      <c r="AC444" s="401"/>
      <c r="AD444" s="401"/>
      <c r="AE444" s="401"/>
      <c r="AF444" s="401"/>
      <c r="AG444" s="401"/>
      <c r="AH444" s="401"/>
      <c r="AI444" s="401"/>
      <c r="AJ444" s="401"/>
      <c r="AK444" s="389"/>
      <c r="AL444" s="389"/>
      <c r="AM444" s="389"/>
      <c r="AN444" s="521"/>
      <c r="AO444" s="402"/>
      <c r="AP444" s="402" t="e">
        <f>AA444/Y444</f>
        <v>#DIV/0!</v>
      </c>
      <c r="AQ444" s="400"/>
      <c r="AR444" s="587"/>
      <c r="AS444" s="400"/>
      <c r="AT444" s="401"/>
      <c r="AU444" s="401"/>
      <c r="AV444" s="401"/>
      <c r="AW444" s="401"/>
      <c r="AX444" s="401"/>
      <c r="AY444" s="401"/>
      <c r="AZ444" s="401"/>
      <c r="BA444" s="401"/>
      <c r="BB444" s="401"/>
      <c r="BC444" s="401"/>
      <c r="BD444" s="389"/>
      <c r="BE444" s="389"/>
      <c r="BF444" s="389"/>
      <c r="BG444" s="521"/>
      <c r="BH444" s="402"/>
      <c r="BI444" s="402" t="e">
        <f t="shared" si="264"/>
        <v>#DIV/0!</v>
      </c>
    </row>
    <row r="445" spans="1:61" s="359" customFormat="1" ht="91.2" customHeight="1" x14ac:dyDescent="0.3">
      <c r="A445" s="470" t="s">
        <v>241</v>
      </c>
      <c r="B445" s="471" t="s">
        <v>242</v>
      </c>
      <c r="C445" s="472"/>
      <c r="D445" s="473"/>
      <c r="E445" s="474">
        <f t="shared" ref="E445:Q445" si="271">E446</f>
        <v>0</v>
      </c>
      <c r="F445" s="474">
        <f t="shared" si="271"/>
        <v>0</v>
      </c>
      <c r="G445" s="474">
        <f t="shared" si="271"/>
        <v>0</v>
      </c>
      <c r="H445" s="475">
        <f t="shared" si="271"/>
        <v>0</v>
      </c>
      <c r="I445" s="475">
        <f t="shared" si="271"/>
        <v>0</v>
      </c>
      <c r="J445" s="475">
        <f t="shared" si="271"/>
        <v>0</v>
      </c>
      <c r="K445" s="475">
        <f t="shared" si="271"/>
        <v>0</v>
      </c>
      <c r="L445" s="475">
        <f t="shared" si="271"/>
        <v>0</v>
      </c>
      <c r="M445" s="475">
        <f t="shared" si="271"/>
        <v>0</v>
      </c>
      <c r="N445" s="475">
        <f t="shared" si="271"/>
        <v>0</v>
      </c>
      <c r="O445" s="475">
        <f t="shared" si="271"/>
        <v>0</v>
      </c>
      <c r="P445" s="475">
        <f t="shared" si="271"/>
        <v>0</v>
      </c>
      <c r="Q445" s="475">
        <f t="shared" si="271"/>
        <v>0</v>
      </c>
      <c r="R445" s="476"/>
      <c r="S445" s="476"/>
      <c r="T445" s="476"/>
      <c r="U445" s="524"/>
      <c r="V445" s="477"/>
      <c r="W445" s="477" t="e">
        <f>H445/F445</f>
        <v>#DIV/0!</v>
      </c>
      <c r="X445" s="474">
        <f t="shared" ref="X445:AJ445" si="272">X446</f>
        <v>0</v>
      </c>
      <c r="Y445" s="474">
        <f t="shared" si="272"/>
        <v>0</v>
      </c>
      <c r="Z445" s="474">
        <f t="shared" si="272"/>
        <v>0</v>
      </c>
      <c r="AA445" s="475">
        <f t="shared" si="272"/>
        <v>0</v>
      </c>
      <c r="AB445" s="475">
        <f t="shared" si="272"/>
        <v>0</v>
      </c>
      <c r="AC445" s="475">
        <f t="shared" si="272"/>
        <v>0</v>
      </c>
      <c r="AD445" s="475">
        <f t="shared" si="272"/>
        <v>0</v>
      </c>
      <c r="AE445" s="475">
        <f t="shared" si="272"/>
        <v>0</v>
      </c>
      <c r="AF445" s="475">
        <f t="shared" si="272"/>
        <v>0</v>
      </c>
      <c r="AG445" s="475">
        <f t="shared" si="272"/>
        <v>0</v>
      </c>
      <c r="AH445" s="475">
        <f t="shared" si="272"/>
        <v>0</v>
      </c>
      <c r="AI445" s="475">
        <f t="shared" si="272"/>
        <v>0</v>
      </c>
      <c r="AJ445" s="475">
        <f t="shared" si="272"/>
        <v>0</v>
      </c>
      <c r="AK445" s="476"/>
      <c r="AL445" s="476"/>
      <c r="AM445" s="476"/>
      <c r="AN445" s="524"/>
      <c r="AO445" s="477"/>
      <c r="AP445" s="477" t="e">
        <f>AA445/Y445</f>
        <v>#DIV/0!</v>
      </c>
      <c r="AQ445" s="474">
        <f t="shared" ref="AQ445:BC445" si="273">AQ446</f>
        <v>0</v>
      </c>
      <c r="AR445" s="474">
        <f t="shared" si="273"/>
        <v>0</v>
      </c>
      <c r="AS445" s="474">
        <f t="shared" si="273"/>
        <v>0</v>
      </c>
      <c r="AT445" s="475">
        <f t="shared" si="273"/>
        <v>0</v>
      </c>
      <c r="AU445" s="475">
        <f t="shared" si="273"/>
        <v>0</v>
      </c>
      <c r="AV445" s="475">
        <f t="shared" si="273"/>
        <v>0</v>
      </c>
      <c r="AW445" s="475">
        <f t="shared" si="273"/>
        <v>0</v>
      </c>
      <c r="AX445" s="475">
        <f t="shared" si="273"/>
        <v>0</v>
      </c>
      <c r="AY445" s="475">
        <f t="shared" si="273"/>
        <v>0</v>
      </c>
      <c r="AZ445" s="475">
        <f t="shared" si="273"/>
        <v>0</v>
      </c>
      <c r="BA445" s="475">
        <f t="shared" si="273"/>
        <v>0</v>
      </c>
      <c r="BB445" s="475">
        <f t="shared" si="273"/>
        <v>0</v>
      </c>
      <c r="BC445" s="475">
        <f t="shared" si="273"/>
        <v>0</v>
      </c>
      <c r="BD445" s="476"/>
      <c r="BE445" s="476"/>
      <c r="BF445" s="476"/>
      <c r="BG445" s="524"/>
      <c r="BH445" s="477"/>
      <c r="BI445" s="477" t="e">
        <f t="shared" si="264"/>
        <v>#DIV/0!</v>
      </c>
    </row>
    <row r="446" spans="1:61" s="359" customFormat="1" ht="24.75" customHeight="1" x14ac:dyDescent="0.3">
      <c r="A446" s="355" t="s">
        <v>179</v>
      </c>
      <c r="B446" s="356" t="s">
        <v>243</v>
      </c>
      <c r="C446" s="432"/>
      <c r="D446" s="357">
        <v>6</v>
      </c>
      <c r="E446" s="396">
        <f t="shared" ref="E446:Q446" si="274">SUM(E447:E449)</f>
        <v>0</v>
      </c>
      <c r="F446" s="396">
        <f t="shared" si="274"/>
        <v>0</v>
      </c>
      <c r="G446" s="396">
        <f t="shared" si="274"/>
        <v>0</v>
      </c>
      <c r="H446" s="397">
        <f t="shared" si="274"/>
        <v>0</v>
      </c>
      <c r="I446" s="397">
        <f t="shared" si="274"/>
        <v>0</v>
      </c>
      <c r="J446" s="397">
        <f t="shared" si="274"/>
        <v>0</v>
      </c>
      <c r="K446" s="397">
        <f t="shared" si="274"/>
        <v>0</v>
      </c>
      <c r="L446" s="397">
        <f t="shared" si="274"/>
        <v>0</v>
      </c>
      <c r="M446" s="397">
        <f t="shared" si="274"/>
        <v>0</v>
      </c>
      <c r="N446" s="397">
        <f t="shared" si="274"/>
        <v>0</v>
      </c>
      <c r="O446" s="397">
        <f t="shared" si="274"/>
        <v>0</v>
      </c>
      <c r="P446" s="397">
        <f t="shared" si="274"/>
        <v>0</v>
      </c>
      <c r="Q446" s="397">
        <f t="shared" si="274"/>
        <v>0</v>
      </c>
      <c r="R446" s="398"/>
      <c r="S446" s="398"/>
      <c r="T446" s="398"/>
      <c r="U446" s="520"/>
      <c r="V446" s="399"/>
      <c r="W446" s="399" t="e">
        <f>H446/F446</f>
        <v>#DIV/0!</v>
      </c>
      <c r="X446" s="396">
        <f t="shared" ref="X446:AJ446" si="275">SUM(X447:X449)</f>
        <v>0</v>
      </c>
      <c r="Y446" s="396">
        <f t="shared" si="275"/>
        <v>0</v>
      </c>
      <c r="Z446" s="396">
        <f t="shared" si="275"/>
        <v>0</v>
      </c>
      <c r="AA446" s="397">
        <f t="shared" si="275"/>
        <v>0</v>
      </c>
      <c r="AB446" s="397">
        <f t="shared" si="275"/>
        <v>0</v>
      </c>
      <c r="AC446" s="397">
        <f t="shared" si="275"/>
        <v>0</v>
      </c>
      <c r="AD446" s="397">
        <f t="shared" si="275"/>
        <v>0</v>
      </c>
      <c r="AE446" s="397">
        <f t="shared" si="275"/>
        <v>0</v>
      </c>
      <c r="AF446" s="397">
        <f t="shared" si="275"/>
        <v>0</v>
      </c>
      <c r="AG446" s="397">
        <f t="shared" si="275"/>
        <v>0</v>
      </c>
      <c r="AH446" s="397">
        <f t="shared" si="275"/>
        <v>0</v>
      </c>
      <c r="AI446" s="397">
        <f t="shared" si="275"/>
        <v>0</v>
      </c>
      <c r="AJ446" s="397">
        <f t="shared" si="275"/>
        <v>0</v>
      </c>
      <c r="AK446" s="398"/>
      <c r="AL446" s="398"/>
      <c r="AM446" s="398"/>
      <c r="AN446" s="520"/>
      <c r="AO446" s="399"/>
      <c r="AP446" s="399" t="e">
        <f>AA446/Y446</f>
        <v>#DIV/0!</v>
      </c>
      <c r="AQ446" s="396">
        <f t="shared" ref="AQ446:BC446" si="276">SUM(AQ447:AQ449)</f>
        <v>0</v>
      </c>
      <c r="AR446" s="396">
        <f t="shared" si="276"/>
        <v>0</v>
      </c>
      <c r="AS446" s="396">
        <f t="shared" si="276"/>
        <v>0</v>
      </c>
      <c r="AT446" s="397">
        <f t="shared" si="276"/>
        <v>0</v>
      </c>
      <c r="AU446" s="397">
        <f t="shared" si="276"/>
        <v>0</v>
      </c>
      <c r="AV446" s="397">
        <f t="shared" si="276"/>
        <v>0</v>
      </c>
      <c r="AW446" s="397">
        <f t="shared" si="276"/>
        <v>0</v>
      </c>
      <c r="AX446" s="397">
        <f t="shared" si="276"/>
        <v>0</v>
      </c>
      <c r="AY446" s="397">
        <f t="shared" si="276"/>
        <v>0</v>
      </c>
      <c r="AZ446" s="397">
        <f t="shared" si="276"/>
        <v>0</v>
      </c>
      <c r="BA446" s="397">
        <f t="shared" si="276"/>
        <v>0</v>
      </c>
      <c r="BB446" s="397">
        <f t="shared" si="276"/>
        <v>0</v>
      </c>
      <c r="BC446" s="397">
        <f t="shared" si="276"/>
        <v>0</v>
      </c>
      <c r="BD446" s="398"/>
      <c r="BE446" s="398"/>
      <c r="BF446" s="398"/>
      <c r="BG446" s="520"/>
      <c r="BH446" s="399"/>
      <c r="BI446" s="399" t="e">
        <f t="shared" si="264"/>
        <v>#DIV/0!</v>
      </c>
    </row>
    <row r="447" spans="1:61" s="359" customFormat="1" x14ac:dyDescent="0.3">
      <c r="A447" s="360"/>
      <c r="B447" s="590"/>
      <c r="C447" s="434"/>
      <c r="D447" s="361">
        <v>6</v>
      </c>
      <c r="E447" s="400"/>
      <c r="F447" s="400"/>
      <c r="G447" s="400"/>
      <c r="H447" s="401"/>
      <c r="I447" s="401"/>
      <c r="J447" s="401"/>
      <c r="K447" s="401"/>
      <c r="L447" s="401"/>
      <c r="M447" s="401"/>
      <c r="N447" s="401"/>
      <c r="O447" s="401"/>
      <c r="P447" s="401"/>
      <c r="Q447" s="401"/>
      <c r="R447" s="389"/>
      <c r="S447" s="389"/>
      <c r="T447" s="389"/>
      <c r="U447" s="521"/>
      <c r="V447" s="402"/>
      <c r="W447" s="402"/>
      <c r="X447" s="400"/>
      <c r="Y447" s="400"/>
      <c r="Z447" s="400"/>
      <c r="AA447" s="401"/>
      <c r="AB447" s="401"/>
      <c r="AC447" s="401"/>
      <c r="AD447" s="401"/>
      <c r="AE447" s="401"/>
      <c r="AF447" s="401"/>
      <c r="AG447" s="401"/>
      <c r="AH447" s="401"/>
      <c r="AI447" s="401"/>
      <c r="AJ447" s="401"/>
      <c r="AK447" s="389"/>
      <c r="AL447" s="389"/>
      <c r="AM447" s="389"/>
      <c r="AN447" s="521"/>
      <c r="AO447" s="402"/>
      <c r="AP447" s="402"/>
      <c r="AQ447" s="400"/>
      <c r="AR447" s="400"/>
      <c r="AS447" s="400"/>
      <c r="AT447" s="401"/>
      <c r="AU447" s="401"/>
      <c r="AV447" s="401"/>
      <c r="AW447" s="401"/>
      <c r="AX447" s="401"/>
      <c r="AY447" s="401"/>
      <c r="AZ447" s="401"/>
      <c r="BA447" s="401"/>
      <c r="BB447" s="401"/>
      <c r="BC447" s="401"/>
      <c r="BD447" s="389"/>
      <c r="BE447" s="389"/>
      <c r="BF447" s="389"/>
      <c r="BG447" s="521"/>
      <c r="BH447" s="402"/>
      <c r="BI447" s="402" t="e">
        <f t="shared" si="264"/>
        <v>#DIV/0!</v>
      </c>
    </row>
    <row r="448" spans="1:61" s="359" customFormat="1" x14ac:dyDescent="0.3">
      <c r="A448" s="360"/>
      <c r="B448" s="590"/>
      <c r="C448" s="434"/>
      <c r="D448" s="361">
        <v>6</v>
      </c>
      <c r="E448" s="400"/>
      <c r="F448" s="400"/>
      <c r="G448" s="400"/>
      <c r="H448" s="401"/>
      <c r="I448" s="401"/>
      <c r="J448" s="401"/>
      <c r="K448" s="401"/>
      <c r="L448" s="401"/>
      <c r="M448" s="401"/>
      <c r="N448" s="401"/>
      <c r="O448" s="401"/>
      <c r="P448" s="401"/>
      <c r="Q448" s="401"/>
      <c r="R448" s="389"/>
      <c r="S448" s="389"/>
      <c r="T448" s="389"/>
      <c r="U448" s="521"/>
      <c r="V448" s="402"/>
      <c r="W448" s="402"/>
      <c r="X448" s="400"/>
      <c r="Y448" s="400"/>
      <c r="Z448" s="400"/>
      <c r="AA448" s="401"/>
      <c r="AB448" s="401"/>
      <c r="AC448" s="401"/>
      <c r="AD448" s="401"/>
      <c r="AE448" s="401"/>
      <c r="AF448" s="401"/>
      <c r="AG448" s="401"/>
      <c r="AH448" s="401"/>
      <c r="AI448" s="401"/>
      <c r="AJ448" s="401"/>
      <c r="AK448" s="389"/>
      <c r="AL448" s="389"/>
      <c r="AM448" s="389"/>
      <c r="AN448" s="521"/>
      <c r="AO448" s="402"/>
      <c r="AP448" s="402"/>
      <c r="AQ448" s="400"/>
      <c r="AR448" s="400"/>
      <c r="AS448" s="400"/>
      <c r="AT448" s="401"/>
      <c r="AU448" s="401"/>
      <c r="AV448" s="401"/>
      <c r="AW448" s="401"/>
      <c r="AX448" s="401"/>
      <c r="AY448" s="401"/>
      <c r="AZ448" s="401"/>
      <c r="BA448" s="401"/>
      <c r="BB448" s="401"/>
      <c r="BC448" s="401"/>
      <c r="BD448" s="389"/>
      <c r="BE448" s="389"/>
      <c r="BF448" s="389"/>
      <c r="BG448" s="521"/>
      <c r="BH448" s="402"/>
      <c r="BI448" s="402" t="e">
        <f t="shared" si="264"/>
        <v>#DIV/0!</v>
      </c>
    </row>
    <row r="449" spans="1:61" s="359" customFormat="1" x14ac:dyDescent="0.3">
      <c r="A449" s="360"/>
      <c r="B449" s="382"/>
      <c r="C449" s="433"/>
      <c r="D449" s="361"/>
      <c r="E449" s="400"/>
      <c r="F449" s="400"/>
      <c r="G449" s="400"/>
      <c r="H449" s="401"/>
      <c r="I449" s="401"/>
      <c r="J449" s="401"/>
      <c r="K449" s="401"/>
      <c r="L449" s="401"/>
      <c r="M449" s="401"/>
      <c r="N449" s="401"/>
      <c r="O449" s="401"/>
      <c r="P449" s="401"/>
      <c r="Q449" s="401"/>
      <c r="R449" s="389"/>
      <c r="S449" s="389"/>
      <c r="T449" s="389"/>
      <c r="U449" s="521"/>
      <c r="V449" s="402"/>
      <c r="W449" s="402" t="e">
        <f>H449/F449</f>
        <v>#DIV/0!</v>
      </c>
      <c r="X449" s="400"/>
      <c r="Y449" s="400"/>
      <c r="Z449" s="400"/>
      <c r="AA449" s="401"/>
      <c r="AB449" s="401"/>
      <c r="AC449" s="401"/>
      <c r="AD449" s="401"/>
      <c r="AE449" s="401"/>
      <c r="AF449" s="401"/>
      <c r="AG449" s="401"/>
      <c r="AH449" s="401"/>
      <c r="AI449" s="401"/>
      <c r="AJ449" s="401"/>
      <c r="AK449" s="389"/>
      <c r="AL449" s="389"/>
      <c r="AM449" s="389"/>
      <c r="AN449" s="521"/>
      <c r="AO449" s="402"/>
      <c r="AP449" s="402" t="e">
        <f>AA449/Y449</f>
        <v>#DIV/0!</v>
      </c>
      <c r="AQ449" s="400"/>
      <c r="AR449" s="400"/>
      <c r="AS449" s="400"/>
      <c r="AT449" s="401"/>
      <c r="AU449" s="401"/>
      <c r="AV449" s="401"/>
      <c r="AW449" s="401"/>
      <c r="AX449" s="401"/>
      <c r="AY449" s="401"/>
      <c r="AZ449" s="401"/>
      <c r="BA449" s="401"/>
      <c r="BB449" s="401"/>
      <c r="BC449" s="401"/>
      <c r="BD449" s="389"/>
      <c r="BE449" s="389"/>
      <c r="BF449" s="389"/>
      <c r="BG449" s="521"/>
      <c r="BH449" s="402"/>
      <c r="BI449" s="402" t="e">
        <f t="shared" si="264"/>
        <v>#DIV/0!</v>
      </c>
    </row>
    <row r="450" spans="1:61" s="359" customFormat="1" ht="43.2" x14ac:dyDescent="0.3">
      <c r="A450" s="551" t="s">
        <v>45</v>
      </c>
      <c r="B450" s="552" t="s">
        <v>571</v>
      </c>
      <c r="C450" s="553"/>
      <c r="D450" s="554"/>
      <c r="E450" s="555">
        <f t="shared" ref="E450:Q450" si="277">E451+E502+E605</f>
        <v>0</v>
      </c>
      <c r="F450" s="555">
        <f t="shared" si="277"/>
        <v>0</v>
      </c>
      <c r="G450" s="555">
        <f t="shared" si="277"/>
        <v>0</v>
      </c>
      <c r="H450" s="556">
        <f t="shared" si="277"/>
        <v>0</v>
      </c>
      <c r="I450" s="556">
        <f t="shared" si="277"/>
        <v>0</v>
      </c>
      <c r="J450" s="556">
        <f t="shared" si="277"/>
        <v>0</v>
      </c>
      <c r="K450" s="556">
        <f t="shared" si="277"/>
        <v>0</v>
      </c>
      <c r="L450" s="556">
        <f t="shared" si="277"/>
        <v>0</v>
      </c>
      <c r="M450" s="556">
        <f t="shared" si="277"/>
        <v>0</v>
      </c>
      <c r="N450" s="556">
        <f t="shared" si="277"/>
        <v>0</v>
      </c>
      <c r="O450" s="556">
        <f t="shared" si="277"/>
        <v>0</v>
      </c>
      <c r="P450" s="556">
        <f t="shared" si="277"/>
        <v>0</v>
      </c>
      <c r="Q450" s="556">
        <f t="shared" si="277"/>
        <v>0</v>
      </c>
      <c r="R450" s="557"/>
      <c r="S450" s="557"/>
      <c r="T450" s="557"/>
      <c r="U450" s="558"/>
      <c r="V450" s="559"/>
      <c r="W450" s="559" t="e">
        <f>H450/F450</f>
        <v>#DIV/0!</v>
      </c>
      <c r="X450" s="555">
        <f t="shared" ref="X450:AJ450" si="278">X451+X502+X605+X612</f>
        <v>0</v>
      </c>
      <c r="Y450" s="555">
        <f t="shared" si="278"/>
        <v>0</v>
      </c>
      <c r="Z450" s="555">
        <f t="shared" si="278"/>
        <v>0</v>
      </c>
      <c r="AA450" s="556">
        <f t="shared" si="278"/>
        <v>293.26947999999999</v>
      </c>
      <c r="AB450" s="556">
        <f t="shared" si="278"/>
        <v>272.91899999999998</v>
      </c>
      <c r="AC450" s="556">
        <f t="shared" si="278"/>
        <v>244.53667000000002</v>
      </c>
      <c r="AD450" s="556">
        <f t="shared" si="278"/>
        <v>27.726030000000002</v>
      </c>
      <c r="AE450" s="556">
        <f t="shared" si="278"/>
        <v>2.0175399999999999</v>
      </c>
      <c r="AF450" s="556">
        <f t="shared" si="278"/>
        <v>0</v>
      </c>
      <c r="AG450" s="556">
        <f t="shared" si="278"/>
        <v>0</v>
      </c>
      <c r="AH450" s="556">
        <f t="shared" si="278"/>
        <v>6.8783199999999995</v>
      </c>
      <c r="AI450" s="556">
        <f t="shared" si="278"/>
        <v>244.53667000000002</v>
      </c>
      <c r="AJ450" s="556">
        <f t="shared" si="278"/>
        <v>27.726030000000002</v>
      </c>
      <c r="AK450" s="557"/>
      <c r="AL450" s="557"/>
      <c r="AM450" s="557"/>
      <c r="AN450" s="558"/>
      <c r="AO450" s="559"/>
      <c r="AP450" s="559" t="e">
        <f>AA450/Y450</f>
        <v>#DIV/0!</v>
      </c>
      <c r="AQ450" s="555">
        <f t="shared" ref="AQ450:BC450" si="279">AQ451+AQ502+AQ605+AQ612</f>
        <v>0</v>
      </c>
      <c r="AR450" s="555">
        <f t="shared" si="279"/>
        <v>2521</v>
      </c>
      <c r="AS450" s="555">
        <f t="shared" si="279"/>
        <v>2521</v>
      </c>
      <c r="AT450" s="556">
        <f t="shared" si="279"/>
        <v>1634.0731200000007</v>
      </c>
      <c r="AU450" s="556">
        <f t="shared" si="279"/>
        <v>1424.1310200000007</v>
      </c>
      <c r="AV450" s="556">
        <f t="shared" si="279"/>
        <v>1252.1027900000006</v>
      </c>
      <c r="AW450" s="556">
        <f t="shared" si="279"/>
        <v>0</v>
      </c>
      <c r="AX450" s="556">
        <f t="shared" si="279"/>
        <v>0</v>
      </c>
      <c r="AY450" s="556">
        <f t="shared" si="279"/>
        <v>0</v>
      </c>
      <c r="AZ450" s="556">
        <f t="shared" si="279"/>
        <v>0</v>
      </c>
      <c r="BA450" s="556">
        <f t="shared" si="279"/>
        <v>48.627619999999922</v>
      </c>
      <c r="BB450" s="556">
        <f t="shared" si="279"/>
        <v>1262.5711000000006</v>
      </c>
      <c r="BC450" s="556">
        <f t="shared" si="279"/>
        <v>0</v>
      </c>
      <c r="BD450" s="557"/>
      <c r="BE450" s="557"/>
      <c r="BF450" s="557"/>
      <c r="BG450" s="558"/>
      <c r="BH450" s="559"/>
      <c r="BI450" s="559">
        <f t="shared" si="264"/>
        <v>0.64818449821499435</v>
      </c>
    </row>
    <row r="451" spans="1:61" s="359" customFormat="1" ht="24.75" customHeight="1" x14ac:dyDescent="0.3">
      <c r="A451" s="560" t="s">
        <v>710</v>
      </c>
      <c r="B451" s="568" t="s">
        <v>592</v>
      </c>
      <c r="C451" s="566"/>
      <c r="D451" s="567">
        <v>0.22</v>
      </c>
      <c r="E451" s="561">
        <f t="shared" ref="E451:Q451" si="280">SUM(E452:E501)</f>
        <v>0</v>
      </c>
      <c r="F451" s="561">
        <f t="shared" si="280"/>
        <v>0</v>
      </c>
      <c r="G451" s="561">
        <f t="shared" si="280"/>
        <v>0</v>
      </c>
      <c r="H451" s="562">
        <f t="shared" si="280"/>
        <v>0</v>
      </c>
      <c r="I451" s="562">
        <f t="shared" si="280"/>
        <v>0</v>
      </c>
      <c r="J451" s="562">
        <f t="shared" si="280"/>
        <v>0</v>
      </c>
      <c r="K451" s="562">
        <f t="shared" si="280"/>
        <v>0</v>
      </c>
      <c r="L451" s="562">
        <f t="shared" si="280"/>
        <v>0</v>
      </c>
      <c r="M451" s="562">
        <f t="shared" si="280"/>
        <v>0</v>
      </c>
      <c r="N451" s="562">
        <f t="shared" si="280"/>
        <v>0</v>
      </c>
      <c r="O451" s="562">
        <f t="shared" si="280"/>
        <v>0</v>
      </c>
      <c r="P451" s="562">
        <f t="shared" si="280"/>
        <v>0</v>
      </c>
      <c r="Q451" s="562">
        <f t="shared" si="280"/>
        <v>0</v>
      </c>
      <c r="R451" s="563"/>
      <c r="S451" s="563"/>
      <c r="T451" s="563"/>
      <c r="U451" s="564"/>
      <c r="V451" s="565"/>
      <c r="W451" s="565" t="e">
        <f>H451/F451</f>
        <v>#DIV/0!</v>
      </c>
      <c r="X451" s="561">
        <f t="shared" ref="X451:AJ451" si="281">SUM(X452:X501)</f>
        <v>0</v>
      </c>
      <c r="Y451" s="561">
        <f t="shared" si="281"/>
        <v>0</v>
      </c>
      <c r="Z451" s="561">
        <f t="shared" si="281"/>
        <v>0</v>
      </c>
      <c r="AA451" s="562">
        <f t="shared" si="281"/>
        <v>8.5823499999999999</v>
      </c>
      <c r="AB451" s="562">
        <f t="shared" si="281"/>
        <v>8.2450200000000002</v>
      </c>
      <c r="AC451" s="562">
        <f t="shared" si="281"/>
        <v>7.27</v>
      </c>
      <c r="AD451" s="562">
        <f t="shared" si="281"/>
        <v>0.86661999999999995</v>
      </c>
      <c r="AE451" s="562">
        <f t="shared" si="281"/>
        <v>3.116E-2</v>
      </c>
      <c r="AF451" s="562">
        <f t="shared" si="281"/>
        <v>0</v>
      </c>
      <c r="AG451" s="562">
        <f t="shared" si="281"/>
        <v>0</v>
      </c>
      <c r="AH451" s="562">
        <f t="shared" si="281"/>
        <v>0.1143</v>
      </c>
      <c r="AI451" s="562">
        <f t="shared" si="281"/>
        <v>7.27</v>
      </c>
      <c r="AJ451" s="562">
        <f t="shared" si="281"/>
        <v>0.86661999999999995</v>
      </c>
      <c r="AK451" s="563"/>
      <c r="AL451" s="563"/>
      <c r="AM451" s="563"/>
      <c r="AN451" s="564"/>
      <c r="AO451" s="565"/>
      <c r="AP451" s="565" t="e">
        <f>AA451/Y451</f>
        <v>#DIV/0!</v>
      </c>
      <c r="AQ451" s="561">
        <f t="shared" ref="AQ451:BC451" si="282">SUM(AQ452:AQ501)</f>
        <v>0</v>
      </c>
      <c r="AR451" s="561">
        <f t="shared" si="282"/>
        <v>621</v>
      </c>
      <c r="AS451" s="561">
        <f t="shared" si="282"/>
        <v>621</v>
      </c>
      <c r="AT451" s="562">
        <f t="shared" si="282"/>
        <v>385.6825300000001</v>
      </c>
      <c r="AU451" s="562">
        <f t="shared" si="282"/>
        <v>348.3998000000002</v>
      </c>
      <c r="AV451" s="562">
        <f t="shared" si="282"/>
        <v>303.47647000000006</v>
      </c>
      <c r="AW451" s="562">
        <f t="shared" si="282"/>
        <v>0</v>
      </c>
      <c r="AX451" s="562">
        <f t="shared" si="282"/>
        <v>0</v>
      </c>
      <c r="AY451" s="562">
        <f t="shared" si="282"/>
        <v>0</v>
      </c>
      <c r="AZ451" s="562">
        <f t="shared" si="282"/>
        <v>0</v>
      </c>
      <c r="BA451" s="562">
        <f t="shared" si="282"/>
        <v>8.6821200000000101</v>
      </c>
      <c r="BB451" s="562">
        <f t="shared" si="282"/>
        <v>303.47648000000009</v>
      </c>
      <c r="BC451" s="562">
        <f t="shared" si="282"/>
        <v>0</v>
      </c>
      <c r="BD451" s="563"/>
      <c r="BE451" s="563"/>
      <c r="BF451" s="563"/>
      <c r="BG451" s="564"/>
      <c r="BH451" s="565"/>
      <c r="BI451" s="565">
        <f t="shared" si="264"/>
        <v>0.62106687600644139</v>
      </c>
    </row>
    <row r="452" spans="1:61" s="359" customFormat="1" x14ac:dyDescent="0.3">
      <c r="A452" s="360" t="s">
        <v>179</v>
      </c>
      <c r="B452" s="513"/>
      <c r="C452" s="433"/>
      <c r="D452" s="361">
        <v>0.22</v>
      </c>
      <c r="E452" s="400"/>
      <c r="F452" s="404"/>
      <c r="G452" s="400"/>
      <c r="H452" s="419"/>
      <c r="I452" s="401"/>
      <c r="J452" s="401"/>
      <c r="K452" s="401"/>
      <c r="L452" s="401"/>
      <c r="M452" s="401"/>
      <c r="N452" s="401"/>
      <c r="O452" s="401"/>
      <c r="P452" s="401"/>
      <c r="Q452" s="401"/>
      <c r="R452" s="385"/>
      <c r="S452" s="439"/>
      <c r="T452" s="389"/>
      <c r="U452" s="521"/>
      <c r="V452" s="402"/>
      <c r="W452" s="402" t="e">
        <f>H452/F452</f>
        <v>#DIV/0!</v>
      </c>
      <c r="X452" s="400"/>
      <c r="Y452" s="404"/>
      <c r="Z452" s="400"/>
      <c r="AA452" s="419"/>
      <c r="AB452" s="401"/>
      <c r="AC452" s="401"/>
      <c r="AD452" s="401"/>
      <c r="AE452" s="401"/>
      <c r="AF452" s="401"/>
      <c r="AG452" s="401"/>
      <c r="AH452" s="401"/>
      <c r="AI452" s="401"/>
      <c r="AJ452" s="401"/>
      <c r="AK452" s="385"/>
      <c r="AL452" s="439"/>
      <c r="AM452" s="389"/>
      <c r="AN452" s="521"/>
      <c r="AO452" s="402"/>
      <c r="AP452" s="402" t="e">
        <f>AA452/Y452</f>
        <v>#DIV/0!</v>
      </c>
      <c r="AQ452" s="400"/>
      <c r="AR452" s="587"/>
      <c r="AS452" s="400"/>
      <c r="AT452" s="419"/>
      <c r="AU452" s="401"/>
      <c r="AV452" s="401"/>
      <c r="AW452" s="401"/>
      <c r="AX452" s="401"/>
      <c r="AY452" s="401"/>
      <c r="AZ452" s="401"/>
      <c r="BA452" s="401"/>
      <c r="BB452" s="401"/>
      <c r="BC452" s="401"/>
      <c r="BD452" s="385"/>
      <c r="BE452" s="439"/>
      <c r="BF452" s="389"/>
      <c r="BG452" s="521"/>
      <c r="BH452" s="402"/>
      <c r="BI452" s="402" t="e">
        <f t="shared" si="264"/>
        <v>#DIV/0!</v>
      </c>
    </row>
    <row r="453" spans="1:61" s="359" customFormat="1" ht="19.2" x14ac:dyDescent="0.3">
      <c r="A453" s="360" t="s">
        <v>179</v>
      </c>
      <c r="B453" s="543" t="s">
        <v>591</v>
      </c>
      <c r="C453" s="433"/>
      <c r="D453" s="361">
        <v>0.22</v>
      </c>
      <c r="E453" s="400"/>
      <c r="F453" s="404"/>
      <c r="G453" s="400"/>
      <c r="H453" s="382"/>
      <c r="I453" s="401"/>
      <c r="J453" s="401"/>
      <c r="K453" s="401"/>
      <c r="L453" s="401"/>
      <c r="M453" s="401"/>
      <c r="N453" s="401"/>
      <c r="O453" s="401"/>
      <c r="P453" s="401"/>
      <c r="Q453" s="401"/>
      <c r="R453" s="385"/>
      <c r="S453" s="439"/>
      <c r="T453" s="389"/>
      <c r="U453" s="521"/>
      <c r="V453" s="402"/>
      <c r="W453" s="402"/>
      <c r="X453" s="400"/>
      <c r="Y453" s="404"/>
      <c r="Z453" s="400"/>
      <c r="AA453" s="573">
        <v>8.5823499999999999</v>
      </c>
      <c r="AB453" s="401">
        <v>8.2450200000000002</v>
      </c>
      <c r="AC453" s="401">
        <v>7.27</v>
      </c>
      <c r="AD453" s="401">
        <f>0.42436+0.44226</f>
        <v>0.86661999999999995</v>
      </c>
      <c r="AE453" s="401">
        <v>3.116E-2</v>
      </c>
      <c r="AF453" s="401">
        <v>0</v>
      </c>
      <c r="AG453" s="401">
        <v>0</v>
      </c>
      <c r="AH453" s="401">
        <v>0.1143</v>
      </c>
      <c r="AI453" s="401">
        <v>7.27</v>
      </c>
      <c r="AJ453" s="401">
        <v>0.86661999999999995</v>
      </c>
      <c r="AK453" s="385" t="s">
        <v>167</v>
      </c>
      <c r="AL453" s="439" t="s">
        <v>175</v>
      </c>
      <c r="AM453" s="389"/>
      <c r="AN453" s="521">
        <v>499</v>
      </c>
      <c r="AO453" s="402"/>
      <c r="AP453" s="402"/>
      <c r="AQ453" s="400"/>
      <c r="AR453" s="587"/>
      <c r="AS453" s="400"/>
      <c r="AT453" s="573"/>
      <c r="AU453" s="401"/>
      <c r="AV453" s="401"/>
      <c r="AW453" s="401"/>
      <c r="AX453" s="401"/>
      <c r="AY453" s="401"/>
      <c r="AZ453" s="401"/>
      <c r="BA453" s="401"/>
      <c r="BB453" s="401"/>
      <c r="BC453" s="401"/>
      <c r="BD453" s="385"/>
      <c r="BE453" s="439"/>
      <c r="BF453" s="389"/>
      <c r="BG453" s="521"/>
      <c r="BH453" s="402"/>
      <c r="BI453" s="402" t="e">
        <f t="shared" si="264"/>
        <v>#DIV/0!</v>
      </c>
    </row>
    <row r="454" spans="1:61" s="359" customFormat="1" ht="19.2" x14ac:dyDescent="0.3">
      <c r="A454" s="360" t="s">
        <v>179</v>
      </c>
      <c r="B454" s="579" t="s">
        <v>802</v>
      </c>
      <c r="C454" s="433" t="s">
        <v>709</v>
      </c>
      <c r="D454" s="361">
        <v>0.22</v>
      </c>
      <c r="E454" s="400"/>
      <c r="F454" s="404"/>
      <c r="G454" s="400"/>
      <c r="H454" s="382"/>
      <c r="I454" s="401"/>
      <c r="J454" s="401"/>
      <c r="K454" s="401"/>
      <c r="L454" s="401"/>
      <c r="M454" s="401"/>
      <c r="N454" s="401"/>
      <c r="O454" s="401"/>
      <c r="P454" s="401"/>
      <c r="Q454" s="401"/>
      <c r="R454" s="385"/>
      <c r="S454" s="439"/>
      <c r="T454" s="389"/>
      <c r="U454" s="521"/>
      <c r="V454" s="402"/>
      <c r="W454" s="402"/>
      <c r="X454" s="400"/>
      <c r="Y454" s="404"/>
      <c r="Z454" s="400"/>
      <c r="AA454" s="586"/>
      <c r="AB454" s="401"/>
      <c r="AC454" s="401"/>
      <c r="AD454" s="401"/>
      <c r="AE454" s="401"/>
      <c r="AF454" s="401"/>
      <c r="AG454" s="401"/>
      <c r="AH454" s="401"/>
      <c r="AI454" s="401"/>
      <c r="AJ454" s="401"/>
      <c r="AK454" s="385"/>
      <c r="AL454" s="439"/>
      <c r="AM454" s="389"/>
      <c r="AN454" s="521"/>
      <c r="AO454" s="402"/>
      <c r="AP454" s="402"/>
      <c r="AQ454" s="400"/>
      <c r="AR454" s="587">
        <v>10</v>
      </c>
      <c r="AS454" s="400">
        <v>10</v>
      </c>
      <c r="AT454" s="585">
        <v>7.0391300000000001</v>
      </c>
      <c r="AU454" s="401">
        <v>6.2467800000000002</v>
      </c>
      <c r="AV454" s="401">
        <v>5.2139100000000003</v>
      </c>
      <c r="AW454" s="401"/>
      <c r="AX454" s="401"/>
      <c r="AY454" s="401">
        <v>0</v>
      </c>
      <c r="AZ454" s="401">
        <v>0</v>
      </c>
      <c r="BA454" s="401">
        <v>0.18472</v>
      </c>
      <c r="BB454" s="401">
        <v>5.2139100000000003</v>
      </c>
      <c r="BC454" s="401"/>
      <c r="BD454" s="385" t="s">
        <v>167</v>
      </c>
      <c r="BE454" s="439" t="s">
        <v>175</v>
      </c>
      <c r="BF454" s="389"/>
      <c r="BG454" s="521">
        <v>611</v>
      </c>
      <c r="BH454" s="402"/>
      <c r="BI454" s="402">
        <f t="shared" si="264"/>
        <v>0.70391300000000001</v>
      </c>
    </row>
    <row r="455" spans="1:61" s="359" customFormat="1" ht="19.2" x14ac:dyDescent="0.3">
      <c r="A455" s="360" t="s">
        <v>183</v>
      </c>
      <c r="B455" s="579" t="s">
        <v>928</v>
      </c>
      <c r="C455" s="433" t="s">
        <v>805</v>
      </c>
      <c r="D455" s="361">
        <v>0.22</v>
      </c>
      <c r="E455" s="400"/>
      <c r="F455" s="404"/>
      <c r="G455" s="400"/>
      <c r="H455" s="382"/>
      <c r="I455" s="401"/>
      <c r="J455" s="401"/>
      <c r="K455" s="401"/>
      <c r="L455" s="401"/>
      <c r="M455" s="401"/>
      <c r="N455" s="401"/>
      <c r="O455" s="401"/>
      <c r="P455" s="401"/>
      <c r="Q455" s="401"/>
      <c r="R455" s="385"/>
      <c r="S455" s="439"/>
      <c r="T455" s="389"/>
      <c r="U455" s="521"/>
      <c r="V455" s="402"/>
      <c r="W455" s="402"/>
      <c r="X455" s="400"/>
      <c r="Y455" s="404"/>
      <c r="Z455" s="400"/>
      <c r="AA455" s="586"/>
      <c r="AB455" s="401"/>
      <c r="AC455" s="401"/>
      <c r="AD455" s="401"/>
      <c r="AE455" s="401"/>
      <c r="AF455" s="401"/>
      <c r="AG455" s="401"/>
      <c r="AH455" s="401"/>
      <c r="AI455" s="401"/>
      <c r="AJ455" s="401"/>
      <c r="AK455" s="385"/>
      <c r="AL455" s="439"/>
      <c r="AM455" s="389"/>
      <c r="AN455" s="521"/>
      <c r="AO455" s="402"/>
      <c r="AP455" s="402"/>
      <c r="AQ455" s="400"/>
      <c r="AR455" s="587">
        <v>10</v>
      </c>
      <c r="AS455" s="400">
        <v>10</v>
      </c>
      <c r="AT455" s="585">
        <v>8.8688099999999999</v>
      </c>
      <c r="AU455" s="401">
        <v>8.0764600000000009</v>
      </c>
      <c r="AV455" s="401">
        <v>7.0416600000000003</v>
      </c>
      <c r="AW455" s="401"/>
      <c r="AX455" s="401"/>
      <c r="AY455" s="401">
        <v>0</v>
      </c>
      <c r="AZ455" s="401">
        <v>0</v>
      </c>
      <c r="BA455" s="401">
        <v>0.18472</v>
      </c>
      <c r="BB455" s="401">
        <v>7.0416600000000003</v>
      </c>
      <c r="BC455" s="401"/>
      <c r="BD455" s="385" t="s">
        <v>167</v>
      </c>
      <c r="BE455" s="439" t="s">
        <v>175</v>
      </c>
      <c r="BF455" s="389"/>
      <c r="BG455" s="521">
        <v>613</v>
      </c>
      <c r="BH455" s="402"/>
      <c r="BI455" s="402">
        <f t="shared" si="264"/>
        <v>0.88688100000000003</v>
      </c>
    </row>
    <row r="456" spans="1:61" s="359" customFormat="1" ht="19.2" x14ac:dyDescent="0.3">
      <c r="A456" s="360" t="s">
        <v>185</v>
      </c>
      <c r="B456" s="579" t="s">
        <v>929</v>
      </c>
      <c r="C456" s="433" t="s">
        <v>806</v>
      </c>
      <c r="D456" s="361">
        <v>0.22</v>
      </c>
      <c r="E456" s="400"/>
      <c r="F456" s="404"/>
      <c r="G456" s="400"/>
      <c r="H456" s="382"/>
      <c r="I456" s="401"/>
      <c r="J456" s="401"/>
      <c r="K456" s="401"/>
      <c r="L456" s="401"/>
      <c r="M456" s="401"/>
      <c r="N456" s="401"/>
      <c r="O456" s="401"/>
      <c r="P456" s="401"/>
      <c r="Q456" s="401"/>
      <c r="R456" s="385"/>
      <c r="S456" s="439"/>
      <c r="T456" s="389"/>
      <c r="U456" s="521"/>
      <c r="V456" s="402"/>
      <c r="W456" s="402"/>
      <c r="X456" s="400"/>
      <c r="Y456" s="404"/>
      <c r="Z456" s="400"/>
      <c r="AA456" s="586"/>
      <c r="AB456" s="401"/>
      <c r="AC456" s="401"/>
      <c r="AD456" s="401"/>
      <c r="AE456" s="401"/>
      <c r="AF456" s="401"/>
      <c r="AG456" s="401"/>
      <c r="AH456" s="401"/>
      <c r="AI456" s="401"/>
      <c r="AJ456" s="401"/>
      <c r="AK456" s="385"/>
      <c r="AL456" s="439"/>
      <c r="AM456" s="389"/>
      <c r="AN456" s="521"/>
      <c r="AO456" s="402"/>
      <c r="AP456" s="402"/>
      <c r="AQ456" s="400"/>
      <c r="AR456" s="587">
        <v>10</v>
      </c>
      <c r="AS456" s="400">
        <v>10</v>
      </c>
      <c r="AT456" s="585">
        <v>8.8688099999999999</v>
      </c>
      <c r="AU456" s="401">
        <v>8.0764600000000009</v>
      </c>
      <c r="AV456" s="401">
        <v>7.0416600000000003</v>
      </c>
      <c r="AW456" s="401"/>
      <c r="AX456" s="401"/>
      <c r="AY456" s="401">
        <v>0</v>
      </c>
      <c r="AZ456" s="401">
        <v>0</v>
      </c>
      <c r="BA456" s="401">
        <v>0.18472</v>
      </c>
      <c r="BB456" s="401">
        <v>7.0416600000000003</v>
      </c>
      <c r="BC456" s="401"/>
      <c r="BD456" s="385" t="s">
        <v>167</v>
      </c>
      <c r="BE456" s="439" t="s">
        <v>175</v>
      </c>
      <c r="BF456" s="389"/>
      <c r="BG456" s="521">
        <v>615</v>
      </c>
      <c r="BH456" s="402"/>
      <c r="BI456" s="402">
        <f t="shared" si="264"/>
        <v>0.88688100000000003</v>
      </c>
    </row>
    <row r="457" spans="1:61" s="359" customFormat="1" ht="19.2" x14ac:dyDescent="0.3">
      <c r="A457" s="360" t="s">
        <v>187</v>
      </c>
      <c r="B457" s="579" t="s">
        <v>930</v>
      </c>
      <c r="C457" s="433" t="s">
        <v>807</v>
      </c>
      <c r="D457" s="361">
        <v>0.22</v>
      </c>
      <c r="E457" s="400"/>
      <c r="F457" s="404"/>
      <c r="G457" s="400"/>
      <c r="H457" s="382"/>
      <c r="I457" s="401"/>
      <c r="J457" s="401"/>
      <c r="K457" s="401"/>
      <c r="L457" s="401"/>
      <c r="M457" s="401"/>
      <c r="N457" s="401"/>
      <c r="O457" s="401"/>
      <c r="P457" s="401"/>
      <c r="Q457" s="401"/>
      <c r="R457" s="385"/>
      <c r="S457" s="439"/>
      <c r="T457" s="389"/>
      <c r="U457" s="521"/>
      <c r="V457" s="402"/>
      <c r="W457" s="402"/>
      <c r="X457" s="400"/>
      <c r="Y457" s="404"/>
      <c r="Z457" s="400"/>
      <c r="AA457" s="586"/>
      <c r="AB457" s="401"/>
      <c r="AC457" s="401"/>
      <c r="AD457" s="401"/>
      <c r="AE457" s="401"/>
      <c r="AF457" s="401"/>
      <c r="AG457" s="401"/>
      <c r="AH457" s="401"/>
      <c r="AI457" s="401"/>
      <c r="AJ457" s="401"/>
      <c r="AK457" s="385"/>
      <c r="AL457" s="439"/>
      <c r="AM457" s="389"/>
      <c r="AN457" s="521"/>
      <c r="AO457" s="402"/>
      <c r="AP457" s="402"/>
      <c r="AQ457" s="400"/>
      <c r="AR457" s="587">
        <v>10</v>
      </c>
      <c r="AS457" s="400">
        <v>10</v>
      </c>
      <c r="AT457" s="585">
        <v>8.8688099999999999</v>
      </c>
      <c r="AU457" s="401">
        <v>8.0764600000000009</v>
      </c>
      <c r="AV457" s="401">
        <v>7.0416600000000003</v>
      </c>
      <c r="AW457" s="401"/>
      <c r="AX457" s="401"/>
      <c r="AY457" s="401">
        <v>0</v>
      </c>
      <c r="AZ457" s="401">
        <v>0</v>
      </c>
      <c r="BA457" s="401">
        <v>0.18472</v>
      </c>
      <c r="BB457" s="401">
        <v>7.0416600000000003</v>
      </c>
      <c r="BC457" s="401"/>
      <c r="BD457" s="385" t="s">
        <v>167</v>
      </c>
      <c r="BE457" s="439" t="s">
        <v>175</v>
      </c>
      <c r="BF457" s="389"/>
      <c r="BG457" s="521">
        <v>617</v>
      </c>
      <c r="BH457" s="402"/>
      <c r="BI457" s="402">
        <f t="shared" si="264"/>
        <v>0.88688100000000003</v>
      </c>
    </row>
    <row r="458" spans="1:61" s="359" customFormat="1" ht="19.2" x14ac:dyDescent="0.3">
      <c r="A458" s="360" t="s">
        <v>190</v>
      </c>
      <c r="B458" s="579" t="s">
        <v>931</v>
      </c>
      <c r="C458" s="433" t="s">
        <v>808</v>
      </c>
      <c r="D458" s="361">
        <v>0.22</v>
      </c>
      <c r="E458" s="400"/>
      <c r="F458" s="404"/>
      <c r="G458" s="400"/>
      <c r="H458" s="382"/>
      <c r="I458" s="401"/>
      <c r="J458" s="401"/>
      <c r="K458" s="401"/>
      <c r="L458" s="401"/>
      <c r="M458" s="401"/>
      <c r="N458" s="401"/>
      <c r="O458" s="401"/>
      <c r="P458" s="401"/>
      <c r="Q458" s="401"/>
      <c r="R458" s="385"/>
      <c r="S458" s="439"/>
      <c r="T458" s="389"/>
      <c r="U458" s="521"/>
      <c r="V458" s="402"/>
      <c r="W458" s="402"/>
      <c r="X458" s="400"/>
      <c r="Y458" s="404"/>
      <c r="Z458" s="400"/>
      <c r="AA458" s="586"/>
      <c r="AB458" s="401"/>
      <c r="AC458" s="401"/>
      <c r="AD458" s="401"/>
      <c r="AE458" s="401"/>
      <c r="AF458" s="401"/>
      <c r="AG458" s="401"/>
      <c r="AH458" s="401"/>
      <c r="AI458" s="401"/>
      <c r="AJ458" s="401"/>
      <c r="AK458" s="385"/>
      <c r="AL458" s="439"/>
      <c r="AM458" s="389"/>
      <c r="AN458" s="521"/>
      <c r="AO458" s="402"/>
      <c r="AP458" s="402"/>
      <c r="AQ458" s="400"/>
      <c r="AR458" s="587">
        <v>10</v>
      </c>
      <c r="AS458" s="400">
        <v>10</v>
      </c>
      <c r="AT458" s="585">
        <v>8.8688099999999999</v>
      </c>
      <c r="AU458" s="401">
        <v>8.0764600000000009</v>
      </c>
      <c r="AV458" s="401">
        <v>7.0416600000000003</v>
      </c>
      <c r="AW458" s="401"/>
      <c r="AX458" s="401"/>
      <c r="AY458" s="401">
        <v>0</v>
      </c>
      <c r="AZ458" s="401">
        <v>0</v>
      </c>
      <c r="BA458" s="401">
        <v>0.18472</v>
      </c>
      <c r="BB458" s="401">
        <v>7.0416600000000003</v>
      </c>
      <c r="BC458" s="401"/>
      <c r="BD458" s="385" t="s">
        <v>167</v>
      </c>
      <c r="BE458" s="439" t="s">
        <v>175</v>
      </c>
      <c r="BF458" s="389"/>
      <c r="BG458" s="521">
        <v>619</v>
      </c>
      <c r="BH458" s="402"/>
      <c r="BI458" s="402">
        <f t="shared" si="264"/>
        <v>0.88688100000000003</v>
      </c>
    </row>
    <row r="459" spans="1:61" s="359" customFormat="1" ht="19.2" x14ac:dyDescent="0.3">
      <c r="A459" s="360" t="s">
        <v>598</v>
      </c>
      <c r="B459" s="579" t="s">
        <v>932</v>
      </c>
      <c r="C459" s="433" t="s">
        <v>809</v>
      </c>
      <c r="D459" s="361">
        <v>0.22</v>
      </c>
      <c r="E459" s="400"/>
      <c r="F459" s="404"/>
      <c r="G459" s="400"/>
      <c r="H459" s="382"/>
      <c r="I459" s="401"/>
      <c r="J459" s="401"/>
      <c r="K459" s="401"/>
      <c r="L459" s="401"/>
      <c r="M459" s="401"/>
      <c r="N459" s="401"/>
      <c r="O459" s="401"/>
      <c r="P459" s="401"/>
      <c r="Q459" s="401"/>
      <c r="R459" s="385"/>
      <c r="S459" s="439"/>
      <c r="T459" s="389"/>
      <c r="U459" s="521"/>
      <c r="V459" s="402"/>
      <c r="W459" s="402"/>
      <c r="X459" s="400"/>
      <c r="Y459" s="404"/>
      <c r="Z459" s="400"/>
      <c r="AA459" s="586"/>
      <c r="AB459" s="401"/>
      <c r="AC459" s="401"/>
      <c r="AD459" s="401"/>
      <c r="AE459" s="401"/>
      <c r="AF459" s="401"/>
      <c r="AG459" s="401"/>
      <c r="AH459" s="401"/>
      <c r="AI459" s="401"/>
      <c r="AJ459" s="401"/>
      <c r="AK459" s="385"/>
      <c r="AL459" s="439"/>
      <c r="AM459" s="389"/>
      <c r="AN459" s="521"/>
      <c r="AO459" s="402"/>
      <c r="AP459" s="402"/>
      <c r="AQ459" s="400"/>
      <c r="AR459" s="587">
        <v>10</v>
      </c>
      <c r="AS459" s="400">
        <v>10</v>
      </c>
      <c r="AT459" s="585">
        <v>8.8688099999999999</v>
      </c>
      <c r="AU459" s="401">
        <v>8.0764600000000009</v>
      </c>
      <c r="AV459" s="401">
        <v>7.0416600000000003</v>
      </c>
      <c r="AW459" s="401"/>
      <c r="AX459" s="401"/>
      <c r="AY459" s="401">
        <v>0</v>
      </c>
      <c r="AZ459" s="401">
        <v>0</v>
      </c>
      <c r="BA459" s="401">
        <v>0.18472</v>
      </c>
      <c r="BB459" s="401">
        <v>7.0416600000000003</v>
      </c>
      <c r="BC459" s="401"/>
      <c r="BD459" s="385" t="s">
        <v>167</v>
      </c>
      <c r="BE459" s="439" t="s">
        <v>175</v>
      </c>
      <c r="BF459" s="389"/>
      <c r="BG459" s="521">
        <v>621</v>
      </c>
      <c r="BH459" s="402"/>
      <c r="BI459" s="402">
        <f t="shared" si="264"/>
        <v>0.88688100000000003</v>
      </c>
    </row>
    <row r="460" spans="1:61" s="359" customFormat="1" ht="19.2" x14ac:dyDescent="0.3">
      <c r="A460" s="360" t="s">
        <v>599</v>
      </c>
      <c r="B460" s="579" t="s">
        <v>933</v>
      </c>
      <c r="C460" s="433" t="s">
        <v>810</v>
      </c>
      <c r="D460" s="361">
        <v>0.22</v>
      </c>
      <c r="E460" s="400"/>
      <c r="F460" s="404"/>
      <c r="G460" s="400"/>
      <c r="H460" s="382"/>
      <c r="I460" s="401"/>
      <c r="J460" s="401"/>
      <c r="K460" s="401"/>
      <c r="L460" s="401"/>
      <c r="M460" s="401"/>
      <c r="N460" s="401"/>
      <c r="O460" s="401"/>
      <c r="P460" s="401"/>
      <c r="Q460" s="401"/>
      <c r="R460" s="385"/>
      <c r="S460" s="439"/>
      <c r="T460" s="389"/>
      <c r="U460" s="521"/>
      <c r="V460" s="402"/>
      <c r="W460" s="402"/>
      <c r="X460" s="400"/>
      <c r="Y460" s="404"/>
      <c r="Z460" s="400"/>
      <c r="AA460" s="586"/>
      <c r="AB460" s="401"/>
      <c r="AC460" s="401"/>
      <c r="AD460" s="401"/>
      <c r="AE460" s="401"/>
      <c r="AF460" s="401"/>
      <c r="AG460" s="401"/>
      <c r="AH460" s="401"/>
      <c r="AI460" s="401"/>
      <c r="AJ460" s="401"/>
      <c r="AK460" s="385"/>
      <c r="AL460" s="439"/>
      <c r="AM460" s="389"/>
      <c r="AN460" s="521"/>
      <c r="AO460" s="402"/>
      <c r="AP460" s="402"/>
      <c r="AQ460" s="400"/>
      <c r="AR460" s="587">
        <v>15</v>
      </c>
      <c r="AS460" s="400">
        <v>15</v>
      </c>
      <c r="AT460" s="585">
        <v>8.8688099999999999</v>
      </c>
      <c r="AU460" s="401">
        <v>8.0764600000000009</v>
      </c>
      <c r="AV460" s="401">
        <v>7.0416600000000003</v>
      </c>
      <c r="AW460" s="401"/>
      <c r="AX460" s="401"/>
      <c r="AY460" s="401">
        <v>0</v>
      </c>
      <c r="AZ460" s="401">
        <v>0</v>
      </c>
      <c r="BA460" s="401">
        <v>0.18472</v>
      </c>
      <c r="BB460" s="401">
        <v>7.0416600000000003</v>
      </c>
      <c r="BC460" s="401"/>
      <c r="BD460" s="385" t="s">
        <v>167</v>
      </c>
      <c r="BE460" s="439" t="s">
        <v>175</v>
      </c>
      <c r="BF460" s="389"/>
      <c r="BG460" s="521">
        <v>623</v>
      </c>
      <c r="BH460" s="402"/>
      <c r="BI460" s="402">
        <f t="shared" si="264"/>
        <v>0.59125399999999995</v>
      </c>
    </row>
    <row r="461" spans="1:61" s="359" customFormat="1" ht="19.2" x14ac:dyDescent="0.3">
      <c r="A461" s="360" t="s">
        <v>600</v>
      </c>
      <c r="B461" s="579" t="s">
        <v>934</v>
      </c>
      <c r="C461" s="433" t="s">
        <v>814</v>
      </c>
      <c r="D461" s="361">
        <v>0.22</v>
      </c>
      <c r="E461" s="400"/>
      <c r="F461" s="404"/>
      <c r="G461" s="400"/>
      <c r="H461" s="382"/>
      <c r="I461" s="401"/>
      <c r="J461" s="401"/>
      <c r="K461" s="401"/>
      <c r="L461" s="401"/>
      <c r="M461" s="401"/>
      <c r="N461" s="401"/>
      <c r="O461" s="401"/>
      <c r="P461" s="401"/>
      <c r="Q461" s="401"/>
      <c r="R461" s="385"/>
      <c r="S461" s="439"/>
      <c r="T461" s="389"/>
      <c r="U461" s="521"/>
      <c r="V461" s="402"/>
      <c r="W461" s="402"/>
      <c r="X461" s="400"/>
      <c r="Y461" s="404"/>
      <c r="Z461" s="400"/>
      <c r="AA461" s="586"/>
      <c r="AB461" s="401"/>
      <c r="AC461" s="401"/>
      <c r="AD461" s="401"/>
      <c r="AE461" s="401"/>
      <c r="AF461" s="401"/>
      <c r="AG461" s="401"/>
      <c r="AH461" s="401"/>
      <c r="AI461" s="401"/>
      <c r="AJ461" s="401"/>
      <c r="AK461" s="385"/>
      <c r="AL461" s="439"/>
      <c r="AM461" s="389"/>
      <c r="AN461" s="521"/>
      <c r="AO461" s="402"/>
      <c r="AP461" s="402"/>
      <c r="AQ461" s="400"/>
      <c r="AR461" s="587">
        <v>10</v>
      </c>
      <c r="AS461" s="400">
        <v>10</v>
      </c>
      <c r="AT461" s="585">
        <v>8.8688099999999999</v>
      </c>
      <c r="AU461" s="401">
        <v>8.0764600000000009</v>
      </c>
      <c r="AV461" s="401">
        <v>7.0416600000000003</v>
      </c>
      <c r="AW461" s="401"/>
      <c r="AX461" s="401"/>
      <c r="AY461" s="401">
        <v>0</v>
      </c>
      <c r="AZ461" s="401">
        <v>0</v>
      </c>
      <c r="BA461" s="401">
        <v>0.18472</v>
      </c>
      <c r="BB461" s="401">
        <v>7.0416600000000003</v>
      </c>
      <c r="BC461" s="401"/>
      <c r="BD461" s="385" t="s">
        <v>167</v>
      </c>
      <c r="BE461" s="439" t="s">
        <v>175</v>
      </c>
      <c r="BF461" s="389"/>
      <c r="BG461" s="521">
        <v>625</v>
      </c>
      <c r="BH461" s="402"/>
      <c r="BI461" s="402">
        <f t="shared" si="264"/>
        <v>0.88688100000000003</v>
      </c>
    </row>
    <row r="462" spans="1:61" s="359" customFormat="1" ht="19.2" x14ac:dyDescent="0.3">
      <c r="A462" s="360" t="s">
        <v>601</v>
      </c>
      <c r="B462" s="579" t="s">
        <v>935</v>
      </c>
      <c r="C462" s="433" t="s">
        <v>818</v>
      </c>
      <c r="D462" s="361">
        <v>0.22</v>
      </c>
      <c r="E462" s="400"/>
      <c r="F462" s="404"/>
      <c r="G462" s="400"/>
      <c r="H462" s="382"/>
      <c r="I462" s="401"/>
      <c r="J462" s="401"/>
      <c r="K462" s="401"/>
      <c r="L462" s="401"/>
      <c r="M462" s="401"/>
      <c r="N462" s="401"/>
      <c r="O462" s="401"/>
      <c r="P462" s="401"/>
      <c r="Q462" s="401"/>
      <c r="R462" s="385"/>
      <c r="S462" s="439"/>
      <c r="T462" s="389"/>
      <c r="U462" s="521"/>
      <c r="V462" s="402"/>
      <c r="W462" s="402"/>
      <c r="X462" s="400"/>
      <c r="Y462" s="404"/>
      <c r="Z462" s="400"/>
      <c r="AA462" s="586"/>
      <c r="AB462" s="401"/>
      <c r="AC462" s="401"/>
      <c r="AD462" s="401"/>
      <c r="AE462" s="401"/>
      <c r="AF462" s="401"/>
      <c r="AG462" s="401"/>
      <c r="AH462" s="401"/>
      <c r="AI462" s="401"/>
      <c r="AJ462" s="401"/>
      <c r="AK462" s="385"/>
      <c r="AL462" s="439"/>
      <c r="AM462" s="389"/>
      <c r="AN462" s="521"/>
      <c r="AO462" s="402"/>
      <c r="AP462" s="402"/>
      <c r="AQ462" s="400"/>
      <c r="AR462" s="587">
        <v>10</v>
      </c>
      <c r="AS462" s="400">
        <v>10</v>
      </c>
      <c r="AT462" s="585">
        <v>8.7450200000000002</v>
      </c>
      <c r="AU462" s="401">
        <v>7.9526700000000003</v>
      </c>
      <c r="AV462" s="401">
        <v>7.0416499999999997</v>
      </c>
      <c r="AW462" s="401"/>
      <c r="AX462" s="401"/>
      <c r="AY462" s="401">
        <v>0</v>
      </c>
      <c r="AZ462" s="401">
        <v>0</v>
      </c>
      <c r="BA462" s="401">
        <v>0.18472</v>
      </c>
      <c r="BB462" s="401">
        <v>7.0416499999999997</v>
      </c>
      <c r="BC462" s="401"/>
      <c r="BD462" s="385" t="s">
        <v>167</v>
      </c>
      <c r="BE462" s="439" t="s">
        <v>175</v>
      </c>
      <c r="BF462" s="389"/>
      <c r="BG462" s="521">
        <v>627</v>
      </c>
      <c r="BH462" s="402"/>
      <c r="BI462" s="402">
        <f t="shared" si="264"/>
        <v>0.874502</v>
      </c>
    </row>
    <row r="463" spans="1:61" s="359" customFormat="1" ht="19.2" x14ac:dyDescent="0.3">
      <c r="A463" s="360" t="s">
        <v>602</v>
      </c>
      <c r="B463" s="579" t="s">
        <v>936</v>
      </c>
      <c r="C463" s="433" t="s">
        <v>832</v>
      </c>
      <c r="D463" s="361">
        <v>0.22</v>
      </c>
      <c r="E463" s="400"/>
      <c r="F463" s="404"/>
      <c r="G463" s="400"/>
      <c r="H463" s="382"/>
      <c r="I463" s="401"/>
      <c r="J463" s="401"/>
      <c r="K463" s="401"/>
      <c r="L463" s="401"/>
      <c r="M463" s="401"/>
      <c r="N463" s="401"/>
      <c r="O463" s="401"/>
      <c r="P463" s="401"/>
      <c r="Q463" s="401"/>
      <c r="R463" s="385"/>
      <c r="S463" s="439"/>
      <c r="T463" s="389"/>
      <c r="U463" s="521"/>
      <c r="V463" s="402"/>
      <c r="W463" s="402"/>
      <c r="X463" s="400"/>
      <c r="Y463" s="404"/>
      <c r="Z463" s="400"/>
      <c r="AA463" s="586"/>
      <c r="AB463" s="401"/>
      <c r="AC463" s="401"/>
      <c r="AD463" s="401"/>
      <c r="AE463" s="401"/>
      <c r="AF463" s="401"/>
      <c r="AG463" s="401"/>
      <c r="AH463" s="401"/>
      <c r="AI463" s="401"/>
      <c r="AJ463" s="401"/>
      <c r="AK463" s="385"/>
      <c r="AL463" s="439"/>
      <c r="AM463" s="389"/>
      <c r="AN463" s="521"/>
      <c r="AO463" s="402"/>
      <c r="AP463" s="402"/>
      <c r="AQ463" s="400"/>
      <c r="AR463" s="587">
        <v>15</v>
      </c>
      <c r="AS463" s="400">
        <v>15</v>
      </c>
      <c r="AT463" s="585">
        <v>6.9836</v>
      </c>
      <c r="AU463" s="401">
        <v>6.18771</v>
      </c>
      <c r="AV463" s="401">
        <v>5.2084700000000002</v>
      </c>
      <c r="AW463" s="401"/>
      <c r="AX463" s="401"/>
      <c r="AY463" s="401">
        <v>0</v>
      </c>
      <c r="AZ463" s="401">
        <v>0</v>
      </c>
      <c r="BA463" s="401">
        <v>0.18472</v>
      </c>
      <c r="BB463" s="401">
        <v>5.2084700000000002</v>
      </c>
      <c r="BC463" s="401"/>
      <c r="BD463" s="385" t="s">
        <v>167</v>
      </c>
      <c r="BE463" s="439" t="s">
        <v>175</v>
      </c>
      <c r="BF463" s="389"/>
      <c r="BG463" s="521">
        <v>629</v>
      </c>
      <c r="BH463" s="402"/>
      <c r="BI463" s="402">
        <f t="shared" si="264"/>
        <v>0.46557333333333334</v>
      </c>
    </row>
    <row r="464" spans="1:61" s="359" customFormat="1" ht="19.2" x14ac:dyDescent="0.3">
      <c r="A464" s="360" t="s">
        <v>603</v>
      </c>
      <c r="B464" s="579" t="s">
        <v>937</v>
      </c>
      <c r="C464" s="433" t="s">
        <v>841</v>
      </c>
      <c r="D464" s="361">
        <v>0.22</v>
      </c>
      <c r="E464" s="400"/>
      <c r="F464" s="404"/>
      <c r="G464" s="400"/>
      <c r="H464" s="382"/>
      <c r="I464" s="401"/>
      <c r="J464" s="401"/>
      <c r="K464" s="401"/>
      <c r="L464" s="401"/>
      <c r="M464" s="401"/>
      <c r="N464" s="401"/>
      <c r="O464" s="401"/>
      <c r="P464" s="401"/>
      <c r="Q464" s="401"/>
      <c r="R464" s="385"/>
      <c r="S464" s="439"/>
      <c r="T464" s="389"/>
      <c r="U464" s="521"/>
      <c r="V464" s="402"/>
      <c r="W464" s="402"/>
      <c r="X464" s="400"/>
      <c r="Y464" s="404"/>
      <c r="Z464" s="400"/>
      <c r="AA464" s="586"/>
      <c r="AB464" s="401"/>
      <c r="AC464" s="401"/>
      <c r="AD464" s="401"/>
      <c r="AE464" s="401"/>
      <c r="AF464" s="401"/>
      <c r="AG464" s="401"/>
      <c r="AH464" s="401"/>
      <c r="AI464" s="401"/>
      <c r="AJ464" s="401"/>
      <c r="AK464" s="385"/>
      <c r="AL464" s="439"/>
      <c r="AM464" s="389"/>
      <c r="AN464" s="521"/>
      <c r="AO464" s="402"/>
      <c r="AP464" s="402"/>
      <c r="AQ464" s="400"/>
      <c r="AR464" s="587">
        <v>10</v>
      </c>
      <c r="AS464" s="400">
        <v>10</v>
      </c>
      <c r="AT464" s="585">
        <v>8.8688099999999999</v>
      </c>
      <c r="AU464" s="401">
        <v>8.0764600000000009</v>
      </c>
      <c r="AV464" s="401">
        <v>7.0416600000000003</v>
      </c>
      <c r="AW464" s="401"/>
      <c r="AX464" s="401"/>
      <c r="AY464" s="401">
        <v>0</v>
      </c>
      <c r="AZ464" s="401">
        <v>0</v>
      </c>
      <c r="BA464" s="401">
        <v>0.18472</v>
      </c>
      <c r="BB464" s="401">
        <v>7.0416600000000003</v>
      </c>
      <c r="BC464" s="401"/>
      <c r="BD464" s="385" t="s">
        <v>167</v>
      </c>
      <c r="BE464" s="439" t="s">
        <v>175</v>
      </c>
      <c r="BF464" s="389"/>
      <c r="BG464" s="521">
        <v>631</v>
      </c>
      <c r="BH464" s="402"/>
      <c r="BI464" s="402">
        <f t="shared" si="264"/>
        <v>0.88688100000000003</v>
      </c>
    </row>
    <row r="465" spans="1:61" s="359" customFormat="1" ht="19.2" x14ac:dyDescent="0.3">
      <c r="A465" s="360" t="s">
        <v>604</v>
      </c>
      <c r="B465" s="579" t="s">
        <v>938</v>
      </c>
      <c r="C465" s="433" t="s">
        <v>842</v>
      </c>
      <c r="D465" s="361">
        <v>0.22</v>
      </c>
      <c r="E465" s="400"/>
      <c r="F465" s="404"/>
      <c r="G465" s="400"/>
      <c r="H465" s="382"/>
      <c r="I465" s="401"/>
      <c r="J465" s="401"/>
      <c r="K465" s="401"/>
      <c r="L465" s="401"/>
      <c r="M465" s="401"/>
      <c r="N465" s="401"/>
      <c r="O465" s="401"/>
      <c r="P465" s="401"/>
      <c r="Q465" s="401"/>
      <c r="R465" s="385"/>
      <c r="S465" s="439"/>
      <c r="T465" s="389"/>
      <c r="U465" s="521"/>
      <c r="V465" s="402"/>
      <c r="W465" s="402"/>
      <c r="X465" s="400"/>
      <c r="Y465" s="404"/>
      <c r="Z465" s="400"/>
      <c r="AA465" s="586"/>
      <c r="AB465" s="401"/>
      <c r="AC465" s="401"/>
      <c r="AD465" s="401"/>
      <c r="AE465" s="401"/>
      <c r="AF465" s="401"/>
      <c r="AG465" s="401"/>
      <c r="AH465" s="401"/>
      <c r="AI465" s="401"/>
      <c r="AJ465" s="401"/>
      <c r="AK465" s="385"/>
      <c r="AL465" s="439"/>
      <c r="AM465" s="389"/>
      <c r="AN465" s="521"/>
      <c r="AO465" s="402"/>
      <c r="AP465" s="402"/>
      <c r="AQ465" s="400"/>
      <c r="AR465" s="587">
        <v>15</v>
      </c>
      <c r="AS465" s="400">
        <v>15</v>
      </c>
      <c r="AT465" s="585">
        <v>8.6817200000000003</v>
      </c>
      <c r="AU465" s="401">
        <v>7.8893700000000004</v>
      </c>
      <c r="AV465" s="401">
        <v>7.0416699999999999</v>
      </c>
      <c r="AW465" s="401"/>
      <c r="AX465" s="401"/>
      <c r="AY465" s="401">
        <v>0</v>
      </c>
      <c r="AZ465" s="401">
        <v>0</v>
      </c>
      <c r="BA465" s="401">
        <v>0.18472</v>
      </c>
      <c r="BB465" s="401">
        <v>7.0416699999999999</v>
      </c>
      <c r="BC465" s="401"/>
      <c r="BD465" s="385" t="s">
        <v>167</v>
      </c>
      <c r="BE465" s="439" t="s">
        <v>175</v>
      </c>
      <c r="BF465" s="389"/>
      <c r="BG465" s="521">
        <v>633</v>
      </c>
      <c r="BH465" s="402"/>
      <c r="BI465" s="402">
        <f t="shared" si="264"/>
        <v>0.57878133333333337</v>
      </c>
    </row>
    <row r="466" spans="1:61" s="359" customFormat="1" ht="19.2" x14ac:dyDescent="0.3">
      <c r="A466" s="360" t="s">
        <v>605</v>
      </c>
      <c r="B466" s="579" t="s">
        <v>939</v>
      </c>
      <c r="C466" s="433" t="s">
        <v>843</v>
      </c>
      <c r="D466" s="361">
        <v>0.22</v>
      </c>
      <c r="E466" s="400"/>
      <c r="F466" s="404"/>
      <c r="G466" s="400"/>
      <c r="H466" s="382"/>
      <c r="I466" s="401"/>
      <c r="J466" s="401"/>
      <c r="K466" s="401"/>
      <c r="L466" s="401"/>
      <c r="M466" s="401"/>
      <c r="N466" s="401"/>
      <c r="O466" s="401"/>
      <c r="P466" s="401"/>
      <c r="Q466" s="401"/>
      <c r="R466" s="385"/>
      <c r="S466" s="439"/>
      <c r="T466" s="389"/>
      <c r="U466" s="521"/>
      <c r="V466" s="402"/>
      <c r="W466" s="402"/>
      <c r="X466" s="400"/>
      <c r="Y466" s="404"/>
      <c r="Z466" s="400"/>
      <c r="AA466" s="586"/>
      <c r="AB466" s="401"/>
      <c r="AC466" s="401"/>
      <c r="AD466" s="401"/>
      <c r="AE466" s="401"/>
      <c r="AF466" s="401"/>
      <c r="AG466" s="401"/>
      <c r="AH466" s="401"/>
      <c r="AI466" s="401"/>
      <c r="AJ466" s="401"/>
      <c r="AK466" s="385"/>
      <c r="AL466" s="439"/>
      <c r="AM466" s="389"/>
      <c r="AN466" s="521"/>
      <c r="AO466" s="402"/>
      <c r="AP466" s="402"/>
      <c r="AQ466" s="400"/>
      <c r="AR466" s="587">
        <v>15</v>
      </c>
      <c r="AS466" s="400">
        <v>15</v>
      </c>
      <c r="AT466" s="585">
        <v>8.6817200000000003</v>
      </c>
      <c r="AU466" s="401">
        <v>7.8893700000000004</v>
      </c>
      <c r="AV466" s="401">
        <v>7.0416699999999999</v>
      </c>
      <c r="AW466" s="401"/>
      <c r="AX466" s="401"/>
      <c r="AY466" s="401">
        <v>0</v>
      </c>
      <c r="AZ466" s="401">
        <v>0</v>
      </c>
      <c r="BA466" s="401">
        <v>0.18472</v>
      </c>
      <c r="BB466" s="401">
        <v>7.0416699999999999</v>
      </c>
      <c r="BC466" s="401"/>
      <c r="BD466" s="385" t="s">
        <v>167</v>
      </c>
      <c r="BE466" s="439" t="s">
        <v>175</v>
      </c>
      <c r="BF466" s="389"/>
      <c r="BG466" s="521">
        <v>635</v>
      </c>
      <c r="BH466" s="402"/>
      <c r="BI466" s="402">
        <f t="shared" si="264"/>
        <v>0.57878133333333337</v>
      </c>
    </row>
    <row r="467" spans="1:61" s="359" customFormat="1" ht="19.2" x14ac:dyDescent="0.3">
      <c r="A467" s="360" t="s">
        <v>606</v>
      </c>
      <c r="B467" s="579" t="s">
        <v>940</v>
      </c>
      <c r="C467" s="433" t="s">
        <v>844</v>
      </c>
      <c r="D467" s="361">
        <v>0.22</v>
      </c>
      <c r="E467" s="400"/>
      <c r="F467" s="404"/>
      <c r="G467" s="400"/>
      <c r="H467" s="382"/>
      <c r="I467" s="401"/>
      <c r="J467" s="401"/>
      <c r="K467" s="401"/>
      <c r="L467" s="401"/>
      <c r="M467" s="401"/>
      <c r="N467" s="401"/>
      <c r="O467" s="401"/>
      <c r="P467" s="401"/>
      <c r="Q467" s="401"/>
      <c r="R467" s="385"/>
      <c r="S467" s="439"/>
      <c r="T467" s="389"/>
      <c r="U467" s="521"/>
      <c r="V467" s="402"/>
      <c r="W467" s="402"/>
      <c r="X467" s="400"/>
      <c r="Y467" s="404"/>
      <c r="Z467" s="400"/>
      <c r="AA467" s="586"/>
      <c r="AB467" s="401"/>
      <c r="AC467" s="401"/>
      <c r="AD467" s="401"/>
      <c r="AE467" s="401"/>
      <c r="AF467" s="401"/>
      <c r="AG467" s="401"/>
      <c r="AH467" s="401"/>
      <c r="AI467" s="401"/>
      <c r="AJ467" s="401"/>
      <c r="AK467" s="385"/>
      <c r="AL467" s="439"/>
      <c r="AM467" s="389"/>
      <c r="AN467" s="521"/>
      <c r="AO467" s="402"/>
      <c r="AP467" s="402"/>
      <c r="AQ467" s="400"/>
      <c r="AR467" s="587">
        <v>15</v>
      </c>
      <c r="AS467" s="400">
        <v>15</v>
      </c>
      <c r="AT467" s="585">
        <v>8.7450200000000002</v>
      </c>
      <c r="AU467" s="401">
        <v>7.9526700000000003</v>
      </c>
      <c r="AV467" s="401">
        <v>7.0416499999999997</v>
      </c>
      <c r="AW467" s="401"/>
      <c r="AX467" s="401"/>
      <c r="AY467" s="401">
        <v>0</v>
      </c>
      <c r="AZ467" s="401">
        <v>0</v>
      </c>
      <c r="BA467" s="401">
        <v>0.18472</v>
      </c>
      <c r="BB467" s="401">
        <v>7.0416499999999997</v>
      </c>
      <c r="BC467" s="401"/>
      <c r="BD467" s="385" t="s">
        <v>167</v>
      </c>
      <c r="BE467" s="439" t="s">
        <v>175</v>
      </c>
      <c r="BF467" s="389"/>
      <c r="BG467" s="521">
        <v>637</v>
      </c>
      <c r="BH467" s="402"/>
      <c r="BI467" s="402">
        <f t="shared" ref="BI467:BI502" si="283">AT467/AR467</f>
        <v>0.58300133333333337</v>
      </c>
    </row>
    <row r="468" spans="1:61" s="359" customFormat="1" ht="19.2" x14ac:dyDescent="0.3">
      <c r="A468" s="360" t="s">
        <v>607</v>
      </c>
      <c r="B468" s="579" t="s">
        <v>941</v>
      </c>
      <c r="C468" s="433" t="s">
        <v>845</v>
      </c>
      <c r="D468" s="361">
        <v>0.22</v>
      </c>
      <c r="E468" s="400"/>
      <c r="F468" s="404"/>
      <c r="G468" s="400"/>
      <c r="H468" s="382"/>
      <c r="I468" s="401"/>
      <c r="J468" s="401"/>
      <c r="K468" s="401"/>
      <c r="L468" s="401"/>
      <c r="M468" s="401"/>
      <c r="N468" s="401"/>
      <c r="O468" s="401"/>
      <c r="P468" s="401"/>
      <c r="Q468" s="401"/>
      <c r="R468" s="385"/>
      <c r="S468" s="439"/>
      <c r="T468" s="389"/>
      <c r="U468" s="521"/>
      <c r="V468" s="402"/>
      <c r="W468" s="402"/>
      <c r="X468" s="400"/>
      <c r="Y468" s="404"/>
      <c r="Z468" s="400"/>
      <c r="AA468" s="586"/>
      <c r="AB468" s="401"/>
      <c r="AC468" s="401"/>
      <c r="AD468" s="401"/>
      <c r="AE468" s="401"/>
      <c r="AF468" s="401"/>
      <c r="AG468" s="401"/>
      <c r="AH468" s="401"/>
      <c r="AI468" s="401"/>
      <c r="AJ468" s="401"/>
      <c r="AK468" s="385"/>
      <c r="AL468" s="439"/>
      <c r="AM468" s="389"/>
      <c r="AN468" s="521"/>
      <c r="AO468" s="402"/>
      <c r="AP468" s="402"/>
      <c r="AQ468" s="400"/>
      <c r="AR468" s="587">
        <v>15</v>
      </c>
      <c r="AS468" s="400">
        <v>15</v>
      </c>
      <c r="AT468" s="585">
        <v>6.9835900000000004</v>
      </c>
      <c r="AU468" s="401">
        <v>6.1877199999999997</v>
      </c>
      <c r="AV468" s="401">
        <v>5.2084799999999998</v>
      </c>
      <c r="AW468" s="401"/>
      <c r="AX468" s="401"/>
      <c r="AY468" s="401">
        <v>0</v>
      </c>
      <c r="AZ468" s="401">
        <v>0</v>
      </c>
      <c r="BA468" s="401">
        <v>0.18472</v>
      </c>
      <c r="BB468" s="401">
        <v>5.2084799999999998</v>
      </c>
      <c r="BC468" s="401"/>
      <c r="BD468" s="385" t="s">
        <v>167</v>
      </c>
      <c r="BE468" s="439" t="s">
        <v>175</v>
      </c>
      <c r="BF468" s="389"/>
      <c r="BG468" s="521">
        <v>639</v>
      </c>
      <c r="BH468" s="402"/>
      <c r="BI468" s="402">
        <f t="shared" si="283"/>
        <v>0.46557266666666669</v>
      </c>
    </row>
    <row r="469" spans="1:61" s="359" customFormat="1" ht="19.2" x14ac:dyDescent="0.3">
      <c r="A469" s="360" t="s">
        <v>608</v>
      </c>
      <c r="B469" s="579" t="s">
        <v>942</v>
      </c>
      <c r="C469" s="433" t="s">
        <v>846</v>
      </c>
      <c r="D469" s="361">
        <v>0.22</v>
      </c>
      <c r="E469" s="400"/>
      <c r="F469" s="404"/>
      <c r="G469" s="400"/>
      <c r="H469" s="382"/>
      <c r="I469" s="401"/>
      <c r="J469" s="401"/>
      <c r="K469" s="401"/>
      <c r="L469" s="401"/>
      <c r="M469" s="401"/>
      <c r="N469" s="401"/>
      <c r="O469" s="401"/>
      <c r="P469" s="401"/>
      <c r="Q469" s="401"/>
      <c r="R469" s="385"/>
      <c r="S469" s="439"/>
      <c r="T469" s="389"/>
      <c r="U469" s="521"/>
      <c r="V469" s="402"/>
      <c r="W469" s="402"/>
      <c r="X469" s="400"/>
      <c r="Y469" s="404"/>
      <c r="Z469" s="400"/>
      <c r="AA469" s="586"/>
      <c r="AB469" s="401"/>
      <c r="AC469" s="401"/>
      <c r="AD469" s="401"/>
      <c r="AE469" s="401"/>
      <c r="AF469" s="401"/>
      <c r="AG469" s="401"/>
      <c r="AH469" s="401"/>
      <c r="AI469" s="401"/>
      <c r="AJ469" s="401"/>
      <c r="AK469" s="385"/>
      <c r="AL469" s="439"/>
      <c r="AM469" s="389"/>
      <c r="AN469" s="521"/>
      <c r="AO469" s="402"/>
      <c r="AP469" s="402"/>
      <c r="AQ469" s="400"/>
      <c r="AR469" s="587">
        <v>15</v>
      </c>
      <c r="AS469" s="400">
        <v>15</v>
      </c>
      <c r="AT469" s="585">
        <v>6.9835900000000004</v>
      </c>
      <c r="AU469" s="401">
        <v>6.1877199999999997</v>
      </c>
      <c r="AV469" s="401">
        <v>5.2084799999999998</v>
      </c>
      <c r="AW469" s="401"/>
      <c r="AX469" s="401"/>
      <c r="AY469" s="401">
        <v>0</v>
      </c>
      <c r="AZ469" s="401">
        <v>0</v>
      </c>
      <c r="BA469" s="401">
        <v>0.18472</v>
      </c>
      <c r="BB469" s="401">
        <v>5.2084799999999998</v>
      </c>
      <c r="BC469" s="401"/>
      <c r="BD469" s="385" t="s">
        <v>167</v>
      </c>
      <c r="BE469" s="439" t="s">
        <v>175</v>
      </c>
      <c r="BF469" s="389"/>
      <c r="BG469" s="521">
        <v>641</v>
      </c>
      <c r="BH469" s="402"/>
      <c r="BI469" s="402">
        <f t="shared" si="283"/>
        <v>0.46557266666666669</v>
      </c>
    </row>
    <row r="470" spans="1:61" s="359" customFormat="1" ht="19.2" x14ac:dyDescent="0.3">
      <c r="A470" s="360" t="s">
        <v>1107</v>
      </c>
      <c r="B470" s="579" t="s">
        <v>943</v>
      </c>
      <c r="C470" s="433" t="s">
        <v>847</v>
      </c>
      <c r="D470" s="361">
        <v>0.22</v>
      </c>
      <c r="E470" s="400"/>
      <c r="F470" s="404"/>
      <c r="G470" s="400"/>
      <c r="H470" s="382"/>
      <c r="I470" s="401"/>
      <c r="J470" s="401"/>
      <c r="K470" s="401"/>
      <c r="L470" s="401"/>
      <c r="M470" s="401"/>
      <c r="N470" s="401"/>
      <c r="O470" s="401"/>
      <c r="P470" s="401"/>
      <c r="Q470" s="401"/>
      <c r="R470" s="385"/>
      <c r="S470" s="439"/>
      <c r="T470" s="389"/>
      <c r="U470" s="521"/>
      <c r="V470" s="402"/>
      <c r="W470" s="402"/>
      <c r="X470" s="400"/>
      <c r="Y470" s="404"/>
      <c r="Z470" s="400"/>
      <c r="AA470" s="586"/>
      <c r="AB470" s="401"/>
      <c r="AC470" s="401"/>
      <c r="AD470" s="401"/>
      <c r="AE470" s="401"/>
      <c r="AF470" s="401"/>
      <c r="AG470" s="401"/>
      <c r="AH470" s="401"/>
      <c r="AI470" s="401"/>
      <c r="AJ470" s="401"/>
      <c r="AK470" s="385"/>
      <c r="AL470" s="439"/>
      <c r="AM470" s="389"/>
      <c r="AN470" s="521"/>
      <c r="AO470" s="402"/>
      <c r="AP470" s="402"/>
      <c r="AQ470" s="400"/>
      <c r="AR470" s="587">
        <v>15</v>
      </c>
      <c r="AS470" s="400">
        <v>15</v>
      </c>
      <c r="AT470" s="585">
        <v>6.9835900000000004</v>
      </c>
      <c r="AU470" s="401">
        <v>6.1877199999999997</v>
      </c>
      <c r="AV470" s="401">
        <v>5.2084799999999998</v>
      </c>
      <c r="AW470" s="401"/>
      <c r="AX470" s="401"/>
      <c r="AY470" s="401">
        <v>0</v>
      </c>
      <c r="AZ470" s="401">
        <v>0</v>
      </c>
      <c r="BA470" s="401">
        <v>0.18472</v>
      </c>
      <c r="BB470" s="401">
        <v>5.2084799999999998</v>
      </c>
      <c r="BC470" s="401"/>
      <c r="BD470" s="385" t="s">
        <v>167</v>
      </c>
      <c r="BE470" s="439" t="s">
        <v>175</v>
      </c>
      <c r="BF470" s="389"/>
      <c r="BG470" s="521">
        <v>643</v>
      </c>
      <c r="BH470" s="402"/>
      <c r="BI470" s="402">
        <f t="shared" si="283"/>
        <v>0.46557266666666669</v>
      </c>
    </row>
    <row r="471" spans="1:61" s="359" customFormat="1" ht="19.2" x14ac:dyDescent="0.3">
      <c r="A471" s="360" t="s">
        <v>1108</v>
      </c>
      <c r="B471" s="579" t="s">
        <v>944</v>
      </c>
      <c r="C471" s="433" t="s">
        <v>848</v>
      </c>
      <c r="D471" s="361">
        <v>0.22</v>
      </c>
      <c r="E471" s="400"/>
      <c r="F471" s="404"/>
      <c r="G471" s="400"/>
      <c r="H471" s="382"/>
      <c r="I471" s="401"/>
      <c r="J471" s="401"/>
      <c r="K471" s="401"/>
      <c r="L471" s="401"/>
      <c r="M471" s="401"/>
      <c r="N471" s="401"/>
      <c r="O471" s="401"/>
      <c r="P471" s="401"/>
      <c r="Q471" s="401"/>
      <c r="R471" s="385"/>
      <c r="S471" s="439"/>
      <c r="T471" s="389"/>
      <c r="U471" s="521"/>
      <c r="V471" s="402"/>
      <c r="W471" s="402"/>
      <c r="X471" s="400"/>
      <c r="Y471" s="404"/>
      <c r="Z471" s="400"/>
      <c r="AA471" s="586"/>
      <c r="AB471" s="401"/>
      <c r="AC471" s="401"/>
      <c r="AD471" s="401"/>
      <c r="AE471" s="401"/>
      <c r="AF471" s="401"/>
      <c r="AG471" s="401"/>
      <c r="AH471" s="401"/>
      <c r="AI471" s="401"/>
      <c r="AJ471" s="401"/>
      <c r="AK471" s="385"/>
      <c r="AL471" s="439"/>
      <c r="AM471" s="389"/>
      <c r="AN471" s="521"/>
      <c r="AO471" s="402"/>
      <c r="AP471" s="402"/>
      <c r="AQ471" s="400"/>
      <c r="AR471" s="587">
        <v>15</v>
      </c>
      <c r="AS471" s="400">
        <v>15</v>
      </c>
      <c r="AT471" s="585">
        <v>6.9835900000000004</v>
      </c>
      <c r="AU471" s="401">
        <v>6.1877199999999997</v>
      </c>
      <c r="AV471" s="401">
        <v>5.2084799999999998</v>
      </c>
      <c r="AW471" s="401"/>
      <c r="AX471" s="401"/>
      <c r="AY471" s="401">
        <v>0</v>
      </c>
      <c r="AZ471" s="401">
        <v>0</v>
      </c>
      <c r="BA471" s="401">
        <v>0.18472</v>
      </c>
      <c r="BB471" s="401">
        <v>5.2084799999999998</v>
      </c>
      <c r="BC471" s="401"/>
      <c r="BD471" s="385" t="s">
        <v>167</v>
      </c>
      <c r="BE471" s="439" t="s">
        <v>175</v>
      </c>
      <c r="BF471" s="389"/>
      <c r="BG471" s="521">
        <v>645</v>
      </c>
      <c r="BH471" s="402"/>
      <c r="BI471" s="402">
        <f t="shared" si="283"/>
        <v>0.46557266666666669</v>
      </c>
    </row>
    <row r="472" spans="1:61" s="359" customFormat="1" ht="19.2" x14ac:dyDescent="0.3">
      <c r="A472" s="360" t="s">
        <v>1109</v>
      </c>
      <c r="B472" s="579" t="s">
        <v>945</v>
      </c>
      <c r="C472" s="433" t="s">
        <v>849</v>
      </c>
      <c r="D472" s="361">
        <v>0.22</v>
      </c>
      <c r="E472" s="400"/>
      <c r="F472" s="404"/>
      <c r="G472" s="400"/>
      <c r="H472" s="382"/>
      <c r="I472" s="401"/>
      <c r="J472" s="401"/>
      <c r="K472" s="401"/>
      <c r="L472" s="401"/>
      <c r="M472" s="401"/>
      <c r="N472" s="401"/>
      <c r="O472" s="401"/>
      <c r="P472" s="401"/>
      <c r="Q472" s="401"/>
      <c r="R472" s="385"/>
      <c r="S472" s="439"/>
      <c r="T472" s="389"/>
      <c r="U472" s="521"/>
      <c r="V472" s="402"/>
      <c r="W472" s="402"/>
      <c r="X472" s="400"/>
      <c r="Y472" s="404"/>
      <c r="Z472" s="400"/>
      <c r="AA472" s="586"/>
      <c r="AB472" s="401"/>
      <c r="AC472" s="401"/>
      <c r="AD472" s="401"/>
      <c r="AE472" s="401"/>
      <c r="AF472" s="401"/>
      <c r="AG472" s="401"/>
      <c r="AH472" s="401"/>
      <c r="AI472" s="401"/>
      <c r="AJ472" s="401"/>
      <c r="AK472" s="385"/>
      <c r="AL472" s="439"/>
      <c r="AM472" s="389"/>
      <c r="AN472" s="521"/>
      <c r="AO472" s="402"/>
      <c r="AP472" s="402"/>
      <c r="AQ472" s="400"/>
      <c r="AR472" s="587">
        <v>15</v>
      </c>
      <c r="AS472" s="400">
        <v>15</v>
      </c>
      <c r="AT472" s="585">
        <v>6.9835900000000004</v>
      </c>
      <c r="AU472" s="401">
        <v>6.1877199999999997</v>
      </c>
      <c r="AV472" s="401">
        <v>5.2084799999999998</v>
      </c>
      <c r="AW472" s="401"/>
      <c r="AX472" s="401"/>
      <c r="AY472" s="401">
        <v>0</v>
      </c>
      <c r="AZ472" s="401">
        <v>0</v>
      </c>
      <c r="BA472" s="401">
        <v>0.18472</v>
      </c>
      <c r="BB472" s="401">
        <v>5.2084799999999998</v>
      </c>
      <c r="BC472" s="401"/>
      <c r="BD472" s="385" t="s">
        <v>167</v>
      </c>
      <c r="BE472" s="439" t="s">
        <v>175</v>
      </c>
      <c r="BF472" s="389"/>
      <c r="BG472" s="521">
        <v>647</v>
      </c>
      <c r="BH472" s="402"/>
      <c r="BI472" s="402">
        <f t="shared" si="283"/>
        <v>0.46557266666666669</v>
      </c>
    </row>
    <row r="473" spans="1:61" s="359" customFormat="1" ht="19.2" x14ac:dyDescent="0.3">
      <c r="A473" s="360" t="s">
        <v>1110</v>
      </c>
      <c r="B473" s="579" t="s">
        <v>946</v>
      </c>
      <c r="C473" s="433" t="s">
        <v>850</v>
      </c>
      <c r="D473" s="361">
        <v>0.22</v>
      </c>
      <c r="E473" s="400"/>
      <c r="F473" s="404"/>
      <c r="G473" s="400"/>
      <c r="H473" s="382"/>
      <c r="I473" s="401"/>
      <c r="J473" s="401"/>
      <c r="K473" s="401"/>
      <c r="L473" s="401"/>
      <c r="M473" s="401"/>
      <c r="N473" s="401"/>
      <c r="O473" s="401"/>
      <c r="P473" s="401"/>
      <c r="Q473" s="401"/>
      <c r="R473" s="385"/>
      <c r="S473" s="439"/>
      <c r="T473" s="389"/>
      <c r="U473" s="521"/>
      <c r="V473" s="402"/>
      <c r="W473" s="402"/>
      <c r="X473" s="400"/>
      <c r="Y473" s="404"/>
      <c r="Z473" s="400"/>
      <c r="AA473" s="586"/>
      <c r="AB473" s="401"/>
      <c r="AC473" s="401"/>
      <c r="AD473" s="401"/>
      <c r="AE473" s="401"/>
      <c r="AF473" s="401"/>
      <c r="AG473" s="401"/>
      <c r="AH473" s="401"/>
      <c r="AI473" s="401"/>
      <c r="AJ473" s="401"/>
      <c r="AK473" s="385"/>
      <c r="AL473" s="439"/>
      <c r="AM473" s="389"/>
      <c r="AN473" s="521"/>
      <c r="AO473" s="402"/>
      <c r="AP473" s="402"/>
      <c r="AQ473" s="400"/>
      <c r="AR473" s="587">
        <v>15</v>
      </c>
      <c r="AS473" s="400">
        <v>15</v>
      </c>
      <c r="AT473" s="585">
        <v>8.7450200000000002</v>
      </c>
      <c r="AU473" s="401">
        <v>7.9526700000000003</v>
      </c>
      <c r="AV473" s="401">
        <v>7.0416499999999997</v>
      </c>
      <c r="AW473" s="401"/>
      <c r="AX473" s="401"/>
      <c r="AY473" s="401">
        <v>0</v>
      </c>
      <c r="AZ473" s="401">
        <v>0</v>
      </c>
      <c r="BA473" s="401">
        <v>0.18472</v>
      </c>
      <c r="BB473" s="401">
        <v>7.0416499999999997</v>
      </c>
      <c r="BC473" s="401"/>
      <c r="BD473" s="385" t="s">
        <v>167</v>
      </c>
      <c r="BE473" s="439" t="s">
        <v>175</v>
      </c>
      <c r="BF473" s="389"/>
      <c r="BG473" s="521">
        <v>649</v>
      </c>
      <c r="BH473" s="402"/>
      <c r="BI473" s="402">
        <f t="shared" si="283"/>
        <v>0.58300133333333337</v>
      </c>
    </row>
    <row r="474" spans="1:61" s="359" customFormat="1" ht="19.2" x14ac:dyDescent="0.3">
      <c r="A474" s="360" t="s">
        <v>1111</v>
      </c>
      <c r="B474" s="579" t="s">
        <v>947</v>
      </c>
      <c r="C474" s="433" t="s">
        <v>851</v>
      </c>
      <c r="D474" s="361">
        <v>0.22</v>
      </c>
      <c r="E474" s="400"/>
      <c r="F474" s="404"/>
      <c r="G474" s="400"/>
      <c r="H474" s="382"/>
      <c r="I474" s="401"/>
      <c r="J474" s="401"/>
      <c r="K474" s="401"/>
      <c r="L474" s="401"/>
      <c r="M474" s="401"/>
      <c r="N474" s="401"/>
      <c r="O474" s="401"/>
      <c r="P474" s="401"/>
      <c r="Q474" s="401"/>
      <c r="R474" s="385"/>
      <c r="S474" s="439"/>
      <c r="T474" s="389"/>
      <c r="U474" s="521"/>
      <c r="V474" s="402"/>
      <c r="W474" s="402"/>
      <c r="X474" s="400"/>
      <c r="Y474" s="404"/>
      <c r="Z474" s="400"/>
      <c r="AA474" s="586"/>
      <c r="AB474" s="401"/>
      <c r="AC474" s="401"/>
      <c r="AD474" s="401"/>
      <c r="AE474" s="401"/>
      <c r="AF474" s="401"/>
      <c r="AG474" s="401"/>
      <c r="AH474" s="401"/>
      <c r="AI474" s="401"/>
      <c r="AJ474" s="401"/>
      <c r="AK474" s="385"/>
      <c r="AL474" s="439"/>
      <c r="AM474" s="389"/>
      <c r="AN474" s="521"/>
      <c r="AO474" s="402"/>
      <c r="AP474" s="402"/>
      <c r="AQ474" s="400"/>
      <c r="AR474" s="587">
        <v>15</v>
      </c>
      <c r="AS474" s="400">
        <v>15</v>
      </c>
      <c r="AT474" s="585">
        <v>7.0391300000000001</v>
      </c>
      <c r="AU474" s="401">
        <v>6.2467800000000002</v>
      </c>
      <c r="AV474" s="401">
        <v>5.2139100000000003</v>
      </c>
      <c r="AW474" s="401"/>
      <c r="AX474" s="401"/>
      <c r="AY474" s="401">
        <v>0</v>
      </c>
      <c r="AZ474" s="401">
        <v>0</v>
      </c>
      <c r="BA474" s="401">
        <v>0.18472</v>
      </c>
      <c r="BB474" s="401">
        <v>5.2139100000000003</v>
      </c>
      <c r="BC474" s="401"/>
      <c r="BD474" s="385" t="s">
        <v>167</v>
      </c>
      <c r="BE474" s="439" t="s">
        <v>175</v>
      </c>
      <c r="BF474" s="389"/>
      <c r="BG474" s="521">
        <v>651</v>
      </c>
      <c r="BH474" s="402"/>
      <c r="BI474" s="402">
        <f t="shared" si="283"/>
        <v>0.46927533333333332</v>
      </c>
    </row>
    <row r="475" spans="1:61" s="359" customFormat="1" ht="19.2" x14ac:dyDescent="0.3">
      <c r="A475" s="360" t="s">
        <v>1112</v>
      </c>
      <c r="B475" s="579" t="s">
        <v>948</v>
      </c>
      <c r="C475" s="433" t="s">
        <v>852</v>
      </c>
      <c r="D475" s="361">
        <v>0.22</v>
      </c>
      <c r="E475" s="400"/>
      <c r="F475" s="404"/>
      <c r="G475" s="400"/>
      <c r="H475" s="382"/>
      <c r="I475" s="401"/>
      <c r="J475" s="401"/>
      <c r="K475" s="401"/>
      <c r="L475" s="401"/>
      <c r="M475" s="401"/>
      <c r="N475" s="401"/>
      <c r="O475" s="401"/>
      <c r="P475" s="401"/>
      <c r="Q475" s="401"/>
      <c r="R475" s="385"/>
      <c r="S475" s="439"/>
      <c r="T475" s="389"/>
      <c r="U475" s="521"/>
      <c r="V475" s="402"/>
      <c r="W475" s="402"/>
      <c r="X475" s="400"/>
      <c r="Y475" s="404"/>
      <c r="Z475" s="400"/>
      <c r="AA475" s="586"/>
      <c r="AB475" s="401"/>
      <c r="AC475" s="401"/>
      <c r="AD475" s="401"/>
      <c r="AE475" s="401"/>
      <c r="AF475" s="401"/>
      <c r="AG475" s="401"/>
      <c r="AH475" s="401"/>
      <c r="AI475" s="401"/>
      <c r="AJ475" s="401"/>
      <c r="AK475" s="385"/>
      <c r="AL475" s="439"/>
      <c r="AM475" s="389"/>
      <c r="AN475" s="521"/>
      <c r="AO475" s="402"/>
      <c r="AP475" s="402"/>
      <c r="AQ475" s="400"/>
      <c r="AR475" s="587">
        <v>5</v>
      </c>
      <c r="AS475" s="400">
        <v>5</v>
      </c>
      <c r="AT475" s="585">
        <v>7.0391300000000001</v>
      </c>
      <c r="AU475" s="401">
        <v>6.2467800000000002</v>
      </c>
      <c r="AV475" s="401">
        <v>5.2139100000000003</v>
      </c>
      <c r="AW475" s="401"/>
      <c r="AX475" s="401"/>
      <c r="AY475" s="401">
        <v>0</v>
      </c>
      <c r="AZ475" s="401">
        <v>0</v>
      </c>
      <c r="BA475" s="401">
        <v>0.18472</v>
      </c>
      <c r="BB475" s="401">
        <v>5.2139100000000003</v>
      </c>
      <c r="BC475" s="401"/>
      <c r="BD475" s="385" t="s">
        <v>167</v>
      </c>
      <c r="BE475" s="439" t="s">
        <v>175</v>
      </c>
      <c r="BF475" s="389"/>
      <c r="BG475" s="521">
        <v>653</v>
      </c>
      <c r="BH475" s="402"/>
      <c r="BI475" s="402">
        <f t="shared" si="283"/>
        <v>1.407826</v>
      </c>
    </row>
    <row r="476" spans="1:61" s="359" customFormat="1" ht="19.2" x14ac:dyDescent="0.3">
      <c r="A476" s="360" t="s">
        <v>1113</v>
      </c>
      <c r="B476" s="579" t="s">
        <v>949</v>
      </c>
      <c r="C476" s="433" t="s">
        <v>853</v>
      </c>
      <c r="D476" s="361">
        <v>0.22</v>
      </c>
      <c r="E476" s="400"/>
      <c r="F476" s="404"/>
      <c r="G476" s="400"/>
      <c r="H476" s="382"/>
      <c r="I476" s="401"/>
      <c r="J476" s="401"/>
      <c r="K476" s="401"/>
      <c r="L476" s="401"/>
      <c r="M476" s="401"/>
      <c r="N476" s="401"/>
      <c r="O476" s="401"/>
      <c r="P476" s="401"/>
      <c r="Q476" s="401"/>
      <c r="R476" s="385"/>
      <c r="S476" s="439"/>
      <c r="T476" s="389"/>
      <c r="U476" s="521"/>
      <c r="V476" s="402"/>
      <c r="W476" s="402"/>
      <c r="X476" s="400"/>
      <c r="Y476" s="404"/>
      <c r="Z476" s="400"/>
      <c r="AA476" s="586"/>
      <c r="AB476" s="401"/>
      <c r="AC476" s="401"/>
      <c r="AD476" s="401"/>
      <c r="AE476" s="401"/>
      <c r="AF476" s="401"/>
      <c r="AG476" s="401"/>
      <c r="AH476" s="401"/>
      <c r="AI476" s="401"/>
      <c r="AJ476" s="401"/>
      <c r="AK476" s="385"/>
      <c r="AL476" s="439"/>
      <c r="AM476" s="389"/>
      <c r="AN476" s="521"/>
      <c r="AO476" s="402"/>
      <c r="AP476" s="402"/>
      <c r="AQ476" s="400"/>
      <c r="AR476" s="587">
        <v>15</v>
      </c>
      <c r="AS476" s="400">
        <v>15</v>
      </c>
      <c r="AT476" s="585">
        <v>8.7450200000000002</v>
      </c>
      <c r="AU476" s="401">
        <v>7.9526700000000003</v>
      </c>
      <c r="AV476" s="401">
        <v>7.0416499999999997</v>
      </c>
      <c r="AW476" s="401"/>
      <c r="AX476" s="401"/>
      <c r="AY476" s="401">
        <v>0</v>
      </c>
      <c r="AZ476" s="401">
        <v>0</v>
      </c>
      <c r="BA476" s="401">
        <v>0.18472</v>
      </c>
      <c r="BB476" s="401">
        <v>7.0416499999999997</v>
      </c>
      <c r="BC476" s="401"/>
      <c r="BD476" s="385" t="s">
        <v>167</v>
      </c>
      <c r="BE476" s="439" t="s">
        <v>175</v>
      </c>
      <c r="BF476" s="389"/>
      <c r="BG476" s="521">
        <v>655</v>
      </c>
      <c r="BH476" s="402"/>
      <c r="BI476" s="402">
        <f t="shared" si="283"/>
        <v>0.58300133333333337</v>
      </c>
    </row>
    <row r="477" spans="1:61" s="359" customFormat="1" ht="19.2" x14ac:dyDescent="0.3">
      <c r="A477" s="360" t="s">
        <v>1114</v>
      </c>
      <c r="B477" s="579" t="s">
        <v>950</v>
      </c>
      <c r="C477" s="433" t="s">
        <v>854</v>
      </c>
      <c r="D477" s="361">
        <v>0.22</v>
      </c>
      <c r="E477" s="400"/>
      <c r="F477" s="404"/>
      <c r="G477" s="400"/>
      <c r="H477" s="382"/>
      <c r="I477" s="401"/>
      <c r="J477" s="401"/>
      <c r="K477" s="401"/>
      <c r="L477" s="401"/>
      <c r="M477" s="401"/>
      <c r="N477" s="401"/>
      <c r="O477" s="401"/>
      <c r="P477" s="401"/>
      <c r="Q477" s="401"/>
      <c r="R477" s="385"/>
      <c r="S477" s="439"/>
      <c r="T477" s="389"/>
      <c r="U477" s="521"/>
      <c r="V477" s="402"/>
      <c r="W477" s="402"/>
      <c r="X477" s="400"/>
      <c r="Y477" s="404"/>
      <c r="Z477" s="400"/>
      <c r="AA477" s="586"/>
      <c r="AB477" s="401"/>
      <c r="AC477" s="401"/>
      <c r="AD477" s="401"/>
      <c r="AE477" s="401"/>
      <c r="AF477" s="401"/>
      <c r="AG477" s="401"/>
      <c r="AH477" s="401"/>
      <c r="AI477" s="401"/>
      <c r="AJ477" s="401"/>
      <c r="AK477" s="385"/>
      <c r="AL477" s="439"/>
      <c r="AM477" s="389"/>
      <c r="AN477" s="521"/>
      <c r="AO477" s="402"/>
      <c r="AP477" s="402"/>
      <c r="AQ477" s="400"/>
      <c r="AR477" s="587">
        <v>10</v>
      </c>
      <c r="AS477" s="400">
        <v>10</v>
      </c>
      <c r="AT477" s="585">
        <v>8.8688099999999999</v>
      </c>
      <c r="AU477" s="401">
        <v>8.0764600000000009</v>
      </c>
      <c r="AV477" s="401">
        <v>7.0416600000000003</v>
      </c>
      <c r="AW477" s="401"/>
      <c r="AX477" s="401"/>
      <c r="AY477" s="401">
        <v>0</v>
      </c>
      <c r="AZ477" s="401">
        <v>0</v>
      </c>
      <c r="BA477" s="401">
        <v>0.18472</v>
      </c>
      <c r="BB477" s="401">
        <v>7.0416600000000003</v>
      </c>
      <c r="BC477" s="401"/>
      <c r="BD477" s="385" t="s">
        <v>167</v>
      </c>
      <c r="BE477" s="439" t="s">
        <v>175</v>
      </c>
      <c r="BF477" s="389"/>
      <c r="BG477" s="521">
        <v>657</v>
      </c>
      <c r="BH477" s="402"/>
      <c r="BI477" s="402">
        <f t="shared" si="283"/>
        <v>0.88688100000000003</v>
      </c>
    </row>
    <row r="478" spans="1:61" s="359" customFormat="1" ht="19.2" x14ac:dyDescent="0.3">
      <c r="A478" s="360" t="s">
        <v>1115</v>
      </c>
      <c r="B478" s="579" t="s">
        <v>951</v>
      </c>
      <c r="C478" s="433" t="s">
        <v>855</v>
      </c>
      <c r="D478" s="361">
        <v>0.22</v>
      </c>
      <c r="E478" s="400"/>
      <c r="F478" s="404"/>
      <c r="G478" s="400"/>
      <c r="H478" s="382"/>
      <c r="I478" s="401"/>
      <c r="J478" s="401"/>
      <c r="K478" s="401"/>
      <c r="L478" s="401"/>
      <c r="M478" s="401"/>
      <c r="N478" s="401"/>
      <c r="O478" s="401"/>
      <c r="P478" s="401"/>
      <c r="Q478" s="401"/>
      <c r="R478" s="385"/>
      <c r="S478" s="439"/>
      <c r="T478" s="389"/>
      <c r="U478" s="521"/>
      <c r="V478" s="402"/>
      <c r="W478" s="402"/>
      <c r="X478" s="400"/>
      <c r="Y478" s="404"/>
      <c r="Z478" s="400"/>
      <c r="AA478" s="586"/>
      <c r="AB478" s="401"/>
      <c r="AC478" s="401"/>
      <c r="AD478" s="401"/>
      <c r="AE478" s="401"/>
      <c r="AF478" s="401"/>
      <c r="AG478" s="401"/>
      <c r="AH478" s="401"/>
      <c r="AI478" s="401"/>
      <c r="AJ478" s="401"/>
      <c r="AK478" s="385"/>
      <c r="AL478" s="439"/>
      <c r="AM478" s="389"/>
      <c r="AN478" s="521"/>
      <c r="AO478" s="402"/>
      <c r="AP478" s="402"/>
      <c r="AQ478" s="400"/>
      <c r="AR478" s="587">
        <v>15</v>
      </c>
      <c r="AS478" s="400">
        <v>15</v>
      </c>
      <c r="AT478" s="585">
        <v>8.7450200000000002</v>
      </c>
      <c r="AU478" s="401">
        <v>7.9526700000000003</v>
      </c>
      <c r="AV478" s="401">
        <v>7.0416499999999997</v>
      </c>
      <c r="AW478" s="401"/>
      <c r="AX478" s="401"/>
      <c r="AY478" s="401">
        <v>0</v>
      </c>
      <c r="AZ478" s="401">
        <v>0</v>
      </c>
      <c r="BA478" s="401">
        <v>0.18472</v>
      </c>
      <c r="BB478" s="401">
        <v>7.0416499999999997</v>
      </c>
      <c r="BC478" s="401"/>
      <c r="BD478" s="385" t="s">
        <v>167</v>
      </c>
      <c r="BE478" s="439" t="s">
        <v>175</v>
      </c>
      <c r="BF478" s="389"/>
      <c r="BG478" s="521">
        <v>659</v>
      </c>
      <c r="BH478" s="402"/>
      <c r="BI478" s="402">
        <f t="shared" si="283"/>
        <v>0.58300133333333337</v>
      </c>
    </row>
    <row r="479" spans="1:61" s="359" customFormat="1" ht="19.2" x14ac:dyDescent="0.3">
      <c r="A479" s="360" t="s">
        <v>1116</v>
      </c>
      <c r="B479" s="579" t="s">
        <v>952</v>
      </c>
      <c r="C479" s="433" t="s">
        <v>856</v>
      </c>
      <c r="D479" s="361">
        <v>0.22</v>
      </c>
      <c r="E479" s="400"/>
      <c r="F479" s="404"/>
      <c r="G479" s="400"/>
      <c r="H479" s="382"/>
      <c r="I479" s="401"/>
      <c r="J479" s="401"/>
      <c r="K479" s="401"/>
      <c r="L479" s="401"/>
      <c r="M479" s="401"/>
      <c r="N479" s="401"/>
      <c r="O479" s="401"/>
      <c r="P479" s="401"/>
      <c r="Q479" s="401"/>
      <c r="R479" s="385"/>
      <c r="S479" s="439"/>
      <c r="T479" s="389"/>
      <c r="U479" s="521"/>
      <c r="V479" s="402"/>
      <c r="W479" s="402"/>
      <c r="X479" s="400"/>
      <c r="Y479" s="404"/>
      <c r="Z479" s="400"/>
      <c r="AA479" s="586"/>
      <c r="AB479" s="401"/>
      <c r="AC479" s="401"/>
      <c r="AD479" s="401"/>
      <c r="AE479" s="401"/>
      <c r="AF479" s="401"/>
      <c r="AG479" s="401"/>
      <c r="AH479" s="401"/>
      <c r="AI479" s="401"/>
      <c r="AJ479" s="401"/>
      <c r="AK479" s="385"/>
      <c r="AL479" s="439"/>
      <c r="AM479" s="389"/>
      <c r="AN479" s="521"/>
      <c r="AO479" s="402"/>
      <c r="AP479" s="402"/>
      <c r="AQ479" s="400"/>
      <c r="AR479" s="587">
        <v>10</v>
      </c>
      <c r="AS479" s="400">
        <v>10</v>
      </c>
      <c r="AT479" s="585">
        <v>8.8688099999999999</v>
      </c>
      <c r="AU479" s="401">
        <v>8.0764600000000009</v>
      </c>
      <c r="AV479" s="401">
        <v>7.0416600000000003</v>
      </c>
      <c r="AW479" s="401"/>
      <c r="AX479" s="401"/>
      <c r="AY479" s="401">
        <v>0</v>
      </c>
      <c r="AZ479" s="401">
        <v>0</v>
      </c>
      <c r="BA479" s="401">
        <v>0.18472</v>
      </c>
      <c r="BB479" s="401">
        <v>7.0416600000000003</v>
      </c>
      <c r="BC479" s="401"/>
      <c r="BD479" s="385" t="s">
        <v>167</v>
      </c>
      <c r="BE479" s="439" t="s">
        <v>175</v>
      </c>
      <c r="BF479" s="389"/>
      <c r="BG479" s="521">
        <v>661</v>
      </c>
      <c r="BH479" s="402"/>
      <c r="BI479" s="402">
        <f t="shared" si="283"/>
        <v>0.88688100000000003</v>
      </c>
    </row>
    <row r="480" spans="1:61" s="359" customFormat="1" ht="19.2" x14ac:dyDescent="0.3">
      <c r="A480" s="360" t="s">
        <v>1117</v>
      </c>
      <c r="B480" s="579" t="s">
        <v>953</v>
      </c>
      <c r="C480" s="433" t="s">
        <v>857</v>
      </c>
      <c r="D480" s="361">
        <v>0.22</v>
      </c>
      <c r="E480" s="400"/>
      <c r="F480" s="404"/>
      <c r="G480" s="400"/>
      <c r="H480" s="382"/>
      <c r="I480" s="401"/>
      <c r="J480" s="401"/>
      <c r="K480" s="401"/>
      <c r="L480" s="401"/>
      <c r="M480" s="401"/>
      <c r="N480" s="401"/>
      <c r="O480" s="401"/>
      <c r="P480" s="401"/>
      <c r="Q480" s="401"/>
      <c r="R480" s="385"/>
      <c r="S480" s="439"/>
      <c r="T480" s="389"/>
      <c r="U480" s="521"/>
      <c r="V480" s="402"/>
      <c r="W480" s="402"/>
      <c r="X480" s="400"/>
      <c r="Y480" s="404"/>
      <c r="Z480" s="400"/>
      <c r="AA480" s="586"/>
      <c r="AB480" s="401"/>
      <c r="AC480" s="401"/>
      <c r="AD480" s="401"/>
      <c r="AE480" s="401"/>
      <c r="AF480" s="401"/>
      <c r="AG480" s="401"/>
      <c r="AH480" s="401"/>
      <c r="AI480" s="401"/>
      <c r="AJ480" s="401"/>
      <c r="AK480" s="385"/>
      <c r="AL480" s="439"/>
      <c r="AM480" s="389"/>
      <c r="AN480" s="521"/>
      <c r="AO480" s="402"/>
      <c r="AP480" s="402"/>
      <c r="AQ480" s="400"/>
      <c r="AR480" s="587">
        <v>15</v>
      </c>
      <c r="AS480" s="400">
        <v>15</v>
      </c>
      <c r="AT480" s="585">
        <v>6.9835900000000004</v>
      </c>
      <c r="AU480" s="401">
        <v>6.1877199999999997</v>
      </c>
      <c r="AV480" s="401">
        <v>5.2084799999999998</v>
      </c>
      <c r="AW480" s="401"/>
      <c r="AX480" s="401"/>
      <c r="AY480" s="401">
        <v>0</v>
      </c>
      <c r="AZ480" s="401">
        <v>0</v>
      </c>
      <c r="BA480" s="401">
        <v>0.18472</v>
      </c>
      <c r="BB480" s="401">
        <v>5.2084799999999998</v>
      </c>
      <c r="BC480" s="401"/>
      <c r="BD480" s="385" t="s">
        <v>167</v>
      </c>
      <c r="BE480" s="439" t="s">
        <v>175</v>
      </c>
      <c r="BF480" s="389"/>
      <c r="BG480" s="521">
        <v>663</v>
      </c>
      <c r="BH480" s="402"/>
      <c r="BI480" s="402">
        <f t="shared" si="283"/>
        <v>0.46557266666666669</v>
      </c>
    </row>
    <row r="481" spans="1:61" s="359" customFormat="1" ht="19.2" x14ac:dyDescent="0.3">
      <c r="A481" s="360" t="s">
        <v>1118</v>
      </c>
      <c r="B481" s="579" t="s">
        <v>954</v>
      </c>
      <c r="C481" s="433" t="s">
        <v>858</v>
      </c>
      <c r="D481" s="361">
        <v>0.22</v>
      </c>
      <c r="E481" s="400"/>
      <c r="F481" s="404"/>
      <c r="G481" s="400"/>
      <c r="H481" s="382"/>
      <c r="I481" s="401"/>
      <c r="J481" s="401"/>
      <c r="K481" s="401"/>
      <c r="L481" s="401"/>
      <c r="M481" s="401"/>
      <c r="N481" s="401"/>
      <c r="O481" s="401"/>
      <c r="P481" s="401"/>
      <c r="Q481" s="401"/>
      <c r="R481" s="385"/>
      <c r="S481" s="439"/>
      <c r="T481" s="389"/>
      <c r="U481" s="521"/>
      <c r="V481" s="402"/>
      <c r="W481" s="402"/>
      <c r="X481" s="400"/>
      <c r="Y481" s="404"/>
      <c r="Z481" s="400"/>
      <c r="AA481" s="586"/>
      <c r="AB481" s="401"/>
      <c r="AC481" s="401"/>
      <c r="AD481" s="401"/>
      <c r="AE481" s="401"/>
      <c r="AF481" s="401"/>
      <c r="AG481" s="401"/>
      <c r="AH481" s="401"/>
      <c r="AI481" s="401"/>
      <c r="AJ481" s="401"/>
      <c r="AK481" s="385"/>
      <c r="AL481" s="439"/>
      <c r="AM481" s="389"/>
      <c r="AN481" s="521"/>
      <c r="AO481" s="402"/>
      <c r="AP481" s="402"/>
      <c r="AQ481" s="400"/>
      <c r="AR481" s="587">
        <v>15</v>
      </c>
      <c r="AS481" s="400">
        <v>15</v>
      </c>
      <c r="AT481" s="585">
        <v>6.9835900000000004</v>
      </c>
      <c r="AU481" s="401">
        <v>6.1877199999999997</v>
      </c>
      <c r="AV481" s="401">
        <v>5.2084799999999998</v>
      </c>
      <c r="AW481" s="401"/>
      <c r="AX481" s="401"/>
      <c r="AY481" s="401">
        <v>0</v>
      </c>
      <c r="AZ481" s="401">
        <v>0</v>
      </c>
      <c r="BA481" s="401">
        <v>0.18472</v>
      </c>
      <c r="BB481" s="401">
        <v>5.2084799999999998</v>
      </c>
      <c r="BC481" s="401"/>
      <c r="BD481" s="385" t="s">
        <v>167</v>
      </c>
      <c r="BE481" s="439" t="s">
        <v>175</v>
      </c>
      <c r="BF481" s="389"/>
      <c r="BG481" s="521">
        <v>665</v>
      </c>
      <c r="BH481" s="402"/>
      <c r="BI481" s="402">
        <f t="shared" si="283"/>
        <v>0.46557266666666669</v>
      </c>
    </row>
    <row r="482" spans="1:61" s="359" customFormat="1" ht="19.2" x14ac:dyDescent="0.3">
      <c r="A482" s="360" t="s">
        <v>1119</v>
      </c>
      <c r="B482" s="579" t="s">
        <v>956</v>
      </c>
      <c r="C482" s="433" t="s">
        <v>860</v>
      </c>
      <c r="D482" s="361">
        <v>0.22</v>
      </c>
      <c r="E482" s="400"/>
      <c r="F482" s="404"/>
      <c r="G482" s="400"/>
      <c r="H482" s="382"/>
      <c r="I482" s="401"/>
      <c r="J482" s="401"/>
      <c r="K482" s="401"/>
      <c r="L482" s="401"/>
      <c r="M482" s="401"/>
      <c r="N482" s="401"/>
      <c r="O482" s="401"/>
      <c r="P482" s="401"/>
      <c r="Q482" s="401"/>
      <c r="R482" s="385"/>
      <c r="S482" s="439"/>
      <c r="T482" s="389"/>
      <c r="U482" s="521"/>
      <c r="V482" s="402"/>
      <c r="W482" s="402"/>
      <c r="X482" s="400"/>
      <c r="Y482" s="404"/>
      <c r="Z482" s="400"/>
      <c r="AA482" s="586"/>
      <c r="AB482" s="401"/>
      <c r="AC482" s="401"/>
      <c r="AD482" s="401"/>
      <c r="AE482" s="401"/>
      <c r="AF482" s="401"/>
      <c r="AG482" s="401"/>
      <c r="AH482" s="401"/>
      <c r="AI482" s="401"/>
      <c r="AJ482" s="401"/>
      <c r="AK482" s="385"/>
      <c r="AL482" s="439"/>
      <c r="AM482" s="389"/>
      <c r="AN482" s="521"/>
      <c r="AO482" s="402"/>
      <c r="AP482" s="402"/>
      <c r="AQ482" s="400"/>
      <c r="AR482" s="587">
        <v>15</v>
      </c>
      <c r="AS482" s="400">
        <v>15</v>
      </c>
      <c r="AT482" s="585">
        <v>8.7450200000000002</v>
      </c>
      <c r="AU482" s="401">
        <v>7.9526700000000003</v>
      </c>
      <c r="AV482" s="401">
        <v>7.0416499999999997</v>
      </c>
      <c r="AW482" s="401"/>
      <c r="AX482" s="401"/>
      <c r="AY482" s="401">
        <v>0</v>
      </c>
      <c r="AZ482" s="401">
        <v>0</v>
      </c>
      <c r="BA482" s="401">
        <v>0.18472</v>
      </c>
      <c r="BB482" s="401">
        <v>7.0416499999999997</v>
      </c>
      <c r="BC482" s="401"/>
      <c r="BD482" s="385" t="s">
        <v>167</v>
      </c>
      <c r="BE482" s="439" t="s">
        <v>175</v>
      </c>
      <c r="BF482" s="389"/>
      <c r="BG482" s="521">
        <v>667</v>
      </c>
      <c r="BH482" s="402"/>
      <c r="BI482" s="402">
        <f t="shared" si="283"/>
        <v>0.58300133333333337</v>
      </c>
    </row>
    <row r="483" spans="1:61" s="359" customFormat="1" ht="28.8" x14ac:dyDescent="0.3">
      <c r="A483" s="360" t="s">
        <v>1120</v>
      </c>
      <c r="B483" s="579" t="s">
        <v>957</v>
      </c>
      <c r="C483" s="433" t="s">
        <v>861</v>
      </c>
      <c r="D483" s="361">
        <v>0.22</v>
      </c>
      <c r="E483" s="400"/>
      <c r="F483" s="404"/>
      <c r="G483" s="400"/>
      <c r="H483" s="382"/>
      <c r="I483" s="401"/>
      <c r="J483" s="401"/>
      <c r="K483" s="401"/>
      <c r="L483" s="401"/>
      <c r="M483" s="401"/>
      <c r="N483" s="401"/>
      <c r="O483" s="401"/>
      <c r="P483" s="401"/>
      <c r="Q483" s="401"/>
      <c r="R483" s="385"/>
      <c r="S483" s="439"/>
      <c r="T483" s="389"/>
      <c r="U483" s="521"/>
      <c r="V483" s="402"/>
      <c r="W483" s="402"/>
      <c r="X483" s="400"/>
      <c r="Y483" s="404"/>
      <c r="Z483" s="400"/>
      <c r="AA483" s="586"/>
      <c r="AB483" s="401"/>
      <c r="AC483" s="401"/>
      <c r="AD483" s="401"/>
      <c r="AE483" s="401"/>
      <c r="AF483" s="401"/>
      <c r="AG483" s="401"/>
      <c r="AH483" s="401"/>
      <c r="AI483" s="401"/>
      <c r="AJ483" s="401"/>
      <c r="AK483" s="385"/>
      <c r="AL483" s="439"/>
      <c r="AM483" s="389"/>
      <c r="AN483" s="521"/>
      <c r="AO483" s="402"/>
      <c r="AP483" s="402"/>
      <c r="AQ483" s="400"/>
      <c r="AR483" s="587">
        <v>1</v>
      </c>
      <c r="AS483" s="400">
        <v>1</v>
      </c>
      <c r="AT483" s="585">
        <v>8.7450200000000002</v>
      </c>
      <c r="AU483" s="401">
        <v>7.9526700000000003</v>
      </c>
      <c r="AV483" s="401">
        <v>7.0416499999999997</v>
      </c>
      <c r="AW483" s="401"/>
      <c r="AX483" s="401"/>
      <c r="AY483" s="401">
        <v>0</v>
      </c>
      <c r="AZ483" s="401">
        <v>0</v>
      </c>
      <c r="BA483" s="401">
        <v>0.18472</v>
      </c>
      <c r="BB483" s="401">
        <v>7.0416499999999997</v>
      </c>
      <c r="BC483" s="401"/>
      <c r="BD483" s="385" t="s">
        <v>167</v>
      </c>
      <c r="BE483" s="439" t="s">
        <v>175</v>
      </c>
      <c r="BF483" s="389"/>
      <c r="BG483" s="521">
        <v>669</v>
      </c>
      <c r="BH483" s="402"/>
      <c r="BI483" s="402">
        <f t="shared" si="283"/>
        <v>8.7450200000000002</v>
      </c>
    </row>
    <row r="484" spans="1:61" s="359" customFormat="1" ht="19.2" x14ac:dyDescent="0.3">
      <c r="A484" s="360" t="s">
        <v>1121</v>
      </c>
      <c r="B484" s="579" t="s">
        <v>958</v>
      </c>
      <c r="C484" s="433" t="s">
        <v>862</v>
      </c>
      <c r="D484" s="361">
        <v>0.22</v>
      </c>
      <c r="E484" s="400"/>
      <c r="F484" s="404"/>
      <c r="G484" s="400"/>
      <c r="H484" s="382"/>
      <c r="I484" s="401"/>
      <c r="J484" s="401"/>
      <c r="K484" s="401"/>
      <c r="L484" s="401"/>
      <c r="M484" s="401"/>
      <c r="N484" s="401"/>
      <c r="O484" s="401"/>
      <c r="P484" s="401"/>
      <c r="Q484" s="401"/>
      <c r="R484" s="385"/>
      <c r="S484" s="439"/>
      <c r="T484" s="389"/>
      <c r="U484" s="521"/>
      <c r="V484" s="402"/>
      <c r="W484" s="402"/>
      <c r="X484" s="400"/>
      <c r="Y484" s="404"/>
      <c r="Z484" s="400"/>
      <c r="AA484" s="586"/>
      <c r="AB484" s="401"/>
      <c r="AC484" s="401"/>
      <c r="AD484" s="401"/>
      <c r="AE484" s="401"/>
      <c r="AF484" s="401"/>
      <c r="AG484" s="401"/>
      <c r="AH484" s="401"/>
      <c r="AI484" s="401"/>
      <c r="AJ484" s="401"/>
      <c r="AK484" s="385"/>
      <c r="AL484" s="439"/>
      <c r="AM484" s="389"/>
      <c r="AN484" s="521"/>
      <c r="AO484" s="402"/>
      <c r="AP484" s="402"/>
      <c r="AQ484" s="400"/>
      <c r="AR484" s="587">
        <v>15</v>
      </c>
      <c r="AS484" s="400">
        <v>15</v>
      </c>
      <c r="AT484" s="585">
        <v>8.6817200000000003</v>
      </c>
      <c r="AU484" s="401">
        <v>7.8893700000000004</v>
      </c>
      <c r="AV484" s="401">
        <v>7.0416699999999999</v>
      </c>
      <c r="AW484" s="401"/>
      <c r="AX484" s="401"/>
      <c r="AY484" s="401">
        <v>0</v>
      </c>
      <c r="AZ484" s="401">
        <v>0</v>
      </c>
      <c r="BA484" s="401">
        <v>0.18472</v>
      </c>
      <c r="BB484" s="401">
        <v>7.0416699999999999</v>
      </c>
      <c r="BC484" s="401"/>
      <c r="BD484" s="385" t="s">
        <v>167</v>
      </c>
      <c r="BE484" s="439" t="s">
        <v>175</v>
      </c>
      <c r="BF484" s="389"/>
      <c r="BG484" s="521">
        <v>671</v>
      </c>
      <c r="BH484" s="402"/>
      <c r="BI484" s="402">
        <f t="shared" si="283"/>
        <v>0.57878133333333337</v>
      </c>
    </row>
    <row r="485" spans="1:61" s="359" customFormat="1" ht="19.2" x14ac:dyDescent="0.3">
      <c r="A485" s="360" t="s">
        <v>1122</v>
      </c>
      <c r="B485" s="579" t="s">
        <v>959</v>
      </c>
      <c r="C485" s="433" t="s">
        <v>863</v>
      </c>
      <c r="D485" s="361">
        <v>0.22</v>
      </c>
      <c r="E485" s="400"/>
      <c r="F485" s="404"/>
      <c r="G485" s="400"/>
      <c r="H485" s="382"/>
      <c r="I485" s="401"/>
      <c r="J485" s="401"/>
      <c r="K485" s="401"/>
      <c r="L485" s="401"/>
      <c r="M485" s="401"/>
      <c r="N485" s="401"/>
      <c r="O485" s="401"/>
      <c r="P485" s="401"/>
      <c r="Q485" s="401"/>
      <c r="R485" s="385"/>
      <c r="S485" s="439"/>
      <c r="T485" s="389"/>
      <c r="U485" s="521"/>
      <c r="V485" s="402"/>
      <c r="W485" s="402"/>
      <c r="X485" s="400"/>
      <c r="Y485" s="404"/>
      <c r="Z485" s="400"/>
      <c r="AA485" s="586"/>
      <c r="AB485" s="401"/>
      <c r="AC485" s="401"/>
      <c r="AD485" s="401"/>
      <c r="AE485" s="401"/>
      <c r="AF485" s="401"/>
      <c r="AG485" s="401"/>
      <c r="AH485" s="401"/>
      <c r="AI485" s="401"/>
      <c r="AJ485" s="401"/>
      <c r="AK485" s="385"/>
      <c r="AL485" s="439"/>
      <c r="AM485" s="389"/>
      <c r="AN485" s="521"/>
      <c r="AO485" s="402"/>
      <c r="AP485" s="402"/>
      <c r="AQ485" s="400"/>
      <c r="AR485" s="587">
        <v>15</v>
      </c>
      <c r="AS485" s="400">
        <v>15</v>
      </c>
      <c r="AT485" s="585">
        <v>6.9835900000000004</v>
      </c>
      <c r="AU485" s="401">
        <v>6.1877199999999997</v>
      </c>
      <c r="AV485" s="401">
        <v>5.2084799999999998</v>
      </c>
      <c r="AW485" s="401"/>
      <c r="AX485" s="401"/>
      <c r="AY485" s="401">
        <v>0</v>
      </c>
      <c r="AZ485" s="401">
        <v>0</v>
      </c>
      <c r="BA485" s="401">
        <v>0.18472</v>
      </c>
      <c r="BB485" s="401">
        <v>5.2084799999999998</v>
      </c>
      <c r="BC485" s="401"/>
      <c r="BD485" s="385" t="s">
        <v>167</v>
      </c>
      <c r="BE485" s="439" t="s">
        <v>175</v>
      </c>
      <c r="BF485" s="389"/>
      <c r="BG485" s="521">
        <v>673</v>
      </c>
      <c r="BH485" s="402"/>
      <c r="BI485" s="402">
        <f t="shared" si="283"/>
        <v>0.46557266666666669</v>
      </c>
    </row>
    <row r="486" spans="1:61" s="359" customFormat="1" ht="19.2" x14ac:dyDescent="0.3">
      <c r="A486" s="360" t="s">
        <v>1123</v>
      </c>
      <c r="B486" s="579" t="s">
        <v>960</v>
      </c>
      <c r="C486" s="433" t="s">
        <v>864</v>
      </c>
      <c r="D486" s="361">
        <v>0.22</v>
      </c>
      <c r="E486" s="400"/>
      <c r="F486" s="404"/>
      <c r="G486" s="400"/>
      <c r="H486" s="382"/>
      <c r="I486" s="401"/>
      <c r="J486" s="401"/>
      <c r="K486" s="401"/>
      <c r="L486" s="401"/>
      <c r="M486" s="401"/>
      <c r="N486" s="401"/>
      <c r="O486" s="401"/>
      <c r="P486" s="401"/>
      <c r="Q486" s="401"/>
      <c r="R486" s="385"/>
      <c r="S486" s="439"/>
      <c r="T486" s="389"/>
      <c r="U486" s="521"/>
      <c r="V486" s="402"/>
      <c r="W486" s="402"/>
      <c r="X486" s="400"/>
      <c r="Y486" s="404"/>
      <c r="Z486" s="400"/>
      <c r="AA486" s="586"/>
      <c r="AB486" s="401"/>
      <c r="AC486" s="401"/>
      <c r="AD486" s="401"/>
      <c r="AE486" s="401"/>
      <c r="AF486" s="401"/>
      <c r="AG486" s="401"/>
      <c r="AH486" s="401"/>
      <c r="AI486" s="401"/>
      <c r="AJ486" s="401"/>
      <c r="AK486" s="385"/>
      <c r="AL486" s="439"/>
      <c r="AM486" s="389"/>
      <c r="AN486" s="521"/>
      <c r="AO486" s="402"/>
      <c r="AP486" s="402"/>
      <c r="AQ486" s="400"/>
      <c r="AR486" s="587">
        <v>15</v>
      </c>
      <c r="AS486" s="400">
        <v>15</v>
      </c>
      <c r="AT486" s="585">
        <v>8.7450200000000002</v>
      </c>
      <c r="AU486" s="401">
        <v>7.9526700000000003</v>
      </c>
      <c r="AV486" s="401">
        <v>7.0416499999999997</v>
      </c>
      <c r="AW486" s="401"/>
      <c r="AX486" s="401"/>
      <c r="AY486" s="401">
        <v>0</v>
      </c>
      <c r="AZ486" s="401">
        <v>0</v>
      </c>
      <c r="BA486" s="401">
        <v>0.18472</v>
      </c>
      <c r="BB486" s="401">
        <v>7.0416499999999997</v>
      </c>
      <c r="BC486" s="401"/>
      <c r="BD486" s="385" t="s">
        <v>167</v>
      </c>
      <c r="BE486" s="439" t="s">
        <v>175</v>
      </c>
      <c r="BF486" s="389"/>
      <c r="BG486" s="521">
        <v>675</v>
      </c>
      <c r="BH486" s="402"/>
      <c r="BI486" s="402">
        <f t="shared" si="283"/>
        <v>0.58300133333333337</v>
      </c>
    </row>
    <row r="487" spans="1:61" s="359" customFormat="1" ht="19.2" x14ac:dyDescent="0.3">
      <c r="A487" s="360" t="s">
        <v>1124</v>
      </c>
      <c r="B487" s="579" t="s">
        <v>961</v>
      </c>
      <c r="C487" s="433" t="s">
        <v>865</v>
      </c>
      <c r="D487" s="361">
        <v>0.22</v>
      </c>
      <c r="E487" s="400"/>
      <c r="F487" s="404"/>
      <c r="G487" s="400"/>
      <c r="H487" s="382"/>
      <c r="I487" s="401"/>
      <c r="J487" s="401"/>
      <c r="K487" s="401"/>
      <c r="L487" s="401"/>
      <c r="M487" s="401"/>
      <c r="N487" s="401"/>
      <c r="O487" s="401"/>
      <c r="P487" s="401"/>
      <c r="Q487" s="401"/>
      <c r="R487" s="385"/>
      <c r="S487" s="439"/>
      <c r="T487" s="389"/>
      <c r="U487" s="521"/>
      <c r="V487" s="402"/>
      <c r="W487" s="402"/>
      <c r="X487" s="400"/>
      <c r="Y487" s="404"/>
      <c r="Z487" s="400"/>
      <c r="AA487" s="586"/>
      <c r="AB487" s="401"/>
      <c r="AC487" s="401"/>
      <c r="AD487" s="401"/>
      <c r="AE487" s="401"/>
      <c r="AF487" s="401"/>
      <c r="AG487" s="401"/>
      <c r="AH487" s="401"/>
      <c r="AI487" s="401"/>
      <c r="AJ487" s="401"/>
      <c r="AK487" s="385"/>
      <c r="AL487" s="439"/>
      <c r="AM487" s="389"/>
      <c r="AN487" s="521"/>
      <c r="AO487" s="402"/>
      <c r="AP487" s="402"/>
      <c r="AQ487" s="400"/>
      <c r="AR487" s="587">
        <v>15</v>
      </c>
      <c r="AS487" s="400">
        <v>15</v>
      </c>
      <c r="AT487" s="585">
        <v>8.7450200000000002</v>
      </c>
      <c r="AU487" s="401">
        <v>7.9526700000000003</v>
      </c>
      <c r="AV487" s="401">
        <v>7.0416499999999997</v>
      </c>
      <c r="AW487" s="401"/>
      <c r="AX487" s="401"/>
      <c r="AY487" s="401">
        <v>0</v>
      </c>
      <c r="AZ487" s="401">
        <v>0</v>
      </c>
      <c r="BA487" s="401">
        <v>0.18472</v>
      </c>
      <c r="BB487" s="401">
        <v>7.0416499999999997</v>
      </c>
      <c r="BC487" s="401"/>
      <c r="BD487" s="385" t="s">
        <v>167</v>
      </c>
      <c r="BE487" s="439" t="s">
        <v>175</v>
      </c>
      <c r="BF487" s="389"/>
      <c r="BG487" s="521">
        <v>677</v>
      </c>
      <c r="BH487" s="402"/>
      <c r="BI487" s="402">
        <f t="shared" si="283"/>
        <v>0.58300133333333337</v>
      </c>
    </row>
    <row r="488" spans="1:61" s="359" customFormat="1" ht="19.2" x14ac:dyDescent="0.3">
      <c r="A488" s="360" t="s">
        <v>1125</v>
      </c>
      <c r="B488" s="579" t="s">
        <v>962</v>
      </c>
      <c r="C488" s="433" t="s">
        <v>866</v>
      </c>
      <c r="D488" s="361">
        <v>0.22</v>
      </c>
      <c r="E488" s="400"/>
      <c r="F488" s="404"/>
      <c r="G488" s="400"/>
      <c r="H488" s="382"/>
      <c r="I488" s="401"/>
      <c r="J488" s="401"/>
      <c r="K488" s="401"/>
      <c r="L488" s="401"/>
      <c r="M488" s="401"/>
      <c r="N488" s="401"/>
      <c r="O488" s="401"/>
      <c r="P488" s="401"/>
      <c r="Q488" s="401"/>
      <c r="R488" s="385"/>
      <c r="S488" s="439"/>
      <c r="T488" s="389"/>
      <c r="U488" s="521"/>
      <c r="V488" s="402"/>
      <c r="W488" s="402"/>
      <c r="X488" s="400"/>
      <c r="Y488" s="404"/>
      <c r="Z488" s="400"/>
      <c r="AA488" s="586"/>
      <c r="AB488" s="401"/>
      <c r="AC488" s="401"/>
      <c r="AD488" s="401"/>
      <c r="AE488" s="401"/>
      <c r="AF488" s="401"/>
      <c r="AG488" s="401"/>
      <c r="AH488" s="401"/>
      <c r="AI488" s="401"/>
      <c r="AJ488" s="401"/>
      <c r="AK488" s="385"/>
      <c r="AL488" s="439"/>
      <c r="AM488" s="389"/>
      <c r="AN488" s="521"/>
      <c r="AO488" s="402"/>
      <c r="AP488" s="402"/>
      <c r="AQ488" s="400"/>
      <c r="AR488" s="587">
        <v>15</v>
      </c>
      <c r="AS488" s="400">
        <v>15</v>
      </c>
      <c r="AT488" s="585">
        <v>8.7450200000000002</v>
      </c>
      <c r="AU488" s="401">
        <v>7.9526700000000003</v>
      </c>
      <c r="AV488" s="401">
        <v>7.0416499999999997</v>
      </c>
      <c r="AW488" s="401"/>
      <c r="AX488" s="401"/>
      <c r="AY488" s="401">
        <v>0</v>
      </c>
      <c r="AZ488" s="401">
        <v>0</v>
      </c>
      <c r="BA488" s="401">
        <v>0.18472</v>
      </c>
      <c r="BB488" s="401">
        <v>7.0416499999999997</v>
      </c>
      <c r="BC488" s="401"/>
      <c r="BD488" s="385" t="s">
        <v>167</v>
      </c>
      <c r="BE488" s="439" t="s">
        <v>175</v>
      </c>
      <c r="BF488" s="389"/>
      <c r="BG488" s="521">
        <v>679</v>
      </c>
      <c r="BH488" s="402"/>
      <c r="BI488" s="402">
        <f t="shared" si="283"/>
        <v>0.58300133333333337</v>
      </c>
    </row>
    <row r="489" spans="1:61" s="359" customFormat="1" ht="19.2" x14ac:dyDescent="0.3">
      <c r="A489" s="360" t="s">
        <v>1126</v>
      </c>
      <c r="B489" s="579" t="s">
        <v>963</v>
      </c>
      <c r="C489" s="433" t="s">
        <v>867</v>
      </c>
      <c r="D489" s="361">
        <v>0.22</v>
      </c>
      <c r="E489" s="400"/>
      <c r="F489" s="404"/>
      <c r="G489" s="400"/>
      <c r="H489" s="382"/>
      <c r="I489" s="401"/>
      <c r="J489" s="401"/>
      <c r="K489" s="401"/>
      <c r="L489" s="401"/>
      <c r="M489" s="401"/>
      <c r="N489" s="401"/>
      <c r="O489" s="401"/>
      <c r="P489" s="401"/>
      <c r="Q489" s="401"/>
      <c r="R489" s="385"/>
      <c r="S489" s="439"/>
      <c r="T489" s="389"/>
      <c r="U489" s="521"/>
      <c r="V489" s="402"/>
      <c r="W489" s="402"/>
      <c r="X489" s="400"/>
      <c r="Y489" s="404"/>
      <c r="Z489" s="400"/>
      <c r="AA489" s="586"/>
      <c r="AB489" s="401"/>
      <c r="AC489" s="401"/>
      <c r="AD489" s="401"/>
      <c r="AE489" s="401"/>
      <c r="AF489" s="401"/>
      <c r="AG489" s="401"/>
      <c r="AH489" s="401"/>
      <c r="AI489" s="401"/>
      <c r="AJ489" s="401"/>
      <c r="AK489" s="385"/>
      <c r="AL489" s="439"/>
      <c r="AM489" s="389"/>
      <c r="AN489" s="521"/>
      <c r="AO489" s="402"/>
      <c r="AP489" s="402"/>
      <c r="AQ489" s="400"/>
      <c r="AR489" s="587">
        <v>15</v>
      </c>
      <c r="AS489" s="400">
        <v>15</v>
      </c>
      <c r="AT489" s="585">
        <v>8.7450200000000002</v>
      </c>
      <c r="AU489" s="401">
        <v>7.9526700000000003</v>
      </c>
      <c r="AV489" s="401">
        <v>7.0416499999999997</v>
      </c>
      <c r="AW489" s="401"/>
      <c r="AX489" s="401"/>
      <c r="AY489" s="401">
        <v>0</v>
      </c>
      <c r="AZ489" s="401">
        <v>0</v>
      </c>
      <c r="BA489" s="401">
        <v>0.18472</v>
      </c>
      <c r="BB489" s="401">
        <v>7.0416499999999997</v>
      </c>
      <c r="BC489" s="401"/>
      <c r="BD489" s="385" t="s">
        <v>167</v>
      </c>
      <c r="BE489" s="439" t="s">
        <v>175</v>
      </c>
      <c r="BF489" s="389"/>
      <c r="BG489" s="521">
        <v>681</v>
      </c>
      <c r="BH489" s="402"/>
      <c r="BI489" s="402">
        <f t="shared" si="283"/>
        <v>0.58300133333333337</v>
      </c>
    </row>
    <row r="490" spans="1:61" s="359" customFormat="1" ht="19.2" x14ac:dyDescent="0.3">
      <c r="A490" s="360" t="s">
        <v>1127</v>
      </c>
      <c r="B490" s="579" t="s">
        <v>964</v>
      </c>
      <c r="C490" s="433" t="s">
        <v>868</v>
      </c>
      <c r="D490" s="361">
        <v>0.22</v>
      </c>
      <c r="E490" s="400"/>
      <c r="F490" s="404"/>
      <c r="G490" s="400"/>
      <c r="H490" s="382"/>
      <c r="I490" s="401"/>
      <c r="J490" s="401"/>
      <c r="K490" s="401"/>
      <c r="L490" s="401"/>
      <c r="M490" s="401"/>
      <c r="N490" s="401"/>
      <c r="O490" s="401"/>
      <c r="P490" s="401"/>
      <c r="Q490" s="401"/>
      <c r="R490" s="385"/>
      <c r="S490" s="439"/>
      <c r="T490" s="389"/>
      <c r="U490" s="521"/>
      <c r="V490" s="402"/>
      <c r="W490" s="402"/>
      <c r="X490" s="400"/>
      <c r="Y490" s="404"/>
      <c r="Z490" s="400"/>
      <c r="AA490" s="586"/>
      <c r="AB490" s="401"/>
      <c r="AC490" s="401"/>
      <c r="AD490" s="401"/>
      <c r="AE490" s="401"/>
      <c r="AF490" s="401"/>
      <c r="AG490" s="401"/>
      <c r="AH490" s="401"/>
      <c r="AI490" s="401"/>
      <c r="AJ490" s="401"/>
      <c r="AK490" s="385"/>
      <c r="AL490" s="439"/>
      <c r="AM490" s="389"/>
      <c r="AN490" s="521"/>
      <c r="AO490" s="402"/>
      <c r="AP490" s="402"/>
      <c r="AQ490" s="400"/>
      <c r="AR490" s="587">
        <v>15</v>
      </c>
      <c r="AS490" s="400">
        <v>15</v>
      </c>
      <c r="AT490" s="585">
        <v>8.7450200000000002</v>
      </c>
      <c r="AU490" s="401">
        <v>7.9526700000000003</v>
      </c>
      <c r="AV490" s="401">
        <v>7.0416499999999997</v>
      </c>
      <c r="AW490" s="401"/>
      <c r="AX490" s="401"/>
      <c r="AY490" s="401">
        <v>0</v>
      </c>
      <c r="AZ490" s="401">
        <v>0</v>
      </c>
      <c r="BA490" s="401">
        <v>0.18472</v>
      </c>
      <c r="BB490" s="401">
        <v>7.0416499999999997</v>
      </c>
      <c r="BC490" s="401"/>
      <c r="BD490" s="385" t="s">
        <v>167</v>
      </c>
      <c r="BE490" s="439" t="s">
        <v>175</v>
      </c>
      <c r="BF490" s="389"/>
      <c r="BG490" s="521">
        <v>683</v>
      </c>
      <c r="BH490" s="402"/>
      <c r="BI490" s="402">
        <f t="shared" si="283"/>
        <v>0.58300133333333337</v>
      </c>
    </row>
    <row r="491" spans="1:61" s="359" customFormat="1" ht="19.2" x14ac:dyDescent="0.3">
      <c r="A491" s="360" t="s">
        <v>1128</v>
      </c>
      <c r="B491" s="579" t="s">
        <v>965</v>
      </c>
      <c r="C491" s="433" t="s">
        <v>869</v>
      </c>
      <c r="D491" s="361">
        <v>0.22</v>
      </c>
      <c r="E491" s="400"/>
      <c r="F491" s="404"/>
      <c r="G491" s="400"/>
      <c r="H491" s="382"/>
      <c r="I491" s="401"/>
      <c r="J491" s="401"/>
      <c r="K491" s="401"/>
      <c r="L491" s="401"/>
      <c r="M491" s="401"/>
      <c r="N491" s="401"/>
      <c r="O491" s="401"/>
      <c r="P491" s="401"/>
      <c r="Q491" s="401"/>
      <c r="R491" s="385"/>
      <c r="S491" s="439"/>
      <c r="T491" s="389"/>
      <c r="U491" s="521"/>
      <c r="V491" s="402"/>
      <c r="W491" s="402"/>
      <c r="X491" s="400"/>
      <c r="Y491" s="404"/>
      <c r="Z491" s="400"/>
      <c r="AA491" s="586"/>
      <c r="AB491" s="401"/>
      <c r="AC491" s="401"/>
      <c r="AD491" s="401"/>
      <c r="AE491" s="401"/>
      <c r="AF491" s="401"/>
      <c r="AG491" s="401"/>
      <c r="AH491" s="401"/>
      <c r="AI491" s="401"/>
      <c r="AJ491" s="401"/>
      <c r="AK491" s="385"/>
      <c r="AL491" s="439"/>
      <c r="AM491" s="389"/>
      <c r="AN491" s="521"/>
      <c r="AO491" s="402"/>
      <c r="AP491" s="402"/>
      <c r="AQ491" s="400"/>
      <c r="AR491" s="587">
        <v>15</v>
      </c>
      <c r="AS491" s="400">
        <v>15</v>
      </c>
      <c r="AT491" s="585">
        <v>8.7450200000000002</v>
      </c>
      <c r="AU491" s="401">
        <v>7.9526700000000003</v>
      </c>
      <c r="AV491" s="401">
        <v>7.0416499999999997</v>
      </c>
      <c r="AW491" s="401"/>
      <c r="AX491" s="401"/>
      <c r="AY491" s="401">
        <v>0</v>
      </c>
      <c r="AZ491" s="401">
        <v>0</v>
      </c>
      <c r="BA491" s="401">
        <v>0.18472</v>
      </c>
      <c r="BB491" s="401">
        <v>7.0416499999999997</v>
      </c>
      <c r="BC491" s="401"/>
      <c r="BD491" s="385" t="s">
        <v>167</v>
      </c>
      <c r="BE491" s="439" t="s">
        <v>175</v>
      </c>
      <c r="BF491" s="389"/>
      <c r="BG491" s="521">
        <v>685</v>
      </c>
      <c r="BH491" s="402"/>
      <c r="BI491" s="402">
        <f t="shared" si="283"/>
        <v>0.58300133333333337</v>
      </c>
    </row>
    <row r="492" spans="1:61" s="359" customFormat="1" ht="19.2" x14ac:dyDescent="0.3">
      <c r="A492" s="360" t="s">
        <v>1129</v>
      </c>
      <c r="B492" s="579" t="s">
        <v>966</v>
      </c>
      <c r="C492" s="433" t="s">
        <v>870</v>
      </c>
      <c r="D492" s="361">
        <v>0.22</v>
      </c>
      <c r="E492" s="400"/>
      <c r="F492" s="404"/>
      <c r="G492" s="400"/>
      <c r="H492" s="382"/>
      <c r="I492" s="401"/>
      <c r="J492" s="401"/>
      <c r="K492" s="401"/>
      <c r="L492" s="401"/>
      <c r="M492" s="401"/>
      <c r="N492" s="401"/>
      <c r="O492" s="401"/>
      <c r="P492" s="401"/>
      <c r="Q492" s="401"/>
      <c r="R492" s="385"/>
      <c r="S492" s="439"/>
      <c r="T492" s="389"/>
      <c r="U492" s="521"/>
      <c r="V492" s="402"/>
      <c r="W492" s="402"/>
      <c r="X492" s="400"/>
      <c r="Y492" s="404"/>
      <c r="Z492" s="400"/>
      <c r="AA492" s="586"/>
      <c r="AB492" s="401"/>
      <c r="AC492" s="401"/>
      <c r="AD492" s="401"/>
      <c r="AE492" s="401"/>
      <c r="AF492" s="401"/>
      <c r="AG492" s="401"/>
      <c r="AH492" s="401"/>
      <c r="AI492" s="401"/>
      <c r="AJ492" s="401"/>
      <c r="AK492" s="385"/>
      <c r="AL492" s="439"/>
      <c r="AM492" s="389"/>
      <c r="AN492" s="521"/>
      <c r="AO492" s="402"/>
      <c r="AP492" s="402"/>
      <c r="AQ492" s="400"/>
      <c r="AR492" s="587">
        <v>15</v>
      </c>
      <c r="AS492" s="400">
        <v>15</v>
      </c>
      <c r="AT492" s="585">
        <v>8.7450200000000002</v>
      </c>
      <c r="AU492" s="401">
        <v>7.9526700000000003</v>
      </c>
      <c r="AV492" s="401">
        <v>7.0416499999999997</v>
      </c>
      <c r="AW492" s="401"/>
      <c r="AX492" s="401"/>
      <c r="AY492" s="401">
        <v>0</v>
      </c>
      <c r="AZ492" s="401">
        <v>0</v>
      </c>
      <c r="BA492" s="401">
        <v>0.18472</v>
      </c>
      <c r="BB492" s="401">
        <v>7.0416499999999997</v>
      </c>
      <c r="BC492" s="401"/>
      <c r="BD492" s="385" t="s">
        <v>167</v>
      </c>
      <c r="BE492" s="439" t="s">
        <v>175</v>
      </c>
      <c r="BF492" s="389"/>
      <c r="BG492" s="521">
        <v>687</v>
      </c>
      <c r="BH492" s="402"/>
      <c r="BI492" s="402">
        <f t="shared" si="283"/>
        <v>0.58300133333333337</v>
      </c>
    </row>
    <row r="493" spans="1:61" s="359" customFormat="1" ht="19.2" x14ac:dyDescent="0.3">
      <c r="A493" s="360" t="s">
        <v>1130</v>
      </c>
      <c r="B493" s="579" t="s">
        <v>967</v>
      </c>
      <c r="C493" s="433" t="s">
        <v>871</v>
      </c>
      <c r="D493" s="361">
        <v>0.22</v>
      </c>
      <c r="E493" s="400"/>
      <c r="F493" s="404"/>
      <c r="G493" s="400"/>
      <c r="H493" s="382"/>
      <c r="I493" s="401"/>
      <c r="J493" s="401"/>
      <c r="K493" s="401"/>
      <c r="L493" s="401"/>
      <c r="M493" s="401"/>
      <c r="N493" s="401"/>
      <c r="O493" s="401"/>
      <c r="P493" s="401"/>
      <c r="Q493" s="401"/>
      <c r="R493" s="385"/>
      <c r="S493" s="439"/>
      <c r="T493" s="389"/>
      <c r="U493" s="521"/>
      <c r="V493" s="402"/>
      <c r="W493" s="402"/>
      <c r="X493" s="400"/>
      <c r="Y493" s="404"/>
      <c r="Z493" s="400"/>
      <c r="AA493" s="586"/>
      <c r="AB493" s="401"/>
      <c r="AC493" s="401"/>
      <c r="AD493" s="401"/>
      <c r="AE493" s="401"/>
      <c r="AF493" s="401"/>
      <c r="AG493" s="401"/>
      <c r="AH493" s="401"/>
      <c r="AI493" s="401"/>
      <c r="AJ493" s="401"/>
      <c r="AK493" s="385"/>
      <c r="AL493" s="439"/>
      <c r="AM493" s="389"/>
      <c r="AN493" s="521"/>
      <c r="AO493" s="402"/>
      <c r="AP493" s="402"/>
      <c r="AQ493" s="400"/>
      <c r="AR493" s="587">
        <v>15</v>
      </c>
      <c r="AS493" s="400">
        <v>15</v>
      </c>
      <c r="AT493" s="585">
        <v>8.7450200000000002</v>
      </c>
      <c r="AU493" s="401">
        <v>7.9526700000000003</v>
      </c>
      <c r="AV493" s="401">
        <v>7.0416499999999997</v>
      </c>
      <c r="AW493" s="401"/>
      <c r="AX493" s="401"/>
      <c r="AY493" s="401">
        <v>0</v>
      </c>
      <c r="AZ493" s="401">
        <v>0</v>
      </c>
      <c r="BA493" s="401">
        <v>0.18472</v>
      </c>
      <c r="BB493" s="401">
        <v>7.0416499999999997</v>
      </c>
      <c r="BC493" s="401"/>
      <c r="BD493" s="385" t="s">
        <v>167</v>
      </c>
      <c r="BE493" s="439" t="s">
        <v>175</v>
      </c>
      <c r="BF493" s="389"/>
      <c r="BG493" s="521">
        <v>689</v>
      </c>
      <c r="BH493" s="402"/>
      <c r="BI493" s="402">
        <f t="shared" si="283"/>
        <v>0.58300133333333337</v>
      </c>
    </row>
    <row r="494" spans="1:61" s="359" customFormat="1" ht="19.2" x14ac:dyDescent="0.3">
      <c r="A494" s="360" t="s">
        <v>1131</v>
      </c>
      <c r="B494" s="579" t="s">
        <v>968</v>
      </c>
      <c r="C494" s="433" t="s">
        <v>872</v>
      </c>
      <c r="D494" s="361">
        <v>0.22</v>
      </c>
      <c r="E494" s="400"/>
      <c r="F494" s="404"/>
      <c r="G494" s="400"/>
      <c r="H494" s="382"/>
      <c r="I494" s="401"/>
      <c r="J494" s="401"/>
      <c r="K494" s="401"/>
      <c r="L494" s="401"/>
      <c r="M494" s="401"/>
      <c r="N494" s="401"/>
      <c r="O494" s="401"/>
      <c r="P494" s="401"/>
      <c r="Q494" s="401"/>
      <c r="R494" s="385"/>
      <c r="S494" s="439"/>
      <c r="T494" s="389"/>
      <c r="U494" s="521"/>
      <c r="V494" s="402"/>
      <c r="W494" s="402"/>
      <c r="X494" s="400"/>
      <c r="Y494" s="404"/>
      <c r="Z494" s="400"/>
      <c r="AA494" s="586"/>
      <c r="AB494" s="401"/>
      <c r="AC494" s="401"/>
      <c r="AD494" s="401"/>
      <c r="AE494" s="401"/>
      <c r="AF494" s="401"/>
      <c r="AG494" s="401"/>
      <c r="AH494" s="401"/>
      <c r="AI494" s="401"/>
      <c r="AJ494" s="401"/>
      <c r="AK494" s="385"/>
      <c r="AL494" s="439"/>
      <c r="AM494" s="389"/>
      <c r="AN494" s="521"/>
      <c r="AO494" s="402"/>
      <c r="AP494" s="402"/>
      <c r="AQ494" s="400"/>
      <c r="AR494" s="587">
        <v>15</v>
      </c>
      <c r="AS494" s="400">
        <v>15</v>
      </c>
      <c r="AT494" s="585">
        <v>8.7450200000000002</v>
      </c>
      <c r="AU494" s="401">
        <v>7.9526700000000003</v>
      </c>
      <c r="AV494" s="401">
        <v>7.0416499999999997</v>
      </c>
      <c r="AW494" s="401"/>
      <c r="AX494" s="401"/>
      <c r="AY494" s="401">
        <v>0</v>
      </c>
      <c r="AZ494" s="401">
        <v>0</v>
      </c>
      <c r="BA494" s="401">
        <v>0.18472</v>
      </c>
      <c r="BB494" s="401">
        <v>7.0416499999999997</v>
      </c>
      <c r="BC494" s="401"/>
      <c r="BD494" s="385" t="s">
        <v>167</v>
      </c>
      <c r="BE494" s="439" t="s">
        <v>175</v>
      </c>
      <c r="BF494" s="389"/>
      <c r="BG494" s="521">
        <v>691</v>
      </c>
      <c r="BH494" s="402"/>
      <c r="BI494" s="402">
        <f t="shared" si="283"/>
        <v>0.58300133333333337</v>
      </c>
    </row>
    <row r="495" spans="1:61" s="359" customFormat="1" ht="19.2" x14ac:dyDescent="0.3">
      <c r="A495" s="360" t="s">
        <v>1132</v>
      </c>
      <c r="B495" s="579" t="s">
        <v>969</v>
      </c>
      <c r="C495" s="433" t="s">
        <v>873</v>
      </c>
      <c r="D495" s="361">
        <v>0.22</v>
      </c>
      <c r="E495" s="400"/>
      <c r="F495" s="404"/>
      <c r="G495" s="400"/>
      <c r="H495" s="382"/>
      <c r="I495" s="401"/>
      <c r="J495" s="401"/>
      <c r="K495" s="401"/>
      <c r="L495" s="401"/>
      <c r="M495" s="401"/>
      <c r="N495" s="401"/>
      <c r="O495" s="401"/>
      <c r="P495" s="401"/>
      <c r="Q495" s="401"/>
      <c r="R495" s="385"/>
      <c r="S495" s="439"/>
      <c r="T495" s="389"/>
      <c r="U495" s="521"/>
      <c r="V495" s="402"/>
      <c r="W495" s="402"/>
      <c r="X495" s="400"/>
      <c r="Y495" s="404"/>
      <c r="Z495" s="400"/>
      <c r="AA495" s="586"/>
      <c r="AB495" s="401"/>
      <c r="AC495" s="401"/>
      <c r="AD495" s="401"/>
      <c r="AE495" s="401"/>
      <c r="AF495" s="401"/>
      <c r="AG495" s="401"/>
      <c r="AH495" s="401"/>
      <c r="AI495" s="401"/>
      <c r="AJ495" s="401"/>
      <c r="AK495" s="385"/>
      <c r="AL495" s="439"/>
      <c r="AM495" s="389"/>
      <c r="AN495" s="521"/>
      <c r="AO495" s="402"/>
      <c r="AP495" s="402"/>
      <c r="AQ495" s="400"/>
      <c r="AR495" s="587">
        <v>15</v>
      </c>
      <c r="AS495" s="400">
        <v>15</v>
      </c>
      <c r="AT495" s="585">
        <v>8.7450200000000002</v>
      </c>
      <c r="AU495" s="401">
        <v>7.9526700000000003</v>
      </c>
      <c r="AV495" s="401">
        <v>7.0416499999999997</v>
      </c>
      <c r="AW495" s="401"/>
      <c r="AX495" s="401"/>
      <c r="AY495" s="401">
        <v>0</v>
      </c>
      <c r="AZ495" s="401">
        <v>0</v>
      </c>
      <c r="BA495" s="401">
        <v>0.18472</v>
      </c>
      <c r="BB495" s="401">
        <v>7.0416499999999997</v>
      </c>
      <c r="BC495" s="401"/>
      <c r="BD495" s="385" t="s">
        <v>167</v>
      </c>
      <c r="BE495" s="439" t="s">
        <v>175</v>
      </c>
      <c r="BF495" s="389"/>
      <c r="BG495" s="521">
        <v>693</v>
      </c>
      <c r="BH495" s="402"/>
      <c r="BI495" s="402">
        <f t="shared" si="283"/>
        <v>0.58300133333333337</v>
      </c>
    </row>
    <row r="496" spans="1:61" s="359" customFormat="1" ht="19.2" x14ac:dyDescent="0.3">
      <c r="A496" s="360" t="s">
        <v>1133</v>
      </c>
      <c r="B496" s="579" t="s">
        <v>970</v>
      </c>
      <c r="C496" s="433" t="s">
        <v>874</v>
      </c>
      <c r="D496" s="361">
        <v>0.22</v>
      </c>
      <c r="E496" s="400"/>
      <c r="F496" s="404"/>
      <c r="G496" s="400"/>
      <c r="H496" s="382"/>
      <c r="I496" s="401"/>
      <c r="J496" s="401"/>
      <c r="K496" s="401"/>
      <c r="L496" s="401"/>
      <c r="M496" s="401"/>
      <c r="N496" s="401"/>
      <c r="O496" s="401"/>
      <c r="P496" s="401"/>
      <c r="Q496" s="401"/>
      <c r="R496" s="385"/>
      <c r="S496" s="439"/>
      <c r="T496" s="389"/>
      <c r="U496" s="521"/>
      <c r="V496" s="402"/>
      <c r="W496" s="402"/>
      <c r="X496" s="400"/>
      <c r="Y496" s="404"/>
      <c r="Z496" s="400"/>
      <c r="AA496" s="586"/>
      <c r="AB496" s="401"/>
      <c r="AC496" s="401"/>
      <c r="AD496" s="401"/>
      <c r="AE496" s="401"/>
      <c r="AF496" s="401"/>
      <c r="AG496" s="401"/>
      <c r="AH496" s="401"/>
      <c r="AI496" s="401"/>
      <c r="AJ496" s="401"/>
      <c r="AK496" s="385"/>
      <c r="AL496" s="439"/>
      <c r="AM496" s="389"/>
      <c r="AN496" s="521"/>
      <c r="AO496" s="402"/>
      <c r="AP496" s="402"/>
      <c r="AQ496" s="400"/>
      <c r="AR496" s="587">
        <v>10</v>
      </c>
      <c r="AS496" s="400">
        <v>10</v>
      </c>
      <c r="AT496" s="585">
        <v>6.9836</v>
      </c>
      <c r="AU496" s="401">
        <v>6.18771</v>
      </c>
      <c r="AV496" s="401">
        <v>5.2084700000000002</v>
      </c>
      <c r="AW496" s="401"/>
      <c r="AX496" s="401"/>
      <c r="AY496" s="401">
        <v>0</v>
      </c>
      <c r="AZ496" s="401">
        <v>0</v>
      </c>
      <c r="BA496" s="401">
        <v>0.18472</v>
      </c>
      <c r="BB496" s="401">
        <v>5.2084799999999998</v>
      </c>
      <c r="BC496" s="401"/>
      <c r="BD496" s="385" t="s">
        <v>167</v>
      </c>
      <c r="BE496" s="439" t="s">
        <v>175</v>
      </c>
      <c r="BF496" s="389"/>
      <c r="BG496" s="521">
        <v>695</v>
      </c>
      <c r="BH496" s="402"/>
      <c r="BI496" s="402">
        <f t="shared" si="283"/>
        <v>0.69835999999999998</v>
      </c>
    </row>
    <row r="497" spans="1:61" s="359" customFormat="1" ht="19.2" x14ac:dyDescent="0.3">
      <c r="A497" s="360" t="s">
        <v>1134</v>
      </c>
      <c r="B497" s="579" t="s">
        <v>971</v>
      </c>
      <c r="C497" s="433" t="s">
        <v>875</v>
      </c>
      <c r="D497" s="361">
        <v>0.22</v>
      </c>
      <c r="E497" s="400"/>
      <c r="F497" s="404"/>
      <c r="G497" s="400"/>
      <c r="H497" s="382"/>
      <c r="I497" s="401"/>
      <c r="J497" s="401"/>
      <c r="K497" s="401"/>
      <c r="L497" s="401"/>
      <c r="M497" s="401"/>
      <c r="N497" s="401"/>
      <c r="O497" s="401"/>
      <c r="P497" s="401"/>
      <c r="Q497" s="401"/>
      <c r="R497" s="385"/>
      <c r="S497" s="439"/>
      <c r="T497" s="389"/>
      <c r="U497" s="521"/>
      <c r="V497" s="402"/>
      <c r="W497" s="402"/>
      <c r="X497" s="400"/>
      <c r="Y497" s="404"/>
      <c r="Z497" s="400"/>
      <c r="AA497" s="586"/>
      <c r="AB497" s="401"/>
      <c r="AC497" s="401"/>
      <c r="AD497" s="401"/>
      <c r="AE497" s="401"/>
      <c r="AF497" s="401"/>
      <c r="AG497" s="401"/>
      <c r="AH497" s="401"/>
      <c r="AI497" s="401"/>
      <c r="AJ497" s="401"/>
      <c r="AK497" s="385"/>
      <c r="AL497" s="439"/>
      <c r="AM497" s="389"/>
      <c r="AN497" s="521"/>
      <c r="AO497" s="402"/>
      <c r="AP497" s="402"/>
      <c r="AQ497" s="400"/>
      <c r="AR497" s="587">
        <v>15</v>
      </c>
      <c r="AS497" s="400">
        <v>15</v>
      </c>
      <c r="AT497" s="585">
        <v>8.6817200000000003</v>
      </c>
      <c r="AU497" s="401">
        <v>7.8893700000000004</v>
      </c>
      <c r="AV497" s="401">
        <v>7.0416699999999999</v>
      </c>
      <c r="AW497" s="401"/>
      <c r="AX497" s="401"/>
      <c r="AY497" s="401">
        <v>0</v>
      </c>
      <c r="AZ497" s="401">
        <v>0</v>
      </c>
      <c r="BA497" s="401">
        <v>0.18472</v>
      </c>
      <c r="BB497" s="401">
        <v>7.0416699999999999</v>
      </c>
      <c r="BC497" s="401"/>
      <c r="BD497" s="385" t="s">
        <v>167</v>
      </c>
      <c r="BE497" s="439" t="s">
        <v>175</v>
      </c>
      <c r="BF497" s="389"/>
      <c r="BG497" s="521">
        <v>697</v>
      </c>
      <c r="BH497" s="402"/>
      <c r="BI497" s="402">
        <f t="shared" si="283"/>
        <v>0.57878133333333337</v>
      </c>
    </row>
    <row r="498" spans="1:61" s="359" customFormat="1" ht="19.2" x14ac:dyDescent="0.3">
      <c r="A498" s="360" t="s">
        <v>1135</v>
      </c>
      <c r="B498" s="579" t="s">
        <v>1048</v>
      </c>
      <c r="C498" s="433" t="s">
        <v>1047</v>
      </c>
      <c r="D498" s="361">
        <v>0.22</v>
      </c>
      <c r="E498" s="400"/>
      <c r="F498" s="404"/>
      <c r="G498" s="400"/>
      <c r="H498" s="382"/>
      <c r="I498" s="401"/>
      <c r="J498" s="401"/>
      <c r="K498" s="401"/>
      <c r="L498" s="401"/>
      <c r="M498" s="401"/>
      <c r="N498" s="401"/>
      <c r="O498" s="401"/>
      <c r="P498" s="401"/>
      <c r="Q498" s="401"/>
      <c r="R498" s="385"/>
      <c r="S498" s="439"/>
      <c r="T498" s="389"/>
      <c r="U498" s="521"/>
      <c r="V498" s="402"/>
      <c r="W498" s="402"/>
      <c r="X498" s="400"/>
      <c r="Y498" s="404"/>
      <c r="Z498" s="400"/>
      <c r="AA498" s="586"/>
      <c r="AB498" s="401"/>
      <c r="AC498" s="401"/>
      <c r="AD498" s="401"/>
      <c r="AE498" s="401"/>
      <c r="AF498" s="401"/>
      <c r="AG498" s="401"/>
      <c r="AH498" s="401"/>
      <c r="AI498" s="401"/>
      <c r="AJ498" s="401"/>
      <c r="AK498" s="385"/>
      <c r="AL498" s="439"/>
      <c r="AM498" s="389"/>
      <c r="AN498" s="521"/>
      <c r="AO498" s="402"/>
      <c r="AP498" s="402"/>
      <c r="AQ498" s="400"/>
      <c r="AR498" s="587">
        <v>15</v>
      </c>
      <c r="AS498" s="400">
        <v>15</v>
      </c>
      <c r="AT498" s="585">
        <v>8.6817200000000003</v>
      </c>
      <c r="AU498" s="401">
        <v>7.8893700000000004</v>
      </c>
      <c r="AV498" s="401">
        <v>7.0416699999999999</v>
      </c>
      <c r="AW498" s="401"/>
      <c r="AX498" s="401"/>
      <c r="AY498" s="401">
        <v>0</v>
      </c>
      <c r="AZ498" s="401">
        <v>0</v>
      </c>
      <c r="BA498" s="401">
        <v>0.185</v>
      </c>
      <c r="BB498" s="401">
        <v>7.0416699999999999</v>
      </c>
      <c r="BC498" s="401"/>
      <c r="BD498" s="385" t="s">
        <v>167</v>
      </c>
      <c r="BE498" s="439" t="s">
        <v>175</v>
      </c>
      <c r="BF498" s="389"/>
      <c r="BG498" s="521">
        <v>699</v>
      </c>
      <c r="BH498" s="402"/>
      <c r="BI498" s="402">
        <f t="shared" si="283"/>
        <v>0.57878133333333337</v>
      </c>
    </row>
    <row r="499" spans="1:61" s="359" customFormat="1" ht="19.2" x14ac:dyDescent="0.3">
      <c r="A499" s="360" t="s">
        <v>1136</v>
      </c>
      <c r="B499" s="579" t="s">
        <v>1050</v>
      </c>
      <c r="C499" s="433" t="s">
        <v>1049</v>
      </c>
      <c r="D499" s="361">
        <v>0.22</v>
      </c>
      <c r="E499" s="400"/>
      <c r="F499" s="404"/>
      <c r="G499" s="400"/>
      <c r="H499" s="382"/>
      <c r="I499" s="401"/>
      <c r="J499" s="401"/>
      <c r="K499" s="401"/>
      <c r="L499" s="401"/>
      <c r="M499" s="401"/>
      <c r="N499" s="401"/>
      <c r="O499" s="401"/>
      <c r="P499" s="401"/>
      <c r="Q499" s="401"/>
      <c r="R499" s="385"/>
      <c r="S499" s="439"/>
      <c r="T499" s="389"/>
      <c r="U499" s="521"/>
      <c r="V499" s="402"/>
      <c r="W499" s="402"/>
      <c r="X499" s="400"/>
      <c r="Y499" s="404"/>
      <c r="Z499" s="400"/>
      <c r="AA499" s="586"/>
      <c r="AB499" s="401"/>
      <c r="AC499" s="401"/>
      <c r="AD499" s="401"/>
      <c r="AE499" s="401"/>
      <c r="AF499" s="401"/>
      <c r="AG499" s="401"/>
      <c r="AH499" s="401"/>
      <c r="AI499" s="401"/>
      <c r="AJ499" s="401"/>
      <c r="AK499" s="385"/>
      <c r="AL499" s="439"/>
      <c r="AM499" s="389"/>
      <c r="AN499" s="521"/>
      <c r="AO499" s="402"/>
      <c r="AP499" s="402"/>
      <c r="AQ499" s="400"/>
      <c r="AR499" s="587">
        <v>15</v>
      </c>
      <c r="AS499" s="400">
        <v>15</v>
      </c>
      <c r="AT499" s="585">
        <v>6.9835900000000004</v>
      </c>
      <c r="AU499" s="401">
        <v>6.1877199999999997</v>
      </c>
      <c r="AV499" s="401">
        <v>5.2084799999999998</v>
      </c>
      <c r="AW499" s="401"/>
      <c r="AX499" s="401"/>
      <c r="AY499" s="401">
        <v>0</v>
      </c>
      <c r="AZ499" s="401">
        <v>0</v>
      </c>
      <c r="BA499" s="401">
        <v>0.18472</v>
      </c>
      <c r="BB499" s="401">
        <v>5.2084799999999998</v>
      </c>
      <c r="BC499" s="401"/>
      <c r="BD499" s="385" t="s">
        <v>167</v>
      </c>
      <c r="BE499" s="439" t="s">
        <v>175</v>
      </c>
      <c r="BF499" s="389"/>
      <c r="BG499" s="521">
        <v>701</v>
      </c>
      <c r="BH499" s="402"/>
      <c r="BI499" s="402">
        <f t="shared" si="283"/>
        <v>0.46557266666666669</v>
      </c>
    </row>
    <row r="500" spans="1:61" s="359" customFormat="1" ht="19.2" x14ac:dyDescent="0.3">
      <c r="A500" s="360" t="s">
        <v>1137</v>
      </c>
      <c r="B500" s="579" t="s">
        <v>1052</v>
      </c>
      <c r="C500" s="433" t="s">
        <v>1051</v>
      </c>
      <c r="D500" s="361">
        <v>0.22</v>
      </c>
      <c r="E500" s="400"/>
      <c r="F500" s="404"/>
      <c r="G500" s="400"/>
      <c r="H500" s="382"/>
      <c r="I500" s="401"/>
      <c r="J500" s="401"/>
      <c r="K500" s="401"/>
      <c r="L500" s="401"/>
      <c r="M500" s="401"/>
      <c r="N500" s="401"/>
      <c r="O500" s="401"/>
      <c r="P500" s="401"/>
      <c r="Q500" s="401"/>
      <c r="R500" s="385"/>
      <c r="S500" s="439"/>
      <c r="T500" s="389"/>
      <c r="U500" s="521"/>
      <c r="V500" s="402"/>
      <c r="W500" s="402"/>
      <c r="X500" s="400"/>
      <c r="Y500" s="404"/>
      <c r="Z500" s="400"/>
      <c r="AA500" s="586"/>
      <c r="AB500" s="401"/>
      <c r="AC500" s="401"/>
      <c r="AD500" s="401"/>
      <c r="AE500" s="401"/>
      <c r="AF500" s="401"/>
      <c r="AG500" s="401"/>
      <c r="AH500" s="401"/>
      <c r="AI500" s="401"/>
      <c r="AJ500" s="401"/>
      <c r="AK500" s="385"/>
      <c r="AL500" s="439"/>
      <c r="AM500" s="389"/>
      <c r="AN500" s="521"/>
      <c r="AO500" s="402"/>
      <c r="AP500" s="402"/>
      <c r="AQ500" s="400"/>
      <c r="AR500" s="587">
        <v>15</v>
      </c>
      <c r="AS500" s="400">
        <v>15</v>
      </c>
      <c r="AT500" s="585">
        <v>6.9835900000000004</v>
      </c>
      <c r="AU500" s="401">
        <v>6.1877199999999997</v>
      </c>
      <c r="AV500" s="401">
        <v>5.2084799999999998</v>
      </c>
      <c r="AW500" s="401"/>
      <c r="AX500" s="401"/>
      <c r="AY500" s="401">
        <v>0</v>
      </c>
      <c r="AZ500" s="401">
        <v>0</v>
      </c>
      <c r="BA500" s="401">
        <v>0.18472</v>
      </c>
      <c r="BB500" s="401">
        <v>5.2084799999999998</v>
      </c>
      <c r="BC500" s="401"/>
      <c r="BD500" s="385" t="s">
        <v>167</v>
      </c>
      <c r="BE500" s="439" t="s">
        <v>175</v>
      </c>
      <c r="BF500" s="389"/>
      <c r="BG500" s="521">
        <v>703</v>
      </c>
      <c r="BH500" s="402"/>
      <c r="BI500" s="402">
        <f t="shared" si="283"/>
        <v>0.46557266666666669</v>
      </c>
    </row>
    <row r="501" spans="1:61" s="359" customFormat="1" x14ac:dyDescent="0.3">
      <c r="A501" s="360"/>
      <c r="B501" s="382"/>
      <c r="C501" s="433"/>
      <c r="D501" s="361"/>
      <c r="E501" s="400"/>
      <c r="F501" s="404"/>
      <c r="G501" s="400"/>
      <c r="H501" s="401"/>
      <c r="I501" s="401"/>
      <c r="J501" s="401"/>
      <c r="K501" s="401"/>
      <c r="L501" s="401"/>
      <c r="M501" s="401"/>
      <c r="N501" s="401"/>
      <c r="O501" s="401"/>
      <c r="P501" s="401"/>
      <c r="Q501" s="401"/>
      <c r="R501" s="389"/>
      <c r="S501" s="389"/>
      <c r="T501" s="389"/>
      <c r="U501" s="521"/>
      <c r="V501" s="402"/>
      <c r="W501" s="402" t="e">
        <f>H501/F501</f>
        <v>#DIV/0!</v>
      </c>
      <c r="X501" s="400"/>
      <c r="Y501" s="404"/>
      <c r="Z501" s="400"/>
      <c r="AA501" s="401"/>
      <c r="AB501" s="401"/>
      <c r="AC501" s="401"/>
      <c r="AD501" s="401"/>
      <c r="AE501" s="401"/>
      <c r="AF501" s="401"/>
      <c r="AG501" s="401"/>
      <c r="AH501" s="401"/>
      <c r="AI501" s="401"/>
      <c r="AJ501" s="401"/>
      <c r="AK501" s="389"/>
      <c r="AL501" s="389"/>
      <c r="AM501" s="389"/>
      <c r="AN501" s="521"/>
      <c r="AO501" s="402"/>
      <c r="AP501" s="402" t="e">
        <f>AA501/Y501</f>
        <v>#DIV/0!</v>
      </c>
      <c r="AQ501" s="400"/>
      <c r="AR501" s="587"/>
      <c r="AS501" s="400"/>
      <c r="AT501" s="401"/>
      <c r="AU501" s="401"/>
      <c r="AV501" s="401"/>
      <c r="AW501" s="401"/>
      <c r="AX501" s="401"/>
      <c r="AY501" s="401"/>
      <c r="AZ501" s="401"/>
      <c r="BA501" s="401"/>
      <c r="BB501" s="401"/>
      <c r="BC501" s="401"/>
      <c r="BD501" s="389"/>
      <c r="BE501" s="389"/>
      <c r="BF501" s="389"/>
      <c r="BG501" s="521"/>
      <c r="BH501" s="402"/>
      <c r="BI501" s="402" t="e">
        <f t="shared" si="283"/>
        <v>#DIV/0!</v>
      </c>
    </row>
    <row r="502" spans="1:61" s="359" customFormat="1" ht="24.75" customHeight="1" x14ac:dyDescent="0.3">
      <c r="A502" s="560" t="s">
        <v>711</v>
      </c>
      <c r="B502" s="568" t="s">
        <v>593</v>
      </c>
      <c r="C502" s="566"/>
      <c r="D502" s="567">
        <v>0.4</v>
      </c>
      <c r="E502" s="561">
        <f t="shared" ref="E502:Q502" si="284">SUM(E503:E604)</f>
        <v>0</v>
      </c>
      <c r="F502" s="561">
        <f t="shared" si="284"/>
        <v>0</v>
      </c>
      <c r="G502" s="561">
        <f t="shared" si="284"/>
        <v>0</v>
      </c>
      <c r="H502" s="562">
        <f t="shared" si="284"/>
        <v>0</v>
      </c>
      <c r="I502" s="562">
        <f t="shared" si="284"/>
        <v>0</v>
      </c>
      <c r="J502" s="562">
        <f t="shared" si="284"/>
        <v>0</v>
      </c>
      <c r="K502" s="562">
        <f t="shared" si="284"/>
        <v>0</v>
      </c>
      <c r="L502" s="562">
        <f t="shared" si="284"/>
        <v>0</v>
      </c>
      <c r="M502" s="562">
        <f t="shared" si="284"/>
        <v>0</v>
      </c>
      <c r="N502" s="562">
        <f t="shared" si="284"/>
        <v>0</v>
      </c>
      <c r="O502" s="562">
        <f t="shared" si="284"/>
        <v>0</v>
      </c>
      <c r="P502" s="562">
        <f t="shared" si="284"/>
        <v>0</v>
      </c>
      <c r="Q502" s="562">
        <f t="shared" si="284"/>
        <v>0</v>
      </c>
      <c r="R502" s="563"/>
      <c r="S502" s="563"/>
      <c r="T502" s="563"/>
      <c r="U502" s="564"/>
      <c r="V502" s="565"/>
      <c r="W502" s="565" t="e">
        <f>H502/F502</f>
        <v>#DIV/0!</v>
      </c>
      <c r="X502" s="561">
        <f t="shared" ref="X502:AJ502" si="285">SUM(X503:X604)</f>
        <v>0</v>
      </c>
      <c r="Y502" s="561">
        <f t="shared" si="285"/>
        <v>0</v>
      </c>
      <c r="Z502" s="561">
        <f t="shared" si="285"/>
        <v>0</v>
      </c>
      <c r="AA502" s="562">
        <f t="shared" si="285"/>
        <v>20.48752</v>
      </c>
      <c r="AB502" s="562">
        <f t="shared" si="285"/>
        <v>16.243359999999999</v>
      </c>
      <c r="AC502" s="562">
        <f t="shared" si="285"/>
        <v>10.8</v>
      </c>
      <c r="AD502" s="562">
        <f t="shared" si="285"/>
        <v>3.8008299999999999</v>
      </c>
      <c r="AE502" s="562">
        <f t="shared" si="285"/>
        <v>0.42897999999999997</v>
      </c>
      <c r="AF502" s="562">
        <f t="shared" si="285"/>
        <v>0</v>
      </c>
      <c r="AG502" s="562">
        <f t="shared" si="285"/>
        <v>0</v>
      </c>
      <c r="AH502" s="562">
        <f t="shared" si="285"/>
        <v>1.4343900000000001</v>
      </c>
      <c r="AI502" s="562">
        <f t="shared" si="285"/>
        <v>10.8</v>
      </c>
      <c r="AJ502" s="562">
        <f t="shared" si="285"/>
        <v>3.8008299999999999</v>
      </c>
      <c r="AK502" s="563"/>
      <c r="AL502" s="563"/>
      <c r="AM502" s="563"/>
      <c r="AN502" s="564"/>
      <c r="AO502" s="565"/>
      <c r="AP502" s="565" t="e">
        <f>AA502/Y502</f>
        <v>#DIV/0!</v>
      </c>
      <c r="AQ502" s="561">
        <f t="shared" ref="AQ502:BC502" si="286">SUM(AQ503:AQ604)</f>
        <v>0</v>
      </c>
      <c r="AR502" s="561">
        <f t="shared" si="286"/>
        <v>1700</v>
      </c>
      <c r="AS502" s="561">
        <f t="shared" si="286"/>
        <v>1700</v>
      </c>
      <c r="AT502" s="562">
        <f t="shared" si="286"/>
        <v>1225.4756100000006</v>
      </c>
      <c r="AU502" s="562">
        <f t="shared" si="286"/>
        <v>1056.2092200000006</v>
      </c>
      <c r="AV502" s="562">
        <f t="shared" si="286"/>
        <v>930.92632000000049</v>
      </c>
      <c r="AW502" s="562">
        <f t="shared" si="286"/>
        <v>0</v>
      </c>
      <c r="AX502" s="562">
        <f t="shared" si="286"/>
        <v>0</v>
      </c>
      <c r="AY502" s="562">
        <f t="shared" si="286"/>
        <v>0</v>
      </c>
      <c r="AZ502" s="562">
        <f t="shared" si="286"/>
        <v>0</v>
      </c>
      <c r="BA502" s="562">
        <f t="shared" si="286"/>
        <v>39.154499999999913</v>
      </c>
      <c r="BB502" s="562">
        <f t="shared" si="286"/>
        <v>941.39462000000049</v>
      </c>
      <c r="BC502" s="562">
        <f t="shared" si="286"/>
        <v>0</v>
      </c>
      <c r="BD502" s="563"/>
      <c r="BE502" s="563"/>
      <c r="BF502" s="563"/>
      <c r="BG502" s="564"/>
      <c r="BH502" s="565"/>
      <c r="BI502" s="565">
        <f t="shared" si="283"/>
        <v>0.72086800588235334</v>
      </c>
    </row>
    <row r="503" spans="1:61" s="359" customFormat="1" x14ac:dyDescent="0.3">
      <c r="A503" s="360" t="s">
        <v>179</v>
      </c>
      <c r="B503" s="513"/>
      <c r="C503" s="433"/>
      <c r="D503" s="361">
        <v>0.4</v>
      </c>
      <c r="E503" s="400"/>
      <c r="F503" s="400"/>
      <c r="G503" s="400"/>
      <c r="H503" s="513"/>
      <c r="I503" s="401"/>
      <c r="J503" s="401"/>
      <c r="K503" s="401"/>
      <c r="L503" s="401"/>
      <c r="M503" s="401"/>
      <c r="N503" s="401"/>
      <c r="O503" s="401"/>
      <c r="P503" s="401"/>
      <c r="Q503" s="401"/>
      <c r="R503" s="389"/>
      <c r="S503" s="389"/>
      <c r="T503" s="389"/>
      <c r="U503" s="521"/>
      <c r="V503" s="402"/>
      <c r="W503" s="402"/>
      <c r="X503" s="400"/>
      <c r="Y503" s="400"/>
      <c r="Z503" s="400"/>
      <c r="AA503" s="419"/>
      <c r="AB503" s="401"/>
      <c r="AC503" s="401"/>
      <c r="AD503" s="401"/>
      <c r="AE503" s="401"/>
      <c r="AF503" s="401"/>
      <c r="AG503" s="401"/>
      <c r="AH503" s="401"/>
      <c r="AI503" s="401"/>
      <c r="AJ503" s="401"/>
      <c r="AK503" s="389"/>
      <c r="AL503" s="389"/>
      <c r="AM503" s="389"/>
      <c r="AN503" s="521"/>
      <c r="AO503" s="402"/>
      <c r="AP503" s="402"/>
      <c r="AQ503" s="400"/>
      <c r="AR503" s="400"/>
      <c r="AS503" s="400"/>
      <c r="AT503" s="419"/>
      <c r="AU503" s="401"/>
      <c r="AV503" s="401"/>
      <c r="AW503" s="401"/>
      <c r="AX503" s="401"/>
      <c r="AY503" s="401"/>
      <c r="AZ503" s="401"/>
      <c r="BA503" s="401"/>
      <c r="BB503" s="401"/>
      <c r="BC503" s="401"/>
      <c r="BD503" s="389"/>
      <c r="BE503" s="389"/>
      <c r="BF503" s="389"/>
      <c r="BG503" s="521"/>
      <c r="BH503" s="402"/>
      <c r="BI503" s="402"/>
    </row>
    <row r="504" spans="1:61" s="359" customFormat="1" ht="19.2" x14ac:dyDescent="0.3">
      <c r="A504" s="360" t="s">
        <v>179</v>
      </c>
      <c r="B504" s="543" t="s">
        <v>591</v>
      </c>
      <c r="C504" s="433"/>
      <c r="D504" s="361">
        <v>0.4</v>
      </c>
      <c r="E504" s="400"/>
      <c r="F504" s="404"/>
      <c r="G504" s="400"/>
      <c r="H504" s="543"/>
      <c r="I504" s="401"/>
      <c r="J504" s="401"/>
      <c r="K504" s="401"/>
      <c r="L504" s="401"/>
      <c r="M504" s="401"/>
      <c r="N504" s="401"/>
      <c r="O504" s="401"/>
      <c r="P504" s="401"/>
      <c r="Q504" s="401"/>
      <c r="R504" s="389"/>
      <c r="S504" s="389"/>
      <c r="T504" s="389"/>
      <c r="U504" s="521"/>
      <c r="V504" s="402"/>
      <c r="W504" s="402" t="e">
        <f>H504/F504</f>
        <v>#DIV/0!</v>
      </c>
      <c r="X504" s="400"/>
      <c r="Y504" s="550"/>
      <c r="Z504" s="549"/>
      <c r="AA504" s="573">
        <v>20.48752</v>
      </c>
      <c r="AB504" s="401">
        <v>16.243359999999999</v>
      </c>
      <c r="AC504" s="401">
        <v>10.8</v>
      </c>
      <c r="AD504" s="401">
        <f>0.84872+0.32999+2.62212</f>
        <v>3.8008299999999999</v>
      </c>
      <c r="AE504" s="401">
        <v>0.42897999999999997</v>
      </c>
      <c r="AF504" s="401">
        <v>0</v>
      </c>
      <c r="AG504" s="401">
        <v>0</v>
      </c>
      <c r="AH504" s="401">
        <v>1.4343900000000001</v>
      </c>
      <c r="AI504" s="401">
        <v>10.8</v>
      </c>
      <c r="AJ504" s="401">
        <f>0.84872+0.32999+2.62212</f>
        <v>3.8008299999999999</v>
      </c>
      <c r="AK504" s="385" t="s">
        <v>167</v>
      </c>
      <c r="AL504" s="439" t="s">
        <v>175</v>
      </c>
      <c r="AM504" s="389"/>
      <c r="AN504" s="521">
        <v>501</v>
      </c>
      <c r="AO504" s="402"/>
      <c r="AP504" s="402" t="e">
        <f>AA504/Y504</f>
        <v>#DIV/0!</v>
      </c>
      <c r="AQ504" s="400"/>
      <c r="AR504" s="549"/>
      <c r="AS504" s="549"/>
      <c r="AT504" s="573"/>
      <c r="AU504" s="401"/>
      <c r="AV504" s="401"/>
      <c r="AW504" s="401"/>
      <c r="AX504" s="401"/>
      <c r="AY504" s="401"/>
      <c r="AZ504" s="401"/>
      <c r="BA504" s="401"/>
      <c r="BB504" s="401"/>
      <c r="BC504" s="401"/>
      <c r="BD504" s="385"/>
      <c r="BE504" s="439"/>
      <c r="BF504" s="389"/>
      <c r="BG504" s="521"/>
      <c r="BH504" s="402"/>
      <c r="BI504" s="402" t="e">
        <f t="shared" ref="BI504:BI535" si="287">AT504/AR504</f>
        <v>#DIV/0!</v>
      </c>
    </row>
    <row r="505" spans="1:61" s="359" customFormat="1" ht="19.2" x14ac:dyDescent="0.3">
      <c r="A505" s="360" t="s">
        <v>179</v>
      </c>
      <c r="B505" s="579" t="s">
        <v>972</v>
      </c>
      <c r="C505" s="433" t="s">
        <v>803</v>
      </c>
      <c r="D505" s="361">
        <v>0.4</v>
      </c>
      <c r="E505" s="400"/>
      <c r="F505" s="404"/>
      <c r="G505" s="400"/>
      <c r="H505" s="382"/>
      <c r="I505" s="401"/>
      <c r="J505" s="401"/>
      <c r="K505" s="401"/>
      <c r="L505" s="401"/>
      <c r="M505" s="401"/>
      <c r="N505" s="401"/>
      <c r="O505" s="401"/>
      <c r="P505" s="401"/>
      <c r="Q505" s="401"/>
      <c r="R505" s="389"/>
      <c r="S505" s="389"/>
      <c r="T505" s="389"/>
      <c r="U505" s="521"/>
      <c r="V505" s="402"/>
      <c r="W505" s="402"/>
      <c r="X505" s="400"/>
      <c r="Y505" s="550"/>
      <c r="Z505" s="549"/>
      <c r="AA505" s="586"/>
      <c r="AB505" s="401"/>
      <c r="AC505" s="401"/>
      <c r="AD505" s="401"/>
      <c r="AE505" s="401"/>
      <c r="AF505" s="401"/>
      <c r="AG505" s="401"/>
      <c r="AH505" s="401"/>
      <c r="AI505" s="401"/>
      <c r="AJ505" s="401"/>
      <c r="AK505" s="385"/>
      <c r="AL505" s="439"/>
      <c r="AM505" s="389"/>
      <c r="AN505" s="521"/>
      <c r="AO505" s="402"/>
      <c r="AP505" s="402"/>
      <c r="AQ505" s="400"/>
      <c r="AR505" s="337">
        <v>10</v>
      </c>
      <c r="AS505" s="549">
        <v>10</v>
      </c>
      <c r="AT505" s="585">
        <v>12.32178</v>
      </c>
      <c r="AU505" s="401">
        <v>10.62529</v>
      </c>
      <c r="AV505" s="401">
        <v>8.8377800000000004</v>
      </c>
      <c r="AW505" s="401"/>
      <c r="AX505" s="401"/>
      <c r="AY505" s="401">
        <v>0</v>
      </c>
      <c r="AZ505" s="401">
        <v>0</v>
      </c>
      <c r="BA505" s="401">
        <v>0.39550000000000002</v>
      </c>
      <c r="BB505" s="401">
        <v>8.8377800000000004</v>
      </c>
      <c r="BC505" s="401"/>
      <c r="BD505" s="385" t="s">
        <v>167</v>
      </c>
      <c r="BE505" s="439" t="s">
        <v>175</v>
      </c>
      <c r="BF505" s="389"/>
      <c r="BG505" s="521">
        <v>705</v>
      </c>
      <c r="BH505" s="402"/>
      <c r="BI505" s="402">
        <f t="shared" si="287"/>
        <v>1.232178</v>
      </c>
    </row>
    <row r="506" spans="1:61" s="359" customFormat="1" ht="19.2" x14ac:dyDescent="0.3">
      <c r="A506" s="360" t="s">
        <v>183</v>
      </c>
      <c r="B506" s="579" t="s">
        <v>973</v>
      </c>
      <c r="C506" s="433" t="s">
        <v>804</v>
      </c>
      <c r="D506" s="361">
        <v>0.4</v>
      </c>
      <c r="E506" s="400"/>
      <c r="F506" s="404"/>
      <c r="G506" s="400"/>
      <c r="H506" s="382"/>
      <c r="I506" s="401"/>
      <c r="J506" s="401"/>
      <c r="K506" s="401"/>
      <c r="L506" s="401"/>
      <c r="M506" s="401"/>
      <c r="N506" s="401"/>
      <c r="O506" s="401"/>
      <c r="P506" s="401"/>
      <c r="Q506" s="401"/>
      <c r="R506" s="389"/>
      <c r="S506" s="389"/>
      <c r="T506" s="389"/>
      <c r="U506" s="521"/>
      <c r="V506" s="402"/>
      <c r="W506" s="402"/>
      <c r="X506" s="400"/>
      <c r="Y506" s="550"/>
      <c r="Z506" s="549"/>
      <c r="AA506" s="586"/>
      <c r="AB506" s="401"/>
      <c r="AC506" s="401"/>
      <c r="AD506" s="401"/>
      <c r="AE506" s="401"/>
      <c r="AF506" s="401"/>
      <c r="AG506" s="401"/>
      <c r="AH506" s="401"/>
      <c r="AI506" s="401"/>
      <c r="AJ506" s="401"/>
      <c r="AK506" s="385"/>
      <c r="AL506" s="439"/>
      <c r="AM506" s="389"/>
      <c r="AN506" s="521"/>
      <c r="AO506" s="402"/>
      <c r="AP506" s="402"/>
      <c r="AQ506" s="400"/>
      <c r="AR506" s="337">
        <v>10</v>
      </c>
      <c r="AS506" s="549">
        <v>10</v>
      </c>
      <c r="AT506" s="585">
        <v>12.32178</v>
      </c>
      <c r="AU506" s="401">
        <v>10.62529</v>
      </c>
      <c r="AV506" s="401">
        <v>8.8377800000000004</v>
      </c>
      <c r="AW506" s="401"/>
      <c r="AX506" s="401"/>
      <c r="AY506" s="401">
        <v>0</v>
      </c>
      <c r="AZ506" s="401">
        <v>0</v>
      </c>
      <c r="BA506" s="401">
        <v>0.39550000000000002</v>
      </c>
      <c r="BB506" s="401">
        <v>8.8377800000000004</v>
      </c>
      <c r="BC506" s="401"/>
      <c r="BD506" s="385" t="s">
        <v>167</v>
      </c>
      <c r="BE506" s="439" t="s">
        <v>175</v>
      </c>
      <c r="BF506" s="389"/>
      <c r="BG506" s="521">
        <v>707</v>
      </c>
      <c r="BH506" s="402"/>
      <c r="BI506" s="402">
        <f t="shared" si="287"/>
        <v>1.232178</v>
      </c>
    </row>
    <row r="507" spans="1:61" s="359" customFormat="1" ht="19.2" x14ac:dyDescent="0.3">
      <c r="A507" s="360" t="s">
        <v>185</v>
      </c>
      <c r="B507" s="579" t="s">
        <v>974</v>
      </c>
      <c r="C507" s="433" t="s">
        <v>811</v>
      </c>
      <c r="D507" s="361">
        <v>0.4</v>
      </c>
      <c r="E507" s="400"/>
      <c r="F507" s="404"/>
      <c r="G507" s="400"/>
      <c r="H507" s="382"/>
      <c r="I507" s="401"/>
      <c r="J507" s="401"/>
      <c r="K507" s="401"/>
      <c r="L507" s="401"/>
      <c r="M507" s="401"/>
      <c r="N507" s="401"/>
      <c r="O507" s="401"/>
      <c r="P507" s="401"/>
      <c r="Q507" s="401"/>
      <c r="R507" s="389"/>
      <c r="S507" s="389"/>
      <c r="T507" s="389"/>
      <c r="U507" s="521"/>
      <c r="V507" s="402"/>
      <c r="W507" s="402"/>
      <c r="X507" s="400"/>
      <c r="Y507" s="550"/>
      <c r="Z507" s="549"/>
      <c r="AA507" s="586"/>
      <c r="AB507" s="401"/>
      <c r="AC507" s="401"/>
      <c r="AD507" s="401"/>
      <c r="AE507" s="401"/>
      <c r="AF507" s="401"/>
      <c r="AG507" s="401"/>
      <c r="AH507" s="401"/>
      <c r="AI507" s="401"/>
      <c r="AJ507" s="401"/>
      <c r="AK507" s="385"/>
      <c r="AL507" s="439"/>
      <c r="AM507" s="389"/>
      <c r="AN507" s="521"/>
      <c r="AO507" s="402"/>
      <c r="AP507" s="402"/>
      <c r="AQ507" s="400"/>
      <c r="AR507" s="337">
        <v>10</v>
      </c>
      <c r="AS507" s="549">
        <v>10</v>
      </c>
      <c r="AT507" s="585">
        <v>14.00282</v>
      </c>
      <c r="AU507" s="401">
        <v>12.306330000000001</v>
      </c>
      <c r="AV507" s="401">
        <v>10.50765</v>
      </c>
      <c r="AW507" s="401"/>
      <c r="AX507" s="401"/>
      <c r="AY507" s="401">
        <v>0</v>
      </c>
      <c r="AZ507" s="401">
        <v>0</v>
      </c>
      <c r="BA507" s="401">
        <v>0.39550000000000002</v>
      </c>
      <c r="BB507" s="401">
        <v>10.50765</v>
      </c>
      <c r="BC507" s="401"/>
      <c r="BD507" s="385" t="s">
        <v>167</v>
      </c>
      <c r="BE507" s="439" t="s">
        <v>175</v>
      </c>
      <c r="BF507" s="389"/>
      <c r="BG507" s="521">
        <v>709</v>
      </c>
      <c r="BH507" s="402"/>
      <c r="BI507" s="402">
        <f t="shared" si="287"/>
        <v>1.400282</v>
      </c>
    </row>
    <row r="508" spans="1:61" s="359" customFormat="1" ht="19.2" x14ac:dyDescent="0.3">
      <c r="A508" s="360" t="s">
        <v>187</v>
      </c>
      <c r="B508" s="579" t="s">
        <v>975</v>
      </c>
      <c r="C508" s="433" t="s">
        <v>812</v>
      </c>
      <c r="D508" s="361">
        <v>0.4</v>
      </c>
      <c r="E508" s="400"/>
      <c r="F508" s="404"/>
      <c r="G508" s="400"/>
      <c r="H508" s="382"/>
      <c r="I508" s="401"/>
      <c r="J508" s="401"/>
      <c r="K508" s="401"/>
      <c r="L508" s="401"/>
      <c r="M508" s="401"/>
      <c r="N508" s="401"/>
      <c r="O508" s="401"/>
      <c r="P508" s="401"/>
      <c r="Q508" s="401"/>
      <c r="R508" s="389"/>
      <c r="S508" s="389"/>
      <c r="T508" s="389"/>
      <c r="U508" s="521"/>
      <c r="V508" s="402"/>
      <c r="W508" s="402"/>
      <c r="X508" s="400"/>
      <c r="Y508" s="550"/>
      <c r="Z508" s="549"/>
      <c r="AA508" s="586"/>
      <c r="AB508" s="401"/>
      <c r="AC508" s="401"/>
      <c r="AD508" s="401"/>
      <c r="AE508" s="401"/>
      <c r="AF508" s="401"/>
      <c r="AG508" s="401"/>
      <c r="AH508" s="401"/>
      <c r="AI508" s="401"/>
      <c r="AJ508" s="401"/>
      <c r="AK508" s="385"/>
      <c r="AL508" s="439"/>
      <c r="AM508" s="389"/>
      <c r="AN508" s="521"/>
      <c r="AO508" s="402"/>
      <c r="AP508" s="402"/>
      <c r="AQ508" s="400"/>
      <c r="AR508" s="337">
        <v>10</v>
      </c>
      <c r="AS508" s="549">
        <v>10</v>
      </c>
      <c r="AT508" s="585">
        <v>14.00282</v>
      </c>
      <c r="AU508" s="401">
        <v>12.306330000000001</v>
      </c>
      <c r="AV508" s="401">
        <v>10.50765</v>
      </c>
      <c r="AW508" s="401"/>
      <c r="AX508" s="401"/>
      <c r="AY508" s="401">
        <v>0</v>
      </c>
      <c r="AZ508" s="401">
        <v>0</v>
      </c>
      <c r="BA508" s="401">
        <v>0.39550000000000002</v>
      </c>
      <c r="BB508" s="401">
        <v>10.50765</v>
      </c>
      <c r="BC508" s="401"/>
      <c r="BD508" s="385" t="s">
        <v>167</v>
      </c>
      <c r="BE508" s="439" t="s">
        <v>175</v>
      </c>
      <c r="BF508" s="389"/>
      <c r="BG508" s="521">
        <v>711</v>
      </c>
      <c r="BH508" s="402"/>
      <c r="BI508" s="402">
        <f t="shared" si="287"/>
        <v>1.400282</v>
      </c>
    </row>
    <row r="509" spans="1:61" s="359" customFormat="1" ht="19.2" x14ac:dyDescent="0.3">
      <c r="A509" s="360" t="s">
        <v>190</v>
      </c>
      <c r="B509" s="579" t="s">
        <v>976</v>
      </c>
      <c r="C509" s="433" t="s">
        <v>813</v>
      </c>
      <c r="D509" s="361">
        <v>0.4</v>
      </c>
      <c r="E509" s="400"/>
      <c r="F509" s="404"/>
      <c r="G509" s="400"/>
      <c r="H509" s="382"/>
      <c r="I509" s="401"/>
      <c r="J509" s="401"/>
      <c r="K509" s="401"/>
      <c r="L509" s="401"/>
      <c r="M509" s="401"/>
      <c r="N509" s="401"/>
      <c r="O509" s="401"/>
      <c r="P509" s="401"/>
      <c r="Q509" s="401"/>
      <c r="R509" s="389"/>
      <c r="S509" s="389"/>
      <c r="T509" s="389"/>
      <c r="U509" s="521"/>
      <c r="V509" s="402"/>
      <c r="W509" s="402"/>
      <c r="X509" s="400"/>
      <c r="Y509" s="550"/>
      <c r="Z509" s="549"/>
      <c r="AA509" s="586"/>
      <c r="AB509" s="401"/>
      <c r="AC509" s="401"/>
      <c r="AD509" s="401"/>
      <c r="AE509" s="401"/>
      <c r="AF509" s="401"/>
      <c r="AG509" s="401"/>
      <c r="AH509" s="401"/>
      <c r="AI509" s="401"/>
      <c r="AJ509" s="401"/>
      <c r="AK509" s="385"/>
      <c r="AL509" s="439"/>
      <c r="AM509" s="389"/>
      <c r="AN509" s="521"/>
      <c r="AO509" s="402"/>
      <c r="AP509" s="402"/>
      <c r="AQ509" s="400"/>
      <c r="AR509" s="337">
        <v>15</v>
      </c>
      <c r="AS509" s="549">
        <v>15</v>
      </c>
      <c r="AT509" s="585">
        <v>14.00282</v>
      </c>
      <c r="AU509" s="401">
        <v>12.306330000000001</v>
      </c>
      <c r="AV509" s="401">
        <v>10.50765</v>
      </c>
      <c r="AW509" s="401"/>
      <c r="AX509" s="401"/>
      <c r="AY509" s="401">
        <v>0</v>
      </c>
      <c r="AZ509" s="401">
        <v>0</v>
      </c>
      <c r="BA509" s="401">
        <v>0.39550000000000002</v>
      </c>
      <c r="BB509" s="401">
        <v>10.50765</v>
      </c>
      <c r="BC509" s="401"/>
      <c r="BD509" s="385" t="s">
        <v>167</v>
      </c>
      <c r="BE509" s="439" t="s">
        <v>175</v>
      </c>
      <c r="BF509" s="389"/>
      <c r="BG509" s="521">
        <v>713</v>
      </c>
      <c r="BH509" s="402"/>
      <c r="BI509" s="402">
        <f t="shared" si="287"/>
        <v>0.93352133333333331</v>
      </c>
    </row>
    <row r="510" spans="1:61" s="359" customFormat="1" ht="19.2" x14ac:dyDescent="0.3">
      <c r="A510" s="360" t="s">
        <v>598</v>
      </c>
      <c r="B510" s="579" t="s">
        <v>977</v>
      </c>
      <c r="C510" s="433" t="s">
        <v>815</v>
      </c>
      <c r="D510" s="361">
        <v>0.4</v>
      </c>
      <c r="E510" s="400"/>
      <c r="F510" s="404"/>
      <c r="G510" s="400"/>
      <c r="H510" s="382"/>
      <c r="I510" s="401"/>
      <c r="J510" s="401"/>
      <c r="K510" s="401"/>
      <c r="L510" s="401"/>
      <c r="M510" s="401"/>
      <c r="N510" s="401"/>
      <c r="O510" s="401"/>
      <c r="P510" s="401"/>
      <c r="Q510" s="401"/>
      <c r="R510" s="389"/>
      <c r="S510" s="389"/>
      <c r="T510" s="389"/>
      <c r="U510" s="521"/>
      <c r="V510" s="402"/>
      <c r="W510" s="402"/>
      <c r="X510" s="400"/>
      <c r="Y510" s="550"/>
      <c r="Z510" s="549"/>
      <c r="AA510" s="586"/>
      <c r="AB510" s="401"/>
      <c r="AC510" s="401"/>
      <c r="AD510" s="401"/>
      <c r="AE510" s="401"/>
      <c r="AF510" s="401"/>
      <c r="AG510" s="401"/>
      <c r="AH510" s="401"/>
      <c r="AI510" s="401"/>
      <c r="AJ510" s="401"/>
      <c r="AK510" s="385"/>
      <c r="AL510" s="439"/>
      <c r="AM510" s="389"/>
      <c r="AN510" s="521"/>
      <c r="AO510" s="402"/>
      <c r="AP510" s="402"/>
      <c r="AQ510" s="400"/>
      <c r="AR510" s="337">
        <v>15</v>
      </c>
      <c r="AS510" s="549">
        <v>15</v>
      </c>
      <c r="AT510" s="585">
        <v>13.26878</v>
      </c>
      <c r="AU510" s="401">
        <v>11.572290000000001</v>
      </c>
      <c r="AV510" s="401">
        <v>10.50962</v>
      </c>
      <c r="AW510" s="401"/>
      <c r="AX510" s="401"/>
      <c r="AY510" s="401">
        <v>0</v>
      </c>
      <c r="AZ510" s="401">
        <v>0</v>
      </c>
      <c r="BA510" s="401">
        <v>0.39550000000000002</v>
      </c>
      <c r="BB510" s="401">
        <v>10.50962</v>
      </c>
      <c r="BC510" s="401"/>
      <c r="BD510" s="385" t="s">
        <v>167</v>
      </c>
      <c r="BE510" s="439" t="s">
        <v>175</v>
      </c>
      <c r="BF510" s="389"/>
      <c r="BG510" s="521">
        <v>715</v>
      </c>
      <c r="BH510" s="402"/>
      <c r="BI510" s="402">
        <f t="shared" si="287"/>
        <v>0.88458533333333333</v>
      </c>
    </row>
    <row r="511" spans="1:61" s="359" customFormat="1" ht="19.2" x14ac:dyDescent="0.3">
      <c r="A511" s="360" t="s">
        <v>599</v>
      </c>
      <c r="B511" s="579" t="s">
        <v>978</v>
      </c>
      <c r="C511" s="433" t="s">
        <v>816</v>
      </c>
      <c r="D511" s="361">
        <v>0.4</v>
      </c>
      <c r="E511" s="400"/>
      <c r="F511" s="404"/>
      <c r="G511" s="400"/>
      <c r="H511" s="382"/>
      <c r="I511" s="401"/>
      <c r="J511" s="401"/>
      <c r="K511" s="401"/>
      <c r="L511" s="401"/>
      <c r="M511" s="401"/>
      <c r="N511" s="401"/>
      <c r="O511" s="401"/>
      <c r="P511" s="401"/>
      <c r="Q511" s="401"/>
      <c r="R511" s="389"/>
      <c r="S511" s="389"/>
      <c r="T511" s="389"/>
      <c r="U511" s="521"/>
      <c r="V511" s="402"/>
      <c r="W511" s="402"/>
      <c r="X511" s="400"/>
      <c r="Y511" s="550"/>
      <c r="Z511" s="549"/>
      <c r="AA511" s="586"/>
      <c r="AB511" s="401"/>
      <c r="AC511" s="401"/>
      <c r="AD511" s="401"/>
      <c r="AE511" s="401"/>
      <c r="AF511" s="401"/>
      <c r="AG511" s="401"/>
      <c r="AH511" s="401"/>
      <c r="AI511" s="401"/>
      <c r="AJ511" s="401"/>
      <c r="AK511" s="385"/>
      <c r="AL511" s="439"/>
      <c r="AM511" s="389"/>
      <c r="AN511" s="521"/>
      <c r="AO511" s="402"/>
      <c r="AP511" s="402"/>
      <c r="AQ511" s="400"/>
      <c r="AR511" s="337">
        <v>15</v>
      </c>
      <c r="AS511" s="549">
        <v>15</v>
      </c>
      <c r="AT511" s="585">
        <v>13.26878</v>
      </c>
      <c r="AU511" s="401">
        <v>11.572290000000001</v>
      </c>
      <c r="AV511" s="401">
        <v>10.50962</v>
      </c>
      <c r="AW511" s="401"/>
      <c r="AX511" s="401"/>
      <c r="AY511" s="401">
        <v>0</v>
      </c>
      <c r="AZ511" s="401">
        <v>0</v>
      </c>
      <c r="BA511" s="401">
        <v>0.39550000000000002</v>
      </c>
      <c r="BB511" s="401">
        <v>10.50962</v>
      </c>
      <c r="BC511" s="401"/>
      <c r="BD511" s="385" t="s">
        <v>167</v>
      </c>
      <c r="BE511" s="439" t="s">
        <v>175</v>
      </c>
      <c r="BF511" s="389"/>
      <c r="BG511" s="521">
        <v>717</v>
      </c>
      <c r="BH511" s="402"/>
      <c r="BI511" s="402">
        <f t="shared" si="287"/>
        <v>0.88458533333333333</v>
      </c>
    </row>
    <row r="512" spans="1:61" s="359" customFormat="1" ht="19.2" x14ac:dyDescent="0.3">
      <c r="A512" s="360" t="s">
        <v>600</v>
      </c>
      <c r="B512" s="579" t="s">
        <v>979</v>
      </c>
      <c r="C512" s="433" t="s">
        <v>817</v>
      </c>
      <c r="D512" s="361">
        <v>0.4</v>
      </c>
      <c r="E512" s="400"/>
      <c r="F512" s="404"/>
      <c r="G512" s="400"/>
      <c r="H512" s="382"/>
      <c r="I512" s="401"/>
      <c r="J512" s="401"/>
      <c r="K512" s="401"/>
      <c r="L512" s="401"/>
      <c r="M512" s="401"/>
      <c r="N512" s="401"/>
      <c r="O512" s="401"/>
      <c r="P512" s="401"/>
      <c r="Q512" s="401"/>
      <c r="R512" s="389"/>
      <c r="S512" s="389"/>
      <c r="T512" s="389"/>
      <c r="U512" s="521"/>
      <c r="V512" s="402"/>
      <c r="W512" s="402"/>
      <c r="X512" s="400"/>
      <c r="Y512" s="550"/>
      <c r="Z512" s="549"/>
      <c r="AA512" s="586"/>
      <c r="AB512" s="401"/>
      <c r="AC512" s="401"/>
      <c r="AD512" s="401"/>
      <c r="AE512" s="401"/>
      <c r="AF512" s="401"/>
      <c r="AG512" s="401"/>
      <c r="AH512" s="401"/>
      <c r="AI512" s="401"/>
      <c r="AJ512" s="401"/>
      <c r="AK512" s="385"/>
      <c r="AL512" s="439"/>
      <c r="AM512" s="389"/>
      <c r="AN512" s="521"/>
      <c r="AO512" s="402"/>
      <c r="AP512" s="402"/>
      <c r="AQ512" s="400"/>
      <c r="AR512" s="337">
        <v>15</v>
      </c>
      <c r="AS512" s="549">
        <v>15</v>
      </c>
      <c r="AT512" s="585">
        <v>11.58774</v>
      </c>
      <c r="AU512" s="401">
        <v>9.8912499999999994</v>
      </c>
      <c r="AV512" s="401">
        <v>8.8454099999999993</v>
      </c>
      <c r="AW512" s="401"/>
      <c r="AX512" s="401"/>
      <c r="AY512" s="401">
        <v>0</v>
      </c>
      <c r="AZ512" s="401">
        <v>0</v>
      </c>
      <c r="BA512" s="401">
        <v>0.39550000000000002</v>
      </c>
      <c r="BB512" s="401">
        <v>8.8454099999999993</v>
      </c>
      <c r="BC512" s="401"/>
      <c r="BD512" s="385" t="s">
        <v>167</v>
      </c>
      <c r="BE512" s="439" t="s">
        <v>175</v>
      </c>
      <c r="BF512" s="389"/>
      <c r="BG512" s="521">
        <v>719</v>
      </c>
      <c r="BH512" s="402"/>
      <c r="BI512" s="402">
        <f t="shared" si="287"/>
        <v>0.77251599999999998</v>
      </c>
    </row>
    <row r="513" spans="1:61" s="359" customFormat="1" ht="19.2" x14ac:dyDescent="0.3">
      <c r="A513" s="360" t="s">
        <v>601</v>
      </c>
      <c r="B513" s="579" t="s">
        <v>980</v>
      </c>
      <c r="C513" s="433" t="s">
        <v>819</v>
      </c>
      <c r="D513" s="361">
        <v>0.4</v>
      </c>
      <c r="E513" s="400"/>
      <c r="F513" s="404"/>
      <c r="G513" s="400"/>
      <c r="H513" s="382"/>
      <c r="I513" s="401"/>
      <c r="J513" s="401"/>
      <c r="K513" s="401"/>
      <c r="L513" s="401"/>
      <c r="M513" s="401"/>
      <c r="N513" s="401"/>
      <c r="O513" s="401"/>
      <c r="P513" s="401"/>
      <c r="Q513" s="401"/>
      <c r="R513" s="389"/>
      <c r="S513" s="389"/>
      <c r="T513" s="389"/>
      <c r="U513" s="521"/>
      <c r="V513" s="402"/>
      <c r="W513" s="402"/>
      <c r="X513" s="400"/>
      <c r="Y513" s="550"/>
      <c r="Z513" s="549"/>
      <c r="AA513" s="586"/>
      <c r="AB513" s="401"/>
      <c r="AC513" s="401"/>
      <c r="AD513" s="401"/>
      <c r="AE513" s="401"/>
      <c r="AF513" s="401"/>
      <c r="AG513" s="401"/>
      <c r="AH513" s="401"/>
      <c r="AI513" s="401"/>
      <c r="AJ513" s="401"/>
      <c r="AK513" s="385"/>
      <c r="AL513" s="439"/>
      <c r="AM513" s="389"/>
      <c r="AN513" s="521"/>
      <c r="AO513" s="402"/>
      <c r="AP513" s="402"/>
      <c r="AQ513" s="400"/>
      <c r="AR513" s="337">
        <v>15</v>
      </c>
      <c r="AS513" s="549">
        <v>15</v>
      </c>
      <c r="AT513" s="585">
        <v>11.58774</v>
      </c>
      <c r="AU513" s="401">
        <v>9.8912499999999994</v>
      </c>
      <c r="AV513" s="401">
        <v>8.8454099999999993</v>
      </c>
      <c r="AW513" s="401"/>
      <c r="AX513" s="401"/>
      <c r="AY513" s="401">
        <v>0</v>
      </c>
      <c r="AZ513" s="401">
        <v>0</v>
      </c>
      <c r="BA513" s="401">
        <v>0.39550000000000002</v>
      </c>
      <c r="BB513" s="401">
        <v>8.8454099999999993</v>
      </c>
      <c r="BC513" s="401"/>
      <c r="BD513" s="385" t="s">
        <v>167</v>
      </c>
      <c r="BE513" s="439" t="s">
        <v>175</v>
      </c>
      <c r="BF513" s="389"/>
      <c r="BG513" s="521">
        <v>721</v>
      </c>
      <c r="BH513" s="402"/>
      <c r="BI513" s="402">
        <f t="shared" si="287"/>
        <v>0.77251599999999998</v>
      </c>
    </row>
    <row r="514" spans="1:61" s="359" customFormat="1" ht="19.2" x14ac:dyDescent="0.3">
      <c r="A514" s="360" t="s">
        <v>602</v>
      </c>
      <c r="B514" s="579" t="s">
        <v>775</v>
      </c>
      <c r="C514" s="433" t="s">
        <v>820</v>
      </c>
      <c r="D514" s="361">
        <v>0.4</v>
      </c>
      <c r="E514" s="400"/>
      <c r="F514" s="404"/>
      <c r="G514" s="400"/>
      <c r="H514" s="382"/>
      <c r="I514" s="401"/>
      <c r="J514" s="401"/>
      <c r="K514" s="401"/>
      <c r="L514" s="401"/>
      <c r="M514" s="401"/>
      <c r="N514" s="401"/>
      <c r="O514" s="401"/>
      <c r="P514" s="401"/>
      <c r="Q514" s="401"/>
      <c r="R514" s="389"/>
      <c r="S514" s="389"/>
      <c r="T514" s="389"/>
      <c r="U514" s="521"/>
      <c r="V514" s="402"/>
      <c r="W514" s="402"/>
      <c r="X514" s="400"/>
      <c r="Y514" s="550"/>
      <c r="Z514" s="549"/>
      <c r="AA514" s="586"/>
      <c r="AB514" s="401"/>
      <c r="AC514" s="401"/>
      <c r="AD514" s="401"/>
      <c r="AE514" s="401"/>
      <c r="AF514" s="401"/>
      <c r="AG514" s="401"/>
      <c r="AH514" s="401"/>
      <c r="AI514" s="401"/>
      <c r="AJ514" s="401"/>
      <c r="AK514" s="385"/>
      <c r="AL514" s="439"/>
      <c r="AM514" s="389"/>
      <c r="AN514" s="521"/>
      <c r="AO514" s="402"/>
      <c r="AP514" s="402"/>
      <c r="AQ514" s="400"/>
      <c r="AR514" s="337">
        <v>15</v>
      </c>
      <c r="AS514" s="549">
        <v>15</v>
      </c>
      <c r="AT514" s="585">
        <v>11.58774</v>
      </c>
      <c r="AU514" s="401">
        <v>9.8912499999999994</v>
      </c>
      <c r="AV514" s="401">
        <v>8.8454099999999993</v>
      </c>
      <c r="AW514" s="401"/>
      <c r="AX514" s="401"/>
      <c r="AY514" s="401">
        <v>0</v>
      </c>
      <c r="AZ514" s="401">
        <v>0</v>
      </c>
      <c r="BA514" s="401">
        <v>0.39550000000000002</v>
      </c>
      <c r="BB514" s="401">
        <v>8.8454099999999993</v>
      </c>
      <c r="BC514" s="401"/>
      <c r="BD514" s="385" t="s">
        <v>167</v>
      </c>
      <c r="BE514" s="439" t="s">
        <v>175</v>
      </c>
      <c r="BF514" s="389"/>
      <c r="BG514" s="521">
        <v>723</v>
      </c>
      <c r="BH514" s="402"/>
      <c r="BI514" s="402">
        <f t="shared" si="287"/>
        <v>0.77251599999999998</v>
      </c>
    </row>
    <row r="515" spans="1:61" s="359" customFormat="1" ht="19.2" x14ac:dyDescent="0.3">
      <c r="A515" s="360" t="s">
        <v>603</v>
      </c>
      <c r="B515" s="579" t="s">
        <v>981</v>
      </c>
      <c r="C515" s="433" t="s">
        <v>821</v>
      </c>
      <c r="D515" s="361">
        <v>0.4</v>
      </c>
      <c r="E515" s="400"/>
      <c r="F515" s="404"/>
      <c r="G515" s="400"/>
      <c r="H515" s="382"/>
      <c r="I515" s="401"/>
      <c r="J515" s="401"/>
      <c r="K515" s="401"/>
      <c r="L515" s="401"/>
      <c r="M515" s="401"/>
      <c r="N515" s="401"/>
      <c r="O515" s="401"/>
      <c r="P515" s="401"/>
      <c r="Q515" s="401"/>
      <c r="R515" s="389"/>
      <c r="S515" s="389"/>
      <c r="T515" s="389"/>
      <c r="U515" s="521"/>
      <c r="V515" s="402"/>
      <c r="W515" s="402"/>
      <c r="X515" s="400"/>
      <c r="Y515" s="550"/>
      <c r="Z515" s="549"/>
      <c r="AA515" s="586"/>
      <c r="AB515" s="401"/>
      <c r="AC515" s="401"/>
      <c r="AD515" s="401"/>
      <c r="AE515" s="401"/>
      <c r="AF515" s="401"/>
      <c r="AG515" s="401"/>
      <c r="AH515" s="401"/>
      <c r="AI515" s="401"/>
      <c r="AJ515" s="401"/>
      <c r="AK515" s="385"/>
      <c r="AL515" s="439"/>
      <c r="AM515" s="389"/>
      <c r="AN515" s="521"/>
      <c r="AO515" s="402"/>
      <c r="AP515" s="402"/>
      <c r="AQ515" s="400"/>
      <c r="AR515" s="337">
        <v>15</v>
      </c>
      <c r="AS515" s="549">
        <v>15</v>
      </c>
      <c r="AT515" s="585">
        <v>11.58774</v>
      </c>
      <c r="AU515" s="401">
        <v>9.8912499999999994</v>
      </c>
      <c r="AV515" s="401">
        <v>8.8454099999999993</v>
      </c>
      <c r="AW515" s="401"/>
      <c r="AX515" s="401"/>
      <c r="AY515" s="401">
        <v>0</v>
      </c>
      <c r="AZ515" s="401">
        <v>0</v>
      </c>
      <c r="BA515" s="401">
        <v>0.39550000000000002</v>
      </c>
      <c r="BB515" s="401">
        <v>8.8454099999999993</v>
      </c>
      <c r="BC515" s="401"/>
      <c r="BD515" s="385" t="s">
        <v>167</v>
      </c>
      <c r="BE515" s="439" t="s">
        <v>175</v>
      </c>
      <c r="BF515" s="389"/>
      <c r="BG515" s="521">
        <v>725</v>
      </c>
      <c r="BH515" s="402"/>
      <c r="BI515" s="402">
        <f t="shared" si="287"/>
        <v>0.77251599999999998</v>
      </c>
    </row>
    <row r="516" spans="1:61" s="359" customFormat="1" ht="19.2" x14ac:dyDescent="0.3">
      <c r="A516" s="360" t="s">
        <v>604</v>
      </c>
      <c r="B516" s="579" t="s">
        <v>982</v>
      </c>
      <c r="C516" s="433" t="s">
        <v>822</v>
      </c>
      <c r="D516" s="361">
        <v>0.4</v>
      </c>
      <c r="E516" s="400"/>
      <c r="F516" s="404"/>
      <c r="G516" s="400"/>
      <c r="H516" s="382"/>
      <c r="I516" s="401"/>
      <c r="J516" s="401"/>
      <c r="K516" s="401"/>
      <c r="L516" s="401"/>
      <c r="M516" s="401"/>
      <c r="N516" s="401"/>
      <c r="O516" s="401"/>
      <c r="P516" s="401"/>
      <c r="Q516" s="401"/>
      <c r="R516" s="389"/>
      <c r="S516" s="389"/>
      <c r="T516" s="389"/>
      <c r="U516" s="521"/>
      <c r="V516" s="402"/>
      <c r="W516" s="402"/>
      <c r="X516" s="400"/>
      <c r="Y516" s="550"/>
      <c r="Z516" s="549"/>
      <c r="AA516" s="586"/>
      <c r="AB516" s="401"/>
      <c r="AC516" s="401"/>
      <c r="AD516" s="401"/>
      <c r="AE516" s="401"/>
      <c r="AF516" s="401"/>
      <c r="AG516" s="401"/>
      <c r="AH516" s="401"/>
      <c r="AI516" s="401"/>
      <c r="AJ516" s="401"/>
      <c r="AK516" s="385"/>
      <c r="AL516" s="439"/>
      <c r="AM516" s="389"/>
      <c r="AN516" s="521"/>
      <c r="AO516" s="402"/>
      <c r="AP516" s="402"/>
      <c r="AQ516" s="400"/>
      <c r="AR516" s="337">
        <v>15</v>
      </c>
      <c r="AS516" s="549">
        <v>15</v>
      </c>
      <c r="AT516" s="585">
        <v>11.58774</v>
      </c>
      <c r="AU516" s="401">
        <v>9.8912499999999994</v>
      </c>
      <c r="AV516" s="401">
        <v>8.8454099999999993</v>
      </c>
      <c r="AW516" s="401"/>
      <c r="AX516" s="401"/>
      <c r="AY516" s="401">
        <v>0</v>
      </c>
      <c r="AZ516" s="401">
        <v>0</v>
      </c>
      <c r="BA516" s="401">
        <v>0.39550000000000002</v>
      </c>
      <c r="BB516" s="401">
        <v>8.8454099999999993</v>
      </c>
      <c r="BC516" s="401"/>
      <c r="BD516" s="385" t="s">
        <v>167</v>
      </c>
      <c r="BE516" s="439" t="s">
        <v>175</v>
      </c>
      <c r="BF516" s="389"/>
      <c r="BG516" s="521">
        <v>727</v>
      </c>
      <c r="BH516" s="402"/>
      <c r="BI516" s="402">
        <f t="shared" si="287"/>
        <v>0.77251599999999998</v>
      </c>
    </row>
    <row r="517" spans="1:61" s="359" customFormat="1" ht="19.2" x14ac:dyDescent="0.3">
      <c r="A517" s="360" t="s">
        <v>605</v>
      </c>
      <c r="B517" s="579" t="s">
        <v>983</v>
      </c>
      <c r="C517" s="433" t="s">
        <v>823</v>
      </c>
      <c r="D517" s="361">
        <v>0.4</v>
      </c>
      <c r="E517" s="400"/>
      <c r="F517" s="404"/>
      <c r="G517" s="400"/>
      <c r="H517" s="382"/>
      <c r="I517" s="401"/>
      <c r="J517" s="401"/>
      <c r="K517" s="401"/>
      <c r="L517" s="401"/>
      <c r="M517" s="401"/>
      <c r="N517" s="401"/>
      <c r="O517" s="401"/>
      <c r="P517" s="401"/>
      <c r="Q517" s="401"/>
      <c r="R517" s="389"/>
      <c r="S517" s="389"/>
      <c r="T517" s="389"/>
      <c r="U517" s="521"/>
      <c r="V517" s="402"/>
      <c r="W517" s="402"/>
      <c r="X517" s="400"/>
      <c r="Y517" s="550"/>
      <c r="Z517" s="549"/>
      <c r="AA517" s="586"/>
      <c r="AB517" s="401"/>
      <c r="AC517" s="401"/>
      <c r="AD517" s="401"/>
      <c r="AE517" s="401"/>
      <c r="AF517" s="401"/>
      <c r="AG517" s="401"/>
      <c r="AH517" s="401"/>
      <c r="AI517" s="401"/>
      <c r="AJ517" s="401"/>
      <c r="AK517" s="385"/>
      <c r="AL517" s="439"/>
      <c r="AM517" s="389"/>
      <c r="AN517" s="521"/>
      <c r="AO517" s="402"/>
      <c r="AP517" s="402"/>
      <c r="AQ517" s="400"/>
      <c r="AR517" s="337">
        <v>15</v>
      </c>
      <c r="AS517" s="549">
        <v>15</v>
      </c>
      <c r="AT517" s="585">
        <v>13.26878</v>
      </c>
      <c r="AU517" s="401">
        <v>11.572290000000001</v>
      </c>
      <c r="AV517" s="401">
        <v>10.50962</v>
      </c>
      <c r="AW517" s="401"/>
      <c r="AX517" s="401"/>
      <c r="AY517" s="401">
        <v>0</v>
      </c>
      <c r="AZ517" s="401">
        <v>0</v>
      </c>
      <c r="BA517" s="401">
        <v>0.39550000000000002</v>
      </c>
      <c r="BB517" s="401">
        <v>10.50962</v>
      </c>
      <c r="BC517" s="401"/>
      <c r="BD517" s="385" t="s">
        <v>167</v>
      </c>
      <c r="BE517" s="439" t="s">
        <v>175</v>
      </c>
      <c r="BF517" s="389"/>
      <c r="BG517" s="521">
        <v>729</v>
      </c>
      <c r="BH517" s="402"/>
      <c r="BI517" s="402">
        <f t="shared" si="287"/>
        <v>0.88458533333333333</v>
      </c>
    </row>
    <row r="518" spans="1:61" s="359" customFormat="1" ht="19.2" x14ac:dyDescent="0.3">
      <c r="A518" s="360" t="s">
        <v>606</v>
      </c>
      <c r="B518" s="579" t="s">
        <v>984</v>
      </c>
      <c r="C518" s="433" t="s">
        <v>824</v>
      </c>
      <c r="D518" s="361">
        <v>0.4</v>
      </c>
      <c r="E518" s="400"/>
      <c r="F518" s="404"/>
      <c r="G518" s="400"/>
      <c r="H518" s="382"/>
      <c r="I518" s="401"/>
      <c r="J518" s="401"/>
      <c r="K518" s="401"/>
      <c r="L518" s="401"/>
      <c r="M518" s="401"/>
      <c r="N518" s="401"/>
      <c r="O518" s="401"/>
      <c r="P518" s="401"/>
      <c r="Q518" s="401"/>
      <c r="R518" s="389"/>
      <c r="S518" s="389"/>
      <c r="T518" s="389"/>
      <c r="U518" s="521"/>
      <c r="V518" s="402"/>
      <c r="W518" s="402"/>
      <c r="X518" s="400"/>
      <c r="Y518" s="550"/>
      <c r="Z518" s="549"/>
      <c r="AA518" s="586"/>
      <c r="AB518" s="401"/>
      <c r="AC518" s="401"/>
      <c r="AD518" s="401"/>
      <c r="AE518" s="401"/>
      <c r="AF518" s="401"/>
      <c r="AG518" s="401"/>
      <c r="AH518" s="401"/>
      <c r="AI518" s="401"/>
      <c r="AJ518" s="401"/>
      <c r="AK518" s="385"/>
      <c r="AL518" s="439"/>
      <c r="AM518" s="389"/>
      <c r="AN518" s="521"/>
      <c r="AO518" s="402"/>
      <c r="AP518" s="402"/>
      <c r="AQ518" s="400"/>
      <c r="AR518" s="337">
        <v>15</v>
      </c>
      <c r="AS518" s="549">
        <v>15</v>
      </c>
      <c r="AT518" s="585">
        <v>13.26878</v>
      </c>
      <c r="AU518" s="401">
        <v>11.572290000000001</v>
      </c>
      <c r="AV518" s="401">
        <v>10.50962</v>
      </c>
      <c r="AW518" s="401"/>
      <c r="AX518" s="401"/>
      <c r="AY518" s="401">
        <v>0</v>
      </c>
      <c r="AZ518" s="401">
        <v>0</v>
      </c>
      <c r="BA518" s="401">
        <v>0.39550000000000002</v>
      </c>
      <c r="BB518" s="401">
        <v>10.50962</v>
      </c>
      <c r="BC518" s="401"/>
      <c r="BD518" s="385" t="s">
        <v>167</v>
      </c>
      <c r="BE518" s="439" t="s">
        <v>175</v>
      </c>
      <c r="BF518" s="389"/>
      <c r="BG518" s="521">
        <v>731</v>
      </c>
      <c r="BH518" s="402"/>
      <c r="BI518" s="402">
        <f t="shared" si="287"/>
        <v>0.88458533333333333</v>
      </c>
    </row>
    <row r="519" spans="1:61" s="359" customFormat="1" ht="19.2" x14ac:dyDescent="0.3">
      <c r="A519" s="360" t="s">
        <v>607</v>
      </c>
      <c r="B519" s="579" t="s">
        <v>985</v>
      </c>
      <c r="C519" s="433" t="s">
        <v>825</v>
      </c>
      <c r="D519" s="361">
        <v>0.4</v>
      </c>
      <c r="E519" s="400"/>
      <c r="F519" s="404"/>
      <c r="G519" s="400"/>
      <c r="H519" s="382"/>
      <c r="I519" s="401"/>
      <c r="J519" s="401"/>
      <c r="K519" s="401"/>
      <c r="L519" s="401"/>
      <c r="M519" s="401"/>
      <c r="N519" s="401"/>
      <c r="O519" s="401"/>
      <c r="P519" s="401"/>
      <c r="Q519" s="401"/>
      <c r="R519" s="389"/>
      <c r="S519" s="389"/>
      <c r="T519" s="389"/>
      <c r="U519" s="521"/>
      <c r="V519" s="402"/>
      <c r="W519" s="402"/>
      <c r="X519" s="400"/>
      <c r="Y519" s="550"/>
      <c r="Z519" s="549"/>
      <c r="AA519" s="586"/>
      <c r="AB519" s="401"/>
      <c r="AC519" s="401"/>
      <c r="AD519" s="401"/>
      <c r="AE519" s="401"/>
      <c r="AF519" s="401"/>
      <c r="AG519" s="401"/>
      <c r="AH519" s="401"/>
      <c r="AI519" s="401"/>
      <c r="AJ519" s="401"/>
      <c r="AK519" s="385"/>
      <c r="AL519" s="439"/>
      <c r="AM519" s="389"/>
      <c r="AN519" s="521"/>
      <c r="AO519" s="402"/>
      <c r="AP519" s="402"/>
      <c r="AQ519" s="400"/>
      <c r="AR519" s="337">
        <v>15</v>
      </c>
      <c r="AS519" s="549">
        <v>15</v>
      </c>
      <c r="AT519" s="585">
        <v>13.26878</v>
      </c>
      <c r="AU519" s="401">
        <v>11.572290000000001</v>
      </c>
      <c r="AV519" s="401">
        <v>10.50962</v>
      </c>
      <c r="AW519" s="401"/>
      <c r="AX519" s="401"/>
      <c r="AY519" s="401">
        <v>0</v>
      </c>
      <c r="AZ519" s="401">
        <v>0</v>
      </c>
      <c r="BA519" s="401">
        <v>0.39550000000000002</v>
      </c>
      <c r="BB519" s="401">
        <v>10.50962</v>
      </c>
      <c r="BC519" s="401"/>
      <c r="BD519" s="385" t="s">
        <v>167</v>
      </c>
      <c r="BE519" s="439" t="s">
        <v>175</v>
      </c>
      <c r="BF519" s="389"/>
      <c r="BG519" s="521">
        <v>733</v>
      </c>
      <c r="BH519" s="402"/>
      <c r="BI519" s="402">
        <f t="shared" si="287"/>
        <v>0.88458533333333333</v>
      </c>
    </row>
    <row r="520" spans="1:61" s="359" customFormat="1" ht="19.2" x14ac:dyDescent="0.3">
      <c r="A520" s="360" t="s">
        <v>608</v>
      </c>
      <c r="B520" s="579" t="s">
        <v>987</v>
      </c>
      <c r="C520" s="433" t="s">
        <v>828</v>
      </c>
      <c r="D520" s="361">
        <v>0.4</v>
      </c>
      <c r="E520" s="400"/>
      <c r="F520" s="404"/>
      <c r="G520" s="400"/>
      <c r="H520" s="382"/>
      <c r="I520" s="401"/>
      <c r="J520" s="401"/>
      <c r="K520" s="401"/>
      <c r="L520" s="401"/>
      <c r="M520" s="401"/>
      <c r="N520" s="401"/>
      <c r="O520" s="401"/>
      <c r="P520" s="401"/>
      <c r="Q520" s="401"/>
      <c r="R520" s="389"/>
      <c r="S520" s="389"/>
      <c r="T520" s="389"/>
      <c r="U520" s="521"/>
      <c r="V520" s="402"/>
      <c r="W520" s="402"/>
      <c r="X520" s="400"/>
      <c r="Y520" s="550"/>
      <c r="Z520" s="549"/>
      <c r="AA520" s="586"/>
      <c r="AB520" s="401"/>
      <c r="AC520" s="401"/>
      <c r="AD520" s="401"/>
      <c r="AE520" s="401"/>
      <c r="AF520" s="401"/>
      <c r="AG520" s="401"/>
      <c r="AH520" s="401"/>
      <c r="AI520" s="401"/>
      <c r="AJ520" s="401"/>
      <c r="AK520" s="385"/>
      <c r="AL520" s="439"/>
      <c r="AM520" s="389"/>
      <c r="AN520" s="521"/>
      <c r="AO520" s="402"/>
      <c r="AP520" s="402"/>
      <c r="AQ520" s="400"/>
      <c r="AR520" s="337">
        <v>15</v>
      </c>
      <c r="AS520" s="549">
        <v>15</v>
      </c>
      <c r="AT520" s="585">
        <v>13.205489999999999</v>
      </c>
      <c r="AU520" s="401">
        <v>11.509</v>
      </c>
      <c r="AV520" s="401">
        <v>10.50963</v>
      </c>
      <c r="AW520" s="401"/>
      <c r="AX520" s="401"/>
      <c r="AY520" s="401">
        <v>0</v>
      </c>
      <c r="AZ520" s="401">
        <v>0</v>
      </c>
      <c r="BA520" s="401">
        <v>0.39550000000000002</v>
      </c>
      <c r="BB520" s="401">
        <v>10.50963</v>
      </c>
      <c r="BC520" s="401"/>
      <c r="BD520" s="385" t="s">
        <v>167</v>
      </c>
      <c r="BE520" s="439" t="s">
        <v>175</v>
      </c>
      <c r="BF520" s="389"/>
      <c r="BG520" s="521">
        <v>735</v>
      </c>
      <c r="BH520" s="402"/>
      <c r="BI520" s="402">
        <f t="shared" si="287"/>
        <v>0.88036599999999998</v>
      </c>
    </row>
    <row r="521" spans="1:61" s="359" customFormat="1" ht="19.2" x14ac:dyDescent="0.3">
      <c r="A521" s="360" t="s">
        <v>1107</v>
      </c>
      <c r="B521" s="579" t="s">
        <v>988</v>
      </c>
      <c r="C521" s="433" t="s">
        <v>829</v>
      </c>
      <c r="D521" s="361">
        <v>0.4</v>
      </c>
      <c r="E521" s="400"/>
      <c r="F521" s="404"/>
      <c r="G521" s="400"/>
      <c r="H521" s="382"/>
      <c r="I521" s="401"/>
      <c r="J521" s="401"/>
      <c r="K521" s="401"/>
      <c r="L521" s="401"/>
      <c r="M521" s="401"/>
      <c r="N521" s="401"/>
      <c r="O521" s="401"/>
      <c r="P521" s="401"/>
      <c r="Q521" s="401"/>
      <c r="R521" s="389"/>
      <c r="S521" s="389"/>
      <c r="T521" s="389"/>
      <c r="U521" s="521"/>
      <c r="V521" s="402"/>
      <c r="W521" s="402"/>
      <c r="X521" s="400"/>
      <c r="Y521" s="550"/>
      <c r="Z521" s="549"/>
      <c r="AA521" s="586"/>
      <c r="AB521" s="401"/>
      <c r="AC521" s="401"/>
      <c r="AD521" s="401"/>
      <c r="AE521" s="401"/>
      <c r="AF521" s="401"/>
      <c r="AG521" s="401"/>
      <c r="AH521" s="401"/>
      <c r="AI521" s="401"/>
      <c r="AJ521" s="401"/>
      <c r="AK521" s="385"/>
      <c r="AL521" s="439"/>
      <c r="AM521" s="389"/>
      <c r="AN521" s="521"/>
      <c r="AO521" s="402"/>
      <c r="AP521" s="402"/>
      <c r="AQ521" s="400"/>
      <c r="AR521" s="337">
        <v>15</v>
      </c>
      <c r="AS521" s="549">
        <v>15</v>
      </c>
      <c r="AT521" s="585">
        <v>13.20548</v>
      </c>
      <c r="AU521" s="401">
        <v>11.508990000000001</v>
      </c>
      <c r="AV521" s="401">
        <v>10.50962</v>
      </c>
      <c r="AW521" s="401"/>
      <c r="AX521" s="401"/>
      <c r="AY521" s="401">
        <v>0</v>
      </c>
      <c r="AZ521" s="401">
        <v>0</v>
      </c>
      <c r="BA521" s="401">
        <v>0.39550000000000002</v>
      </c>
      <c r="BB521" s="401">
        <v>10.50962</v>
      </c>
      <c r="BC521" s="401"/>
      <c r="BD521" s="385" t="s">
        <v>167</v>
      </c>
      <c r="BE521" s="439" t="s">
        <v>175</v>
      </c>
      <c r="BF521" s="389"/>
      <c r="BG521" s="521">
        <v>737</v>
      </c>
      <c r="BH521" s="402"/>
      <c r="BI521" s="402">
        <f t="shared" si="287"/>
        <v>0.88036533333333333</v>
      </c>
    </row>
    <row r="522" spans="1:61" s="359" customFormat="1" ht="19.2" x14ac:dyDescent="0.3">
      <c r="A522" s="360" t="s">
        <v>1108</v>
      </c>
      <c r="B522" s="579" t="s">
        <v>989</v>
      </c>
      <c r="C522" s="433" t="s">
        <v>830</v>
      </c>
      <c r="D522" s="361">
        <v>0.4</v>
      </c>
      <c r="E522" s="400"/>
      <c r="F522" s="404"/>
      <c r="G522" s="400"/>
      <c r="H522" s="382"/>
      <c r="I522" s="401"/>
      <c r="J522" s="401"/>
      <c r="K522" s="401"/>
      <c r="L522" s="401"/>
      <c r="M522" s="401"/>
      <c r="N522" s="401"/>
      <c r="O522" s="401"/>
      <c r="P522" s="401"/>
      <c r="Q522" s="401"/>
      <c r="R522" s="389"/>
      <c r="S522" s="389"/>
      <c r="T522" s="389"/>
      <c r="U522" s="521"/>
      <c r="V522" s="402"/>
      <c r="W522" s="402"/>
      <c r="X522" s="400"/>
      <c r="Y522" s="550"/>
      <c r="Z522" s="549"/>
      <c r="AA522" s="586"/>
      <c r="AB522" s="401"/>
      <c r="AC522" s="401"/>
      <c r="AD522" s="401"/>
      <c r="AE522" s="401"/>
      <c r="AF522" s="401"/>
      <c r="AG522" s="401"/>
      <c r="AH522" s="401"/>
      <c r="AI522" s="401"/>
      <c r="AJ522" s="401"/>
      <c r="AK522" s="385"/>
      <c r="AL522" s="439"/>
      <c r="AM522" s="389"/>
      <c r="AN522" s="521"/>
      <c r="AO522" s="402"/>
      <c r="AP522" s="402"/>
      <c r="AQ522" s="400"/>
      <c r="AR522" s="337">
        <v>15</v>
      </c>
      <c r="AS522" s="549">
        <v>15</v>
      </c>
      <c r="AT522" s="585">
        <v>11.243259999999999</v>
      </c>
      <c r="AU522" s="401">
        <v>9.5467700000000004</v>
      </c>
      <c r="AV522" s="401">
        <v>8.5416500000000006</v>
      </c>
      <c r="AW522" s="401"/>
      <c r="AX522" s="401"/>
      <c r="AY522" s="401">
        <v>0</v>
      </c>
      <c r="AZ522" s="401">
        <v>0</v>
      </c>
      <c r="BA522" s="401">
        <v>0.39550000000000002</v>
      </c>
      <c r="BB522" s="401">
        <v>8.5416500000000006</v>
      </c>
      <c r="BC522" s="401"/>
      <c r="BD522" s="385" t="s">
        <v>167</v>
      </c>
      <c r="BE522" s="439" t="s">
        <v>175</v>
      </c>
      <c r="BF522" s="389"/>
      <c r="BG522" s="521">
        <v>739</v>
      </c>
      <c r="BH522" s="402"/>
      <c r="BI522" s="402">
        <f t="shared" si="287"/>
        <v>0.74955066666666659</v>
      </c>
    </row>
    <row r="523" spans="1:61" s="359" customFormat="1" ht="19.2" x14ac:dyDescent="0.3">
      <c r="A523" s="360" t="s">
        <v>1109</v>
      </c>
      <c r="B523" s="579" t="s">
        <v>990</v>
      </c>
      <c r="C523" s="433" t="s">
        <v>831</v>
      </c>
      <c r="D523" s="361">
        <v>0.4</v>
      </c>
      <c r="E523" s="400"/>
      <c r="F523" s="404"/>
      <c r="G523" s="400"/>
      <c r="H523" s="382"/>
      <c r="I523" s="401"/>
      <c r="J523" s="401"/>
      <c r="K523" s="401"/>
      <c r="L523" s="401"/>
      <c r="M523" s="401"/>
      <c r="N523" s="401"/>
      <c r="O523" s="401"/>
      <c r="P523" s="401"/>
      <c r="Q523" s="401"/>
      <c r="R523" s="389"/>
      <c r="S523" s="389"/>
      <c r="T523" s="389"/>
      <c r="U523" s="521"/>
      <c r="V523" s="402"/>
      <c r="W523" s="402"/>
      <c r="X523" s="400"/>
      <c r="Y523" s="550"/>
      <c r="Z523" s="549"/>
      <c r="AA523" s="586"/>
      <c r="AB523" s="401"/>
      <c r="AC523" s="401"/>
      <c r="AD523" s="401"/>
      <c r="AE523" s="401"/>
      <c r="AF523" s="401"/>
      <c r="AG523" s="401"/>
      <c r="AH523" s="401"/>
      <c r="AI523" s="401"/>
      <c r="AJ523" s="401"/>
      <c r="AK523" s="385"/>
      <c r="AL523" s="439"/>
      <c r="AM523" s="389"/>
      <c r="AN523" s="521"/>
      <c r="AO523" s="402"/>
      <c r="AP523" s="402"/>
      <c r="AQ523" s="400"/>
      <c r="AR523" s="337">
        <v>15</v>
      </c>
      <c r="AS523" s="549">
        <v>15</v>
      </c>
      <c r="AT523" s="585">
        <v>11.243259999999999</v>
      </c>
      <c r="AU523" s="401">
        <v>9.5467700000000004</v>
      </c>
      <c r="AV523" s="401">
        <v>8.5416500000000006</v>
      </c>
      <c r="AW523" s="401"/>
      <c r="AX523" s="401"/>
      <c r="AY523" s="401">
        <v>0</v>
      </c>
      <c r="AZ523" s="401">
        <v>0</v>
      </c>
      <c r="BA523" s="401">
        <v>0.39550000000000002</v>
      </c>
      <c r="BB523" s="401">
        <v>8.5416500000000006</v>
      </c>
      <c r="BC523" s="401"/>
      <c r="BD523" s="385" t="s">
        <v>167</v>
      </c>
      <c r="BE523" s="439" t="s">
        <v>175</v>
      </c>
      <c r="BF523" s="389"/>
      <c r="BG523" s="521">
        <v>741</v>
      </c>
      <c r="BH523" s="402"/>
      <c r="BI523" s="402">
        <f t="shared" si="287"/>
        <v>0.74955066666666659</v>
      </c>
    </row>
    <row r="524" spans="1:61" s="359" customFormat="1" ht="19.2" x14ac:dyDescent="0.3">
      <c r="A524" s="360" t="s">
        <v>1110</v>
      </c>
      <c r="B524" s="579" t="s">
        <v>991</v>
      </c>
      <c r="C524" s="433" t="s">
        <v>833</v>
      </c>
      <c r="D524" s="361">
        <v>0.4</v>
      </c>
      <c r="E524" s="400"/>
      <c r="F524" s="404"/>
      <c r="G524" s="400"/>
      <c r="H524" s="382"/>
      <c r="I524" s="401"/>
      <c r="J524" s="401"/>
      <c r="K524" s="401"/>
      <c r="L524" s="401"/>
      <c r="M524" s="401"/>
      <c r="N524" s="401"/>
      <c r="O524" s="401"/>
      <c r="P524" s="401"/>
      <c r="Q524" s="401"/>
      <c r="R524" s="389"/>
      <c r="S524" s="389"/>
      <c r="T524" s="389"/>
      <c r="U524" s="521"/>
      <c r="V524" s="402"/>
      <c r="W524" s="402"/>
      <c r="X524" s="400"/>
      <c r="Y524" s="550"/>
      <c r="Z524" s="549"/>
      <c r="AA524" s="586"/>
      <c r="AB524" s="401"/>
      <c r="AC524" s="401"/>
      <c r="AD524" s="401"/>
      <c r="AE524" s="401"/>
      <c r="AF524" s="401"/>
      <c r="AG524" s="401"/>
      <c r="AH524" s="401"/>
      <c r="AI524" s="401"/>
      <c r="AJ524" s="401"/>
      <c r="AK524" s="385"/>
      <c r="AL524" s="439"/>
      <c r="AM524" s="389"/>
      <c r="AN524" s="521"/>
      <c r="AO524" s="402"/>
      <c r="AP524" s="402"/>
      <c r="AQ524" s="400"/>
      <c r="AR524" s="337">
        <v>15</v>
      </c>
      <c r="AS524" s="549">
        <v>15</v>
      </c>
      <c r="AT524" s="585">
        <v>13.26877</v>
      </c>
      <c r="AU524" s="401">
        <v>11.53673</v>
      </c>
      <c r="AV524" s="401">
        <v>10.468299999999999</v>
      </c>
      <c r="AW524" s="401"/>
      <c r="AX524" s="401"/>
      <c r="AY524" s="401">
        <v>0</v>
      </c>
      <c r="AZ524" s="401">
        <v>0</v>
      </c>
      <c r="BA524" s="401">
        <v>0.39550000000000002</v>
      </c>
      <c r="BB524" s="401">
        <v>10.468299999999999</v>
      </c>
      <c r="BC524" s="401"/>
      <c r="BD524" s="385" t="s">
        <v>167</v>
      </c>
      <c r="BE524" s="439" t="s">
        <v>175</v>
      </c>
      <c r="BF524" s="389"/>
      <c r="BG524" s="521">
        <v>743</v>
      </c>
      <c r="BH524" s="402"/>
      <c r="BI524" s="402">
        <f t="shared" si="287"/>
        <v>0.88458466666666669</v>
      </c>
    </row>
    <row r="525" spans="1:61" s="359" customFormat="1" ht="19.2" x14ac:dyDescent="0.3">
      <c r="A525" s="360" t="s">
        <v>1111</v>
      </c>
      <c r="B525" s="579" t="s">
        <v>991</v>
      </c>
      <c r="C525" s="433" t="s">
        <v>834</v>
      </c>
      <c r="D525" s="361">
        <v>0.4</v>
      </c>
      <c r="E525" s="400"/>
      <c r="F525" s="404"/>
      <c r="G525" s="400"/>
      <c r="H525" s="382"/>
      <c r="I525" s="401"/>
      <c r="J525" s="401"/>
      <c r="K525" s="401"/>
      <c r="L525" s="401"/>
      <c r="M525" s="401"/>
      <c r="N525" s="401"/>
      <c r="O525" s="401"/>
      <c r="P525" s="401"/>
      <c r="Q525" s="401"/>
      <c r="R525" s="389"/>
      <c r="S525" s="389"/>
      <c r="T525" s="389"/>
      <c r="U525" s="521"/>
      <c r="V525" s="402"/>
      <c r="W525" s="402"/>
      <c r="X525" s="400"/>
      <c r="Y525" s="550"/>
      <c r="Z525" s="549"/>
      <c r="AA525" s="586"/>
      <c r="AB525" s="401"/>
      <c r="AC525" s="401"/>
      <c r="AD525" s="401"/>
      <c r="AE525" s="401"/>
      <c r="AF525" s="401"/>
      <c r="AG525" s="401"/>
      <c r="AH525" s="401"/>
      <c r="AI525" s="401"/>
      <c r="AJ525" s="401"/>
      <c r="AK525" s="385"/>
      <c r="AL525" s="439"/>
      <c r="AM525" s="389"/>
      <c r="AN525" s="521"/>
      <c r="AO525" s="402"/>
      <c r="AP525" s="402"/>
      <c r="AQ525" s="400"/>
      <c r="AR525" s="337">
        <v>15</v>
      </c>
      <c r="AS525" s="549">
        <v>15</v>
      </c>
      <c r="AT525" s="585">
        <v>13.268890000000001</v>
      </c>
      <c r="AU525" s="401">
        <v>11.536709999999999</v>
      </c>
      <c r="AV525" s="401">
        <v>10.46828</v>
      </c>
      <c r="AW525" s="401"/>
      <c r="AX525" s="401"/>
      <c r="AY525" s="401">
        <v>0</v>
      </c>
      <c r="AZ525" s="401">
        <v>0</v>
      </c>
      <c r="BA525" s="401">
        <v>0.39550000000000002</v>
      </c>
      <c r="BB525" s="401">
        <v>10.46828</v>
      </c>
      <c r="BC525" s="401"/>
      <c r="BD525" s="385" t="s">
        <v>167</v>
      </c>
      <c r="BE525" s="439" t="s">
        <v>175</v>
      </c>
      <c r="BF525" s="389"/>
      <c r="BG525" s="521">
        <v>745</v>
      </c>
      <c r="BH525" s="402"/>
      <c r="BI525" s="402">
        <f t="shared" si="287"/>
        <v>0.88459266666666669</v>
      </c>
    </row>
    <row r="526" spans="1:61" s="359" customFormat="1" ht="19.2" x14ac:dyDescent="0.3">
      <c r="A526" s="360" t="s">
        <v>1112</v>
      </c>
      <c r="B526" s="579" t="s">
        <v>992</v>
      </c>
      <c r="C526" s="433" t="s">
        <v>835</v>
      </c>
      <c r="D526" s="361">
        <v>0.4</v>
      </c>
      <c r="E526" s="400"/>
      <c r="F526" s="404"/>
      <c r="G526" s="400"/>
      <c r="H526" s="382"/>
      <c r="I526" s="401"/>
      <c r="J526" s="401"/>
      <c r="K526" s="401"/>
      <c r="L526" s="401"/>
      <c r="M526" s="401"/>
      <c r="N526" s="401"/>
      <c r="O526" s="401"/>
      <c r="P526" s="401"/>
      <c r="Q526" s="401"/>
      <c r="R526" s="389"/>
      <c r="S526" s="389"/>
      <c r="T526" s="389"/>
      <c r="U526" s="521"/>
      <c r="V526" s="402"/>
      <c r="W526" s="402"/>
      <c r="X526" s="400"/>
      <c r="Y526" s="550"/>
      <c r="Z526" s="549"/>
      <c r="AA526" s="586"/>
      <c r="AB526" s="401"/>
      <c r="AC526" s="401"/>
      <c r="AD526" s="401"/>
      <c r="AE526" s="401"/>
      <c r="AF526" s="401"/>
      <c r="AG526" s="401"/>
      <c r="AH526" s="401"/>
      <c r="AI526" s="401"/>
      <c r="AJ526" s="401"/>
      <c r="AK526" s="385"/>
      <c r="AL526" s="439"/>
      <c r="AM526" s="389"/>
      <c r="AN526" s="521"/>
      <c r="AO526" s="402"/>
      <c r="AP526" s="402"/>
      <c r="AQ526" s="400"/>
      <c r="AR526" s="337">
        <v>15</v>
      </c>
      <c r="AS526" s="549">
        <v>15</v>
      </c>
      <c r="AT526" s="585">
        <v>13.26876</v>
      </c>
      <c r="AU526" s="401">
        <v>11.53668</v>
      </c>
      <c r="AV526" s="401">
        <v>10.468249999999999</v>
      </c>
      <c r="AW526" s="401"/>
      <c r="AX526" s="401"/>
      <c r="AY526" s="401">
        <v>0</v>
      </c>
      <c r="AZ526" s="401">
        <v>0</v>
      </c>
      <c r="BA526" s="401">
        <v>0.39550000000000002</v>
      </c>
      <c r="BB526" s="401">
        <v>10.468249999999999</v>
      </c>
      <c r="BC526" s="401"/>
      <c r="BD526" s="385" t="s">
        <v>167</v>
      </c>
      <c r="BE526" s="439" t="s">
        <v>175</v>
      </c>
      <c r="BF526" s="389"/>
      <c r="BG526" s="521">
        <v>747</v>
      </c>
      <c r="BH526" s="402"/>
      <c r="BI526" s="402">
        <f t="shared" si="287"/>
        <v>0.88458400000000004</v>
      </c>
    </row>
    <row r="527" spans="1:61" s="359" customFormat="1" ht="19.2" x14ac:dyDescent="0.3">
      <c r="A527" s="360" t="s">
        <v>1113</v>
      </c>
      <c r="B527" s="579" t="s">
        <v>993</v>
      </c>
      <c r="C527" s="433" t="s">
        <v>836</v>
      </c>
      <c r="D527" s="361">
        <v>0.4</v>
      </c>
      <c r="E527" s="400"/>
      <c r="F527" s="404"/>
      <c r="G527" s="400"/>
      <c r="H527" s="382"/>
      <c r="I527" s="401"/>
      <c r="J527" s="401"/>
      <c r="K527" s="401"/>
      <c r="L527" s="401"/>
      <c r="M527" s="401"/>
      <c r="N527" s="401"/>
      <c r="O527" s="401"/>
      <c r="P527" s="401"/>
      <c r="Q527" s="401"/>
      <c r="R527" s="389"/>
      <c r="S527" s="389"/>
      <c r="T527" s="389"/>
      <c r="U527" s="521"/>
      <c r="V527" s="402"/>
      <c r="W527" s="402"/>
      <c r="X527" s="400"/>
      <c r="Y527" s="550"/>
      <c r="Z527" s="549"/>
      <c r="AA527" s="586"/>
      <c r="AB527" s="401"/>
      <c r="AC527" s="401"/>
      <c r="AD527" s="401"/>
      <c r="AE527" s="401"/>
      <c r="AF527" s="401"/>
      <c r="AG527" s="401"/>
      <c r="AH527" s="401"/>
      <c r="AI527" s="401"/>
      <c r="AJ527" s="401"/>
      <c r="AK527" s="385"/>
      <c r="AL527" s="439"/>
      <c r="AM527" s="389"/>
      <c r="AN527" s="521"/>
      <c r="AO527" s="402"/>
      <c r="AP527" s="402"/>
      <c r="AQ527" s="400"/>
      <c r="AR527" s="337">
        <v>15</v>
      </c>
      <c r="AS527" s="549">
        <v>15</v>
      </c>
      <c r="AT527" s="585">
        <v>13.268789999999999</v>
      </c>
      <c r="AU527" s="401">
        <v>11.53668</v>
      </c>
      <c r="AV527" s="401">
        <v>10.468249999999999</v>
      </c>
      <c r="AW527" s="401"/>
      <c r="AX527" s="401"/>
      <c r="AY527" s="401">
        <v>0</v>
      </c>
      <c r="AZ527" s="401">
        <v>0</v>
      </c>
      <c r="BA527" s="401">
        <v>0.39550000000000002</v>
      </c>
      <c r="BB527" s="401">
        <v>10.468249999999999</v>
      </c>
      <c r="BC527" s="401"/>
      <c r="BD527" s="385" t="s">
        <v>167</v>
      </c>
      <c r="BE527" s="439" t="s">
        <v>175</v>
      </c>
      <c r="BF527" s="389"/>
      <c r="BG527" s="521">
        <v>749</v>
      </c>
      <c r="BH527" s="402"/>
      <c r="BI527" s="402">
        <f t="shared" si="287"/>
        <v>0.88458599999999998</v>
      </c>
    </row>
    <row r="528" spans="1:61" s="359" customFormat="1" ht="19.2" x14ac:dyDescent="0.3">
      <c r="A528" s="360" t="s">
        <v>1114</v>
      </c>
      <c r="B528" s="579" t="s">
        <v>994</v>
      </c>
      <c r="C528" s="433" t="s">
        <v>837</v>
      </c>
      <c r="D528" s="361">
        <v>0.4</v>
      </c>
      <c r="E528" s="400"/>
      <c r="F528" s="404"/>
      <c r="G528" s="400"/>
      <c r="H528" s="382"/>
      <c r="I528" s="401"/>
      <c r="J528" s="401"/>
      <c r="K528" s="401"/>
      <c r="L528" s="401"/>
      <c r="M528" s="401"/>
      <c r="N528" s="401"/>
      <c r="O528" s="401"/>
      <c r="P528" s="401"/>
      <c r="Q528" s="401"/>
      <c r="R528" s="389"/>
      <c r="S528" s="389"/>
      <c r="T528" s="389"/>
      <c r="U528" s="521"/>
      <c r="V528" s="402"/>
      <c r="W528" s="402"/>
      <c r="X528" s="400"/>
      <c r="Y528" s="550"/>
      <c r="Z528" s="549"/>
      <c r="AA528" s="586"/>
      <c r="AB528" s="401"/>
      <c r="AC528" s="401"/>
      <c r="AD528" s="401"/>
      <c r="AE528" s="401"/>
      <c r="AF528" s="401"/>
      <c r="AG528" s="401"/>
      <c r="AH528" s="401"/>
      <c r="AI528" s="401"/>
      <c r="AJ528" s="401"/>
      <c r="AK528" s="385"/>
      <c r="AL528" s="439"/>
      <c r="AM528" s="389"/>
      <c r="AN528" s="521"/>
      <c r="AO528" s="402"/>
      <c r="AP528" s="402"/>
      <c r="AQ528" s="400"/>
      <c r="AR528" s="337">
        <v>35</v>
      </c>
      <c r="AS528" s="549">
        <v>35</v>
      </c>
      <c r="AT528" s="585">
        <v>11.30655</v>
      </c>
      <c r="AU528" s="401">
        <v>9.6100499999999993</v>
      </c>
      <c r="AV528" s="401">
        <v>8.54162</v>
      </c>
      <c r="AW528" s="401"/>
      <c r="AX528" s="401"/>
      <c r="AY528" s="401">
        <v>0</v>
      </c>
      <c r="AZ528" s="401">
        <v>0</v>
      </c>
      <c r="BA528" s="401">
        <v>0.39550000000000002</v>
      </c>
      <c r="BB528" s="401">
        <v>8.54162</v>
      </c>
      <c r="BC528" s="401"/>
      <c r="BD528" s="385" t="s">
        <v>167</v>
      </c>
      <c r="BE528" s="439" t="s">
        <v>175</v>
      </c>
      <c r="BF528" s="389"/>
      <c r="BG528" s="521">
        <v>751</v>
      </c>
      <c r="BH528" s="402"/>
      <c r="BI528" s="402">
        <f t="shared" si="287"/>
        <v>0.32304428571428573</v>
      </c>
    </row>
    <row r="529" spans="1:61" s="359" customFormat="1" ht="19.2" x14ac:dyDescent="0.3">
      <c r="A529" s="360" t="s">
        <v>1115</v>
      </c>
      <c r="B529" s="579" t="s">
        <v>995</v>
      </c>
      <c r="C529" s="433" t="s">
        <v>838</v>
      </c>
      <c r="D529" s="361">
        <v>0.4</v>
      </c>
      <c r="E529" s="400"/>
      <c r="F529" s="404"/>
      <c r="G529" s="400"/>
      <c r="H529" s="382"/>
      <c r="I529" s="401"/>
      <c r="J529" s="401"/>
      <c r="K529" s="401"/>
      <c r="L529" s="401"/>
      <c r="M529" s="401"/>
      <c r="N529" s="401"/>
      <c r="O529" s="401"/>
      <c r="P529" s="401"/>
      <c r="Q529" s="401"/>
      <c r="R529" s="389"/>
      <c r="S529" s="389"/>
      <c r="T529" s="389"/>
      <c r="U529" s="521"/>
      <c r="V529" s="402"/>
      <c r="W529" s="402"/>
      <c r="X529" s="400"/>
      <c r="Y529" s="550"/>
      <c r="Z529" s="549"/>
      <c r="AA529" s="586"/>
      <c r="AB529" s="401"/>
      <c r="AC529" s="401"/>
      <c r="AD529" s="401"/>
      <c r="AE529" s="401"/>
      <c r="AF529" s="401"/>
      <c r="AG529" s="401"/>
      <c r="AH529" s="401"/>
      <c r="AI529" s="401"/>
      <c r="AJ529" s="401"/>
      <c r="AK529" s="385"/>
      <c r="AL529" s="439"/>
      <c r="AM529" s="389"/>
      <c r="AN529" s="521"/>
      <c r="AO529" s="402"/>
      <c r="AP529" s="402"/>
      <c r="AQ529" s="400"/>
      <c r="AR529" s="337">
        <v>15</v>
      </c>
      <c r="AS529" s="549">
        <v>15</v>
      </c>
      <c r="AT529" s="585">
        <v>11.587730000000001</v>
      </c>
      <c r="AU529" s="401">
        <v>9.7025600000000001</v>
      </c>
      <c r="AV529" s="401">
        <v>8.6341300000000007</v>
      </c>
      <c r="AW529" s="401"/>
      <c r="AX529" s="401"/>
      <c r="AY529" s="401">
        <v>0</v>
      </c>
      <c r="AZ529" s="401">
        <v>0</v>
      </c>
      <c r="BA529" s="401">
        <v>0.39550000000000002</v>
      </c>
      <c r="BB529" s="401">
        <v>8.6341300000000007</v>
      </c>
      <c r="BC529" s="401"/>
      <c r="BD529" s="385" t="s">
        <v>167</v>
      </c>
      <c r="BE529" s="439" t="s">
        <v>175</v>
      </c>
      <c r="BF529" s="389"/>
      <c r="BG529" s="521">
        <v>753</v>
      </c>
      <c r="BH529" s="402"/>
      <c r="BI529" s="402">
        <f t="shared" si="287"/>
        <v>0.77251533333333333</v>
      </c>
    </row>
    <row r="530" spans="1:61" s="359" customFormat="1" ht="19.2" x14ac:dyDescent="0.3">
      <c r="A530" s="360" t="s">
        <v>1116</v>
      </c>
      <c r="B530" s="579" t="s">
        <v>996</v>
      </c>
      <c r="C530" s="433" t="s">
        <v>839</v>
      </c>
      <c r="D530" s="361">
        <v>0.4</v>
      </c>
      <c r="E530" s="400"/>
      <c r="F530" s="404"/>
      <c r="G530" s="400"/>
      <c r="H530" s="382"/>
      <c r="I530" s="401"/>
      <c r="J530" s="401"/>
      <c r="K530" s="401"/>
      <c r="L530" s="401"/>
      <c r="M530" s="401"/>
      <c r="N530" s="401"/>
      <c r="O530" s="401"/>
      <c r="P530" s="401"/>
      <c r="Q530" s="401"/>
      <c r="R530" s="389"/>
      <c r="S530" s="389"/>
      <c r="T530" s="389"/>
      <c r="U530" s="521"/>
      <c r="V530" s="402"/>
      <c r="W530" s="402"/>
      <c r="X530" s="400"/>
      <c r="Y530" s="550"/>
      <c r="Z530" s="549"/>
      <c r="AA530" s="586"/>
      <c r="AB530" s="401"/>
      <c r="AC530" s="401"/>
      <c r="AD530" s="401"/>
      <c r="AE530" s="401"/>
      <c r="AF530" s="401"/>
      <c r="AG530" s="401"/>
      <c r="AH530" s="401"/>
      <c r="AI530" s="401"/>
      <c r="AJ530" s="401"/>
      <c r="AK530" s="385"/>
      <c r="AL530" s="439"/>
      <c r="AM530" s="389"/>
      <c r="AN530" s="521"/>
      <c r="AO530" s="402"/>
      <c r="AP530" s="402"/>
      <c r="AQ530" s="400"/>
      <c r="AR530" s="337">
        <v>15</v>
      </c>
      <c r="AS530" s="549">
        <v>15</v>
      </c>
      <c r="AT530" s="585">
        <v>11.479710000000001</v>
      </c>
      <c r="AU530" s="401">
        <v>9.7832399999999993</v>
      </c>
      <c r="AV530" s="401">
        <v>8.5416500000000006</v>
      </c>
      <c r="AW530" s="401"/>
      <c r="AX530" s="401"/>
      <c r="AY530" s="401">
        <v>0</v>
      </c>
      <c r="AZ530" s="401">
        <v>0</v>
      </c>
      <c r="BA530" s="401">
        <v>0.39550000000000002</v>
      </c>
      <c r="BB530" s="401">
        <v>8.5416500000000006</v>
      </c>
      <c r="BC530" s="401"/>
      <c r="BD530" s="385" t="s">
        <v>167</v>
      </c>
      <c r="BE530" s="439" t="s">
        <v>175</v>
      </c>
      <c r="BF530" s="389"/>
      <c r="BG530" s="521">
        <v>755</v>
      </c>
      <c r="BH530" s="402"/>
      <c r="BI530" s="402">
        <f t="shared" si="287"/>
        <v>0.76531400000000005</v>
      </c>
    </row>
    <row r="531" spans="1:61" s="359" customFormat="1" ht="19.2" x14ac:dyDescent="0.3">
      <c r="A531" s="360" t="s">
        <v>1117</v>
      </c>
      <c r="B531" s="579" t="s">
        <v>995</v>
      </c>
      <c r="C531" s="433" t="s">
        <v>840</v>
      </c>
      <c r="D531" s="361">
        <v>0.4</v>
      </c>
      <c r="E531" s="400"/>
      <c r="F531" s="404"/>
      <c r="G531" s="400"/>
      <c r="H531" s="382"/>
      <c r="I531" s="401"/>
      <c r="J531" s="401"/>
      <c r="K531" s="401"/>
      <c r="L531" s="401"/>
      <c r="M531" s="401"/>
      <c r="N531" s="401"/>
      <c r="O531" s="401"/>
      <c r="P531" s="401"/>
      <c r="Q531" s="401"/>
      <c r="R531" s="389"/>
      <c r="S531" s="389"/>
      <c r="T531" s="389"/>
      <c r="U531" s="521"/>
      <c r="V531" s="402"/>
      <c r="W531" s="402"/>
      <c r="X531" s="400"/>
      <c r="Y531" s="550"/>
      <c r="Z531" s="549"/>
      <c r="AA531" s="586"/>
      <c r="AB531" s="401"/>
      <c r="AC531" s="401"/>
      <c r="AD531" s="401"/>
      <c r="AE531" s="401"/>
      <c r="AF531" s="401"/>
      <c r="AG531" s="401"/>
      <c r="AH531" s="401"/>
      <c r="AI531" s="401"/>
      <c r="AJ531" s="401"/>
      <c r="AK531" s="385"/>
      <c r="AL531" s="439"/>
      <c r="AM531" s="389"/>
      <c r="AN531" s="521"/>
      <c r="AO531" s="402"/>
      <c r="AP531" s="402"/>
      <c r="AQ531" s="400"/>
      <c r="AR531" s="337">
        <v>15</v>
      </c>
      <c r="AS531" s="549">
        <v>15</v>
      </c>
      <c r="AT531" s="585">
        <v>11.479699999999999</v>
      </c>
      <c r="AU531" s="401">
        <v>9.7832100000000004</v>
      </c>
      <c r="AV531" s="401">
        <v>8.54162</v>
      </c>
      <c r="AW531" s="401"/>
      <c r="AX531" s="401"/>
      <c r="AY531" s="401">
        <v>0</v>
      </c>
      <c r="AZ531" s="401">
        <v>0</v>
      </c>
      <c r="BA531" s="401">
        <v>0.39550000000000002</v>
      </c>
      <c r="BB531" s="401">
        <v>8.54162</v>
      </c>
      <c r="BC531" s="401"/>
      <c r="BD531" s="385" t="s">
        <v>167</v>
      </c>
      <c r="BE531" s="439" t="s">
        <v>175</v>
      </c>
      <c r="BF531" s="389"/>
      <c r="BG531" s="521">
        <v>757</v>
      </c>
      <c r="BH531" s="402"/>
      <c r="BI531" s="402">
        <f t="shared" si="287"/>
        <v>0.76531333333333329</v>
      </c>
    </row>
    <row r="532" spans="1:61" s="359" customFormat="1" ht="19.2" x14ac:dyDescent="0.3">
      <c r="A532" s="360" t="s">
        <v>1118</v>
      </c>
      <c r="B532" s="579" t="s">
        <v>997</v>
      </c>
      <c r="C532" s="433" t="s">
        <v>876</v>
      </c>
      <c r="D532" s="361">
        <v>0.4</v>
      </c>
      <c r="E532" s="400"/>
      <c r="F532" s="404"/>
      <c r="G532" s="400"/>
      <c r="H532" s="382"/>
      <c r="I532" s="401"/>
      <c r="J532" s="401"/>
      <c r="K532" s="401"/>
      <c r="L532" s="401"/>
      <c r="M532" s="401"/>
      <c r="N532" s="401"/>
      <c r="O532" s="401"/>
      <c r="P532" s="401"/>
      <c r="Q532" s="401"/>
      <c r="R532" s="389"/>
      <c r="S532" s="389"/>
      <c r="T532" s="389"/>
      <c r="U532" s="521"/>
      <c r="V532" s="402"/>
      <c r="W532" s="402"/>
      <c r="X532" s="400"/>
      <c r="Y532" s="550"/>
      <c r="Z532" s="549"/>
      <c r="AA532" s="586"/>
      <c r="AB532" s="401"/>
      <c r="AC532" s="401"/>
      <c r="AD532" s="401"/>
      <c r="AE532" s="401"/>
      <c r="AF532" s="401"/>
      <c r="AG532" s="401"/>
      <c r="AH532" s="401"/>
      <c r="AI532" s="401"/>
      <c r="AJ532" s="401"/>
      <c r="AK532" s="385"/>
      <c r="AL532" s="439"/>
      <c r="AM532" s="389"/>
      <c r="AN532" s="521"/>
      <c r="AO532" s="402"/>
      <c r="AP532" s="402"/>
      <c r="AQ532" s="400"/>
      <c r="AR532" s="337">
        <v>15</v>
      </c>
      <c r="AS532" s="549">
        <v>15</v>
      </c>
      <c r="AT532" s="585">
        <v>12.32178</v>
      </c>
      <c r="AU532" s="401">
        <v>10.62529</v>
      </c>
      <c r="AV532" s="401">
        <v>8.8377800000000004</v>
      </c>
      <c r="AW532" s="401"/>
      <c r="AX532" s="401"/>
      <c r="AY532" s="401">
        <v>0</v>
      </c>
      <c r="AZ532" s="401">
        <v>0</v>
      </c>
      <c r="BA532" s="401">
        <v>0.39550000000000002</v>
      </c>
      <c r="BB532" s="401">
        <v>8.8377800000000004</v>
      </c>
      <c r="BC532" s="401"/>
      <c r="BD532" s="385" t="s">
        <v>167</v>
      </c>
      <c r="BE532" s="439" t="s">
        <v>175</v>
      </c>
      <c r="BF532" s="389"/>
      <c r="BG532" s="521">
        <v>759</v>
      </c>
      <c r="BH532" s="402"/>
      <c r="BI532" s="402">
        <f t="shared" si="287"/>
        <v>0.82145200000000007</v>
      </c>
    </row>
    <row r="533" spans="1:61" s="359" customFormat="1" ht="19.2" x14ac:dyDescent="0.3">
      <c r="A533" s="360" t="s">
        <v>1119</v>
      </c>
      <c r="B533" s="579" t="s">
        <v>998</v>
      </c>
      <c r="C533" s="433" t="s">
        <v>877</v>
      </c>
      <c r="D533" s="361">
        <v>0.4</v>
      </c>
      <c r="E533" s="400"/>
      <c r="F533" s="404"/>
      <c r="G533" s="400"/>
      <c r="H533" s="382"/>
      <c r="I533" s="401"/>
      <c r="J533" s="401"/>
      <c r="K533" s="401"/>
      <c r="L533" s="401"/>
      <c r="M533" s="401"/>
      <c r="N533" s="401"/>
      <c r="O533" s="401"/>
      <c r="P533" s="401"/>
      <c r="Q533" s="401"/>
      <c r="R533" s="389"/>
      <c r="S533" s="389"/>
      <c r="T533" s="389"/>
      <c r="U533" s="521"/>
      <c r="V533" s="402"/>
      <c r="W533" s="402"/>
      <c r="X533" s="400"/>
      <c r="Y533" s="550"/>
      <c r="Z533" s="549"/>
      <c r="AA533" s="586"/>
      <c r="AB533" s="401"/>
      <c r="AC533" s="401"/>
      <c r="AD533" s="401"/>
      <c r="AE533" s="401"/>
      <c r="AF533" s="401"/>
      <c r="AG533" s="401"/>
      <c r="AH533" s="401"/>
      <c r="AI533" s="401"/>
      <c r="AJ533" s="401"/>
      <c r="AK533" s="385"/>
      <c r="AL533" s="439"/>
      <c r="AM533" s="389"/>
      <c r="AN533" s="521"/>
      <c r="AO533" s="402"/>
      <c r="AP533" s="402"/>
      <c r="AQ533" s="400"/>
      <c r="AR533" s="337">
        <v>15</v>
      </c>
      <c r="AS533" s="549">
        <v>15</v>
      </c>
      <c r="AT533" s="585">
        <v>11.479710000000001</v>
      </c>
      <c r="AU533" s="401">
        <v>9.7832100000000004</v>
      </c>
      <c r="AV533" s="401">
        <v>8.54162</v>
      </c>
      <c r="AW533" s="401"/>
      <c r="AX533" s="401"/>
      <c r="AY533" s="401">
        <v>0</v>
      </c>
      <c r="AZ533" s="401">
        <v>0</v>
      </c>
      <c r="BA533" s="401">
        <v>0.39550000000000002</v>
      </c>
      <c r="BB533" s="401">
        <v>8.54162</v>
      </c>
      <c r="BC533" s="401"/>
      <c r="BD533" s="385" t="s">
        <v>167</v>
      </c>
      <c r="BE533" s="439" t="s">
        <v>175</v>
      </c>
      <c r="BF533" s="389"/>
      <c r="BG533" s="521">
        <v>761</v>
      </c>
      <c r="BH533" s="402"/>
      <c r="BI533" s="402">
        <f t="shared" si="287"/>
        <v>0.76531400000000005</v>
      </c>
    </row>
    <row r="534" spans="1:61" s="359" customFormat="1" ht="19.2" x14ac:dyDescent="0.3">
      <c r="A534" s="360" t="s">
        <v>1120</v>
      </c>
      <c r="B534" s="579" t="s">
        <v>999</v>
      </c>
      <c r="C534" s="433" t="s">
        <v>878</v>
      </c>
      <c r="D534" s="361">
        <v>0.4</v>
      </c>
      <c r="E534" s="400"/>
      <c r="F534" s="404"/>
      <c r="G534" s="400"/>
      <c r="H534" s="382"/>
      <c r="I534" s="401"/>
      <c r="J534" s="401"/>
      <c r="K534" s="401"/>
      <c r="L534" s="401"/>
      <c r="M534" s="401"/>
      <c r="N534" s="401"/>
      <c r="O534" s="401"/>
      <c r="P534" s="401"/>
      <c r="Q534" s="401"/>
      <c r="R534" s="389"/>
      <c r="S534" s="389"/>
      <c r="T534" s="389"/>
      <c r="U534" s="521"/>
      <c r="V534" s="402"/>
      <c r="W534" s="402"/>
      <c r="X534" s="400"/>
      <c r="Y534" s="550"/>
      <c r="Z534" s="549"/>
      <c r="AA534" s="586"/>
      <c r="AB534" s="401"/>
      <c r="AC534" s="401"/>
      <c r="AD534" s="401"/>
      <c r="AE534" s="401"/>
      <c r="AF534" s="401"/>
      <c r="AG534" s="401"/>
      <c r="AH534" s="401"/>
      <c r="AI534" s="401"/>
      <c r="AJ534" s="401"/>
      <c r="AK534" s="385"/>
      <c r="AL534" s="439"/>
      <c r="AM534" s="389"/>
      <c r="AN534" s="521"/>
      <c r="AO534" s="402"/>
      <c r="AP534" s="402"/>
      <c r="AQ534" s="400"/>
      <c r="AR534" s="337">
        <v>15</v>
      </c>
      <c r="AS534" s="549">
        <v>15</v>
      </c>
      <c r="AT534" s="585">
        <v>13.26878</v>
      </c>
      <c r="AU534" s="401">
        <v>11.572290000000001</v>
      </c>
      <c r="AV534" s="401">
        <v>10.50962</v>
      </c>
      <c r="AW534" s="401"/>
      <c r="AX534" s="401"/>
      <c r="AY534" s="401">
        <v>0</v>
      </c>
      <c r="AZ534" s="401">
        <v>0</v>
      </c>
      <c r="BA534" s="401">
        <v>0.39550000000000002</v>
      </c>
      <c r="BB534" s="401">
        <v>10.50962</v>
      </c>
      <c r="BC534" s="401"/>
      <c r="BD534" s="385" t="s">
        <v>167</v>
      </c>
      <c r="BE534" s="439" t="s">
        <v>175</v>
      </c>
      <c r="BF534" s="389"/>
      <c r="BG534" s="521">
        <v>763</v>
      </c>
      <c r="BH534" s="402"/>
      <c r="BI534" s="402">
        <f t="shared" si="287"/>
        <v>0.88458533333333333</v>
      </c>
    </row>
    <row r="535" spans="1:61" s="359" customFormat="1" ht="19.2" x14ac:dyDescent="0.3">
      <c r="A535" s="360" t="s">
        <v>1121</v>
      </c>
      <c r="B535" s="579" t="s">
        <v>1000</v>
      </c>
      <c r="C535" s="433" t="s">
        <v>879</v>
      </c>
      <c r="D535" s="361">
        <v>0.4</v>
      </c>
      <c r="E535" s="400"/>
      <c r="F535" s="404"/>
      <c r="G535" s="400"/>
      <c r="H535" s="382"/>
      <c r="I535" s="401"/>
      <c r="J535" s="401"/>
      <c r="K535" s="401"/>
      <c r="L535" s="401"/>
      <c r="M535" s="401"/>
      <c r="N535" s="401"/>
      <c r="O535" s="401"/>
      <c r="P535" s="401"/>
      <c r="Q535" s="401"/>
      <c r="R535" s="389"/>
      <c r="S535" s="389"/>
      <c r="T535" s="389"/>
      <c r="U535" s="521"/>
      <c r="V535" s="402"/>
      <c r="W535" s="402"/>
      <c r="X535" s="400"/>
      <c r="Y535" s="550"/>
      <c r="Z535" s="549"/>
      <c r="AA535" s="586"/>
      <c r="AB535" s="401"/>
      <c r="AC535" s="401"/>
      <c r="AD535" s="401"/>
      <c r="AE535" s="401"/>
      <c r="AF535" s="401"/>
      <c r="AG535" s="401"/>
      <c r="AH535" s="401"/>
      <c r="AI535" s="401"/>
      <c r="AJ535" s="401"/>
      <c r="AK535" s="385"/>
      <c r="AL535" s="439"/>
      <c r="AM535" s="389"/>
      <c r="AN535" s="521"/>
      <c r="AO535" s="402"/>
      <c r="AP535" s="402"/>
      <c r="AQ535" s="400"/>
      <c r="AR535" s="337">
        <v>15</v>
      </c>
      <c r="AS535" s="549">
        <v>15</v>
      </c>
      <c r="AT535" s="585">
        <v>11.479710000000001</v>
      </c>
      <c r="AU535" s="401">
        <v>9.7832100000000004</v>
      </c>
      <c r="AV535" s="401">
        <v>8.54162</v>
      </c>
      <c r="AW535" s="401"/>
      <c r="AX535" s="401"/>
      <c r="AY535" s="401">
        <v>0</v>
      </c>
      <c r="AZ535" s="401">
        <v>0</v>
      </c>
      <c r="BA535" s="401">
        <v>0.39550000000000002</v>
      </c>
      <c r="BB535" s="401">
        <v>8.54162</v>
      </c>
      <c r="BC535" s="401"/>
      <c r="BD535" s="385" t="s">
        <v>167</v>
      </c>
      <c r="BE535" s="439" t="s">
        <v>175</v>
      </c>
      <c r="BF535" s="389"/>
      <c r="BG535" s="521">
        <v>765</v>
      </c>
      <c r="BH535" s="402"/>
      <c r="BI535" s="402">
        <f t="shared" si="287"/>
        <v>0.76531400000000005</v>
      </c>
    </row>
    <row r="536" spans="1:61" s="359" customFormat="1" ht="19.2" x14ac:dyDescent="0.3">
      <c r="A536" s="360" t="s">
        <v>1122</v>
      </c>
      <c r="B536" s="579" t="s">
        <v>1001</v>
      </c>
      <c r="C536" s="433" t="s">
        <v>880</v>
      </c>
      <c r="D536" s="361">
        <v>0.4</v>
      </c>
      <c r="E536" s="400"/>
      <c r="F536" s="404"/>
      <c r="G536" s="400"/>
      <c r="H536" s="382"/>
      <c r="I536" s="401"/>
      <c r="J536" s="401"/>
      <c r="K536" s="401"/>
      <c r="L536" s="401"/>
      <c r="M536" s="401"/>
      <c r="N536" s="401"/>
      <c r="O536" s="401"/>
      <c r="P536" s="401"/>
      <c r="Q536" s="401"/>
      <c r="R536" s="389"/>
      <c r="S536" s="389"/>
      <c r="T536" s="389"/>
      <c r="U536" s="521"/>
      <c r="V536" s="402"/>
      <c r="W536" s="402"/>
      <c r="X536" s="400"/>
      <c r="Y536" s="550"/>
      <c r="Z536" s="549"/>
      <c r="AA536" s="586"/>
      <c r="AB536" s="401"/>
      <c r="AC536" s="401"/>
      <c r="AD536" s="401"/>
      <c r="AE536" s="401"/>
      <c r="AF536" s="401"/>
      <c r="AG536" s="401"/>
      <c r="AH536" s="401"/>
      <c r="AI536" s="401"/>
      <c r="AJ536" s="401"/>
      <c r="AK536" s="385"/>
      <c r="AL536" s="439"/>
      <c r="AM536" s="389"/>
      <c r="AN536" s="521"/>
      <c r="AO536" s="402"/>
      <c r="AP536" s="402"/>
      <c r="AQ536" s="400"/>
      <c r="AR536" s="337">
        <v>15</v>
      </c>
      <c r="AS536" s="549">
        <v>15</v>
      </c>
      <c r="AT536" s="585">
        <v>12.32178</v>
      </c>
      <c r="AU536" s="401">
        <v>10.62529</v>
      </c>
      <c r="AV536" s="401">
        <v>8.8377800000000004</v>
      </c>
      <c r="AW536" s="401"/>
      <c r="AX536" s="401"/>
      <c r="AY536" s="401">
        <v>0</v>
      </c>
      <c r="AZ536" s="401">
        <v>0</v>
      </c>
      <c r="BA536" s="401">
        <v>0.39550000000000002</v>
      </c>
      <c r="BB536" s="401">
        <v>8.8377800000000004</v>
      </c>
      <c r="BC536" s="401"/>
      <c r="BD536" s="385" t="s">
        <v>167</v>
      </c>
      <c r="BE536" s="439" t="s">
        <v>175</v>
      </c>
      <c r="BF536" s="389"/>
      <c r="BG536" s="521">
        <v>768</v>
      </c>
      <c r="BH536" s="402"/>
      <c r="BI536" s="402">
        <f t="shared" ref="BI536:BI567" si="288">AT536/AR536</f>
        <v>0.82145200000000007</v>
      </c>
    </row>
    <row r="537" spans="1:61" s="359" customFormat="1" ht="19.2" x14ac:dyDescent="0.3">
      <c r="A537" s="360" t="s">
        <v>1123</v>
      </c>
      <c r="B537" s="579" t="s">
        <v>1002</v>
      </c>
      <c r="C537" s="433" t="s">
        <v>881</v>
      </c>
      <c r="D537" s="361">
        <v>0.4</v>
      </c>
      <c r="E537" s="400"/>
      <c r="F537" s="404"/>
      <c r="G537" s="400"/>
      <c r="H537" s="382"/>
      <c r="I537" s="401"/>
      <c r="J537" s="401"/>
      <c r="K537" s="401"/>
      <c r="L537" s="401"/>
      <c r="M537" s="401"/>
      <c r="N537" s="401"/>
      <c r="O537" s="401"/>
      <c r="P537" s="401"/>
      <c r="Q537" s="401"/>
      <c r="R537" s="389"/>
      <c r="S537" s="389"/>
      <c r="T537" s="389"/>
      <c r="U537" s="521"/>
      <c r="V537" s="402"/>
      <c r="W537" s="402"/>
      <c r="X537" s="400"/>
      <c r="Y537" s="550"/>
      <c r="Z537" s="549"/>
      <c r="AA537" s="586"/>
      <c r="AB537" s="401"/>
      <c r="AC537" s="401"/>
      <c r="AD537" s="401"/>
      <c r="AE537" s="401"/>
      <c r="AF537" s="401"/>
      <c r="AG537" s="401"/>
      <c r="AH537" s="401"/>
      <c r="AI537" s="401"/>
      <c r="AJ537" s="401"/>
      <c r="AK537" s="385"/>
      <c r="AL537" s="439"/>
      <c r="AM537" s="389"/>
      <c r="AN537" s="521"/>
      <c r="AO537" s="402"/>
      <c r="AP537" s="402"/>
      <c r="AQ537" s="400"/>
      <c r="AR537" s="337">
        <v>15</v>
      </c>
      <c r="AS537" s="549">
        <v>15</v>
      </c>
      <c r="AT537" s="585">
        <v>13.26878</v>
      </c>
      <c r="AU537" s="401">
        <v>11.572290000000001</v>
      </c>
      <c r="AV537" s="401">
        <v>10.50962</v>
      </c>
      <c r="AW537" s="401"/>
      <c r="AX537" s="401"/>
      <c r="AY537" s="401">
        <v>0</v>
      </c>
      <c r="AZ537" s="401">
        <v>0</v>
      </c>
      <c r="BA537" s="401">
        <v>0.39550000000000002</v>
      </c>
      <c r="BB537" s="401">
        <v>10.50962</v>
      </c>
      <c r="BC537" s="401"/>
      <c r="BD537" s="385" t="s">
        <v>167</v>
      </c>
      <c r="BE537" s="439" t="s">
        <v>175</v>
      </c>
      <c r="BF537" s="389"/>
      <c r="BG537" s="521">
        <v>770</v>
      </c>
      <c r="BH537" s="402"/>
      <c r="BI537" s="402">
        <f t="shared" si="288"/>
        <v>0.88458533333333333</v>
      </c>
    </row>
    <row r="538" spans="1:61" s="359" customFormat="1" ht="19.2" x14ac:dyDescent="0.3">
      <c r="A538" s="360" t="s">
        <v>1124</v>
      </c>
      <c r="B538" s="579" t="s">
        <v>1003</v>
      </c>
      <c r="C538" s="433" t="s">
        <v>882</v>
      </c>
      <c r="D538" s="361">
        <v>0.4</v>
      </c>
      <c r="E538" s="400"/>
      <c r="F538" s="404"/>
      <c r="G538" s="400"/>
      <c r="H538" s="382"/>
      <c r="I538" s="401"/>
      <c r="J538" s="401"/>
      <c r="K538" s="401"/>
      <c r="L538" s="401"/>
      <c r="M538" s="401"/>
      <c r="N538" s="401"/>
      <c r="O538" s="401"/>
      <c r="P538" s="401"/>
      <c r="Q538" s="401"/>
      <c r="R538" s="389"/>
      <c r="S538" s="389"/>
      <c r="T538" s="389"/>
      <c r="U538" s="521"/>
      <c r="V538" s="402"/>
      <c r="W538" s="402"/>
      <c r="X538" s="400"/>
      <c r="Y538" s="550"/>
      <c r="Z538" s="549"/>
      <c r="AA538" s="586"/>
      <c r="AB538" s="401"/>
      <c r="AC538" s="401"/>
      <c r="AD538" s="401"/>
      <c r="AE538" s="401"/>
      <c r="AF538" s="401"/>
      <c r="AG538" s="401"/>
      <c r="AH538" s="401"/>
      <c r="AI538" s="401"/>
      <c r="AJ538" s="401"/>
      <c r="AK538" s="385"/>
      <c r="AL538" s="439"/>
      <c r="AM538" s="389"/>
      <c r="AN538" s="521"/>
      <c r="AO538" s="402"/>
      <c r="AP538" s="402"/>
      <c r="AQ538" s="400"/>
      <c r="AR538" s="337">
        <v>15</v>
      </c>
      <c r="AS538" s="549">
        <v>15</v>
      </c>
      <c r="AT538" s="585">
        <v>13.26877</v>
      </c>
      <c r="AU538" s="401">
        <v>11.53673</v>
      </c>
      <c r="AV538" s="401">
        <v>10.468299999999999</v>
      </c>
      <c r="AW538" s="401"/>
      <c r="AX538" s="401"/>
      <c r="AY538" s="401">
        <v>0</v>
      </c>
      <c r="AZ538" s="401">
        <v>0</v>
      </c>
      <c r="BA538" s="401">
        <v>0.39550000000000002</v>
      </c>
      <c r="BB538" s="401">
        <v>10.468299999999999</v>
      </c>
      <c r="BC538" s="401"/>
      <c r="BD538" s="385" t="s">
        <v>167</v>
      </c>
      <c r="BE538" s="439" t="s">
        <v>175</v>
      </c>
      <c r="BF538" s="389"/>
      <c r="BG538" s="521">
        <v>772</v>
      </c>
      <c r="BH538" s="402"/>
      <c r="BI538" s="402">
        <f t="shared" si="288"/>
        <v>0.88458466666666669</v>
      </c>
    </row>
    <row r="539" spans="1:61" s="359" customFormat="1" ht="19.2" x14ac:dyDescent="0.3">
      <c r="A539" s="360" t="s">
        <v>1125</v>
      </c>
      <c r="B539" s="579" t="s">
        <v>1004</v>
      </c>
      <c r="C539" s="433" t="s">
        <v>883</v>
      </c>
      <c r="D539" s="361">
        <v>0.4</v>
      </c>
      <c r="E539" s="400"/>
      <c r="F539" s="404"/>
      <c r="G539" s="400"/>
      <c r="H539" s="382"/>
      <c r="I539" s="401"/>
      <c r="J539" s="401"/>
      <c r="K539" s="401"/>
      <c r="L539" s="401"/>
      <c r="M539" s="401"/>
      <c r="N539" s="401"/>
      <c r="O539" s="401"/>
      <c r="P539" s="401"/>
      <c r="Q539" s="401"/>
      <c r="R539" s="389"/>
      <c r="S539" s="389"/>
      <c r="T539" s="389"/>
      <c r="U539" s="521"/>
      <c r="V539" s="402"/>
      <c r="W539" s="402"/>
      <c r="X539" s="400"/>
      <c r="Y539" s="550"/>
      <c r="Z539" s="549"/>
      <c r="AA539" s="586"/>
      <c r="AB539" s="401"/>
      <c r="AC539" s="401"/>
      <c r="AD539" s="401"/>
      <c r="AE539" s="401"/>
      <c r="AF539" s="401"/>
      <c r="AG539" s="401"/>
      <c r="AH539" s="401"/>
      <c r="AI539" s="401"/>
      <c r="AJ539" s="401"/>
      <c r="AK539" s="385"/>
      <c r="AL539" s="439"/>
      <c r="AM539" s="389"/>
      <c r="AN539" s="521"/>
      <c r="AO539" s="402"/>
      <c r="AP539" s="402"/>
      <c r="AQ539" s="400"/>
      <c r="AR539" s="337">
        <v>15</v>
      </c>
      <c r="AS539" s="549">
        <v>15</v>
      </c>
      <c r="AT539" s="585">
        <v>13.26878</v>
      </c>
      <c r="AU539" s="401">
        <v>11.572290000000001</v>
      </c>
      <c r="AV539" s="401">
        <v>10.50962</v>
      </c>
      <c r="AW539" s="401"/>
      <c r="AX539" s="401"/>
      <c r="AY539" s="401">
        <v>0</v>
      </c>
      <c r="AZ539" s="401">
        <v>0</v>
      </c>
      <c r="BA539" s="401">
        <v>0.39550000000000002</v>
      </c>
      <c r="BB539" s="401">
        <v>10.50962</v>
      </c>
      <c r="BC539" s="401"/>
      <c r="BD539" s="385" t="s">
        <v>167</v>
      </c>
      <c r="BE539" s="439" t="s">
        <v>175</v>
      </c>
      <c r="BF539" s="389"/>
      <c r="BG539" s="521">
        <v>774</v>
      </c>
      <c r="BH539" s="402"/>
      <c r="BI539" s="402">
        <f t="shared" si="288"/>
        <v>0.88458533333333333</v>
      </c>
    </row>
    <row r="540" spans="1:61" s="359" customFormat="1" ht="19.2" x14ac:dyDescent="0.3">
      <c r="A540" s="360" t="s">
        <v>1126</v>
      </c>
      <c r="B540" s="579" t="s">
        <v>1005</v>
      </c>
      <c r="C540" s="433" t="s">
        <v>884</v>
      </c>
      <c r="D540" s="361">
        <v>0.4</v>
      </c>
      <c r="E540" s="400"/>
      <c r="F540" s="404"/>
      <c r="G540" s="400"/>
      <c r="H540" s="382"/>
      <c r="I540" s="401"/>
      <c r="J540" s="401"/>
      <c r="K540" s="401"/>
      <c r="L540" s="401"/>
      <c r="M540" s="401"/>
      <c r="N540" s="401"/>
      <c r="O540" s="401"/>
      <c r="P540" s="401"/>
      <c r="Q540" s="401"/>
      <c r="R540" s="389"/>
      <c r="S540" s="389"/>
      <c r="T540" s="389"/>
      <c r="U540" s="521"/>
      <c r="V540" s="402"/>
      <c r="W540" s="402"/>
      <c r="X540" s="400"/>
      <c r="Y540" s="550"/>
      <c r="Z540" s="549"/>
      <c r="AA540" s="586"/>
      <c r="AB540" s="401"/>
      <c r="AC540" s="401"/>
      <c r="AD540" s="401"/>
      <c r="AE540" s="401"/>
      <c r="AF540" s="401"/>
      <c r="AG540" s="401"/>
      <c r="AH540" s="401"/>
      <c r="AI540" s="401"/>
      <c r="AJ540" s="401"/>
      <c r="AK540" s="385"/>
      <c r="AL540" s="439"/>
      <c r="AM540" s="389"/>
      <c r="AN540" s="521"/>
      <c r="AO540" s="402"/>
      <c r="AP540" s="402"/>
      <c r="AQ540" s="400"/>
      <c r="AR540" s="337">
        <v>15</v>
      </c>
      <c r="AS540" s="549">
        <v>15</v>
      </c>
      <c r="AT540" s="585">
        <v>13.26877</v>
      </c>
      <c r="AU540" s="401">
        <v>11.53673</v>
      </c>
      <c r="AV540" s="401">
        <v>10.468299999999999</v>
      </c>
      <c r="AW540" s="401"/>
      <c r="AX540" s="401"/>
      <c r="AY540" s="401">
        <v>0</v>
      </c>
      <c r="AZ540" s="401">
        <v>0</v>
      </c>
      <c r="BA540" s="401">
        <v>0.39550000000000002</v>
      </c>
      <c r="BB540" s="401">
        <v>10.468299999999999</v>
      </c>
      <c r="BC540" s="401"/>
      <c r="BD540" s="385" t="s">
        <v>167</v>
      </c>
      <c r="BE540" s="439" t="s">
        <v>175</v>
      </c>
      <c r="BF540" s="389"/>
      <c r="BG540" s="521">
        <v>776</v>
      </c>
      <c r="BH540" s="402"/>
      <c r="BI540" s="402">
        <f t="shared" si="288"/>
        <v>0.88458466666666669</v>
      </c>
    </row>
    <row r="541" spans="1:61" s="359" customFormat="1" ht="19.2" x14ac:dyDescent="0.3">
      <c r="A541" s="360" t="s">
        <v>1127</v>
      </c>
      <c r="B541" s="579" t="s">
        <v>1006</v>
      </c>
      <c r="C541" s="433" t="s">
        <v>885</v>
      </c>
      <c r="D541" s="361">
        <v>0.4</v>
      </c>
      <c r="E541" s="400"/>
      <c r="F541" s="404"/>
      <c r="G541" s="400"/>
      <c r="H541" s="382"/>
      <c r="I541" s="401"/>
      <c r="J541" s="401"/>
      <c r="K541" s="401"/>
      <c r="L541" s="401"/>
      <c r="M541" s="401"/>
      <c r="N541" s="401"/>
      <c r="O541" s="401"/>
      <c r="P541" s="401"/>
      <c r="Q541" s="401"/>
      <c r="R541" s="389"/>
      <c r="S541" s="389"/>
      <c r="T541" s="389"/>
      <c r="U541" s="521"/>
      <c r="V541" s="402"/>
      <c r="W541" s="402"/>
      <c r="X541" s="400"/>
      <c r="Y541" s="550"/>
      <c r="Z541" s="549"/>
      <c r="AA541" s="586"/>
      <c r="AB541" s="401"/>
      <c r="AC541" s="401"/>
      <c r="AD541" s="401"/>
      <c r="AE541" s="401"/>
      <c r="AF541" s="401"/>
      <c r="AG541" s="401"/>
      <c r="AH541" s="401"/>
      <c r="AI541" s="401"/>
      <c r="AJ541" s="401"/>
      <c r="AK541" s="385"/>
      <c r="AL541" s="439"/>
      <c r="AM541" s="389"/>
      <c r="AN541" s="521"/>
      <c r="AO541" s="402"/>
      <c r="AP541" s="402"/>
      <c r="AQ541" s="400"/>
      <c r="AR541" s="337">
        <v>15</v>
      </c>
      <c r="AS541" s="549">
        <v>15</v>
      </c>
      <c r="AT541" s="585">
        <v>11.479710000000001</v>
      </c>
      <c r="AU541" s="401">
        <v>9.7832100000000004</v>
      </c>
      <c r="AV541" s="401">
        <v>8.54162</v>
      </c>
      <c r="AW541" s="401"/>
      <c r="AX541" s="401"/>
      <c r="AY541" s="401">
        <v>0</v>
      </c>
      <c r="AZ541" s="401">
        <v>0</v>
      </c>
      <c r="BA541" s="401">
        <v>0.39550000000000002</v>
      </c>
      <c r="BB541" s="401">
        <v>8.54162</v>
      </c>
      <c r="BC541" s="401"/>
      <c r="BD541" s="385" t="s">
        <v>167</v>
      </c>
      <c r="BE541" s="439" t="s">
        <v>175</v>
      </c>
      <c r="BF541" s="389"/>
      <c r="BG541" s="521">
        <v>778</v>
      </c>
      <c r="BH541" s="402"/>
      <c r="BI541" s="402">
        <f t="shared" si="288"/>
        <v>0.76531400000000005</v>
      </c>
    </row>
    <row r="542" spans="1:61" s="359" customFormat="1" ht="19.2" x14ac:dyDescent="0.3">
      <c r="A542" s="360" t="s">
        <v>1128</v>
      </c>
      <c r="B542" s="579" t="s">
        <v>1007</v>
      </c>
      <c r="C542" s="433" t="s">
        <v>886</v>
      </c>
      <c r="D542" s="361">
        <v>0.4</v>
      </c>
      <c r="E542" s="400"/>
      <c r="F542" s="404"/>
      <c r="G542" s="400"/>
      <c r="H542" s="382"/>
      <c r="I542" s="401"/>
      <c r="J542" s="401"/>
      <c r="K542" s="401"/>
      <c r="L542" s="401"/>
      <c r="M542" s="401"/>
      <c r="N542" s="401"/>
      <c r="O542" s="401"/>
      <c r="P542" s="401"/>
      <c r="Q542" s="401"/>
      <c r="R542" s="389"/>
      <c r="S542" s="389"/>
      <c r="T542" s="389"/>
      <c r="U542" s="521"/>
      <c r="V542" s="402"/>
      <c r="W542" s="402"/>
      <c r="X542" s="400"/>
      <c r="Y542" s="550"/>
      <c r="Z542" s="549"/>
      <c r="AA542" s="586"/>
      <c r="AB542" s="401"/>
      <c r="AC542" s="401"/>
      <c r="AD542" s="401"/>
      <c r="AE542" s="401"/>
      <c r="AF542" s="401"/>
      <c r="AG542" s="401"/>
      <c r="AH542" s="401"/>
      <c r="AI542" s="401"/>
      <c r="AJ542" s="401"/>
      <c r="AK542" s="385"/>
      <c r="AL542" s="439"/>
      <c r="AM542" s="389"/>
      <c r="AN542" s="521"/>
      <c r="AO542" s="402"/>
      <c r="AP542" s="402"/>
      <c r="AQ542" s="400"/>
      <c r="AR542" s="337">
        <v>15</v>
      </c>
      <c r="AS542" s="549">
        <v>15</v>
      </c>
      <c r="AT542" s="585">
        <v>11.243270000000001</v>
      </c>
      <c r="AU542" s="401">
        <v>9.54678</v>
      </c>
      <c r="AV542" s="401">
        <v>8.5416399999999992</v>
      </c>
      <c r="AW542" s="401"/>
      <c r="AX542" s="401"/>
      <c r="AY542" s="401">
        <v>0</v>
      </c>
      <c r="AZ542" s="401">
        <v>0</v>
      </c>
      <c r="BA542" s="401">
        <v>0.39550000000000002</v>
      </c>
      <c r="BB542" s="401">
        <v>8.5416399999999992</v>
      </c>
      <c r="BC542" s="401"/>
      <c r="BD542" s="385" t="s">
        <v>167</v>
      </c>
      <c r="BE542" s="439" t="s">
        <v>175</v>
      </c>
      <c r="BF542" s="389"/>
      <c r="BG542" s="521">
        <v>780</v>
      </c>
      <c r="BH542" s="402"/>
      <c r="BI542" s="402">
        <f t="shared" si="288"/>
        <v>0.74955133333333335</v>
      </c>
    </row>
    <row r="543" spans="1:61" s="359" customFormat="1" ht="19.2" x14ac:dyDescent="0.3">
      <c r="A543" s="360" t="s">
        <v>1129</v>
      </c>
      <c r="B543" s="579" t="s">
        <v>1008</v>
      </c>
      <c r="C543" s="433" t="s">
        <v>887</v>
      </c>
      <c r="D543" s="361">
        <v>0.4</v>
      </c>
      <c r="E543" s="400"/>
      <c r="F543" s="404"/>
      <c r="G543" s="400"/>
      <c r="H543" s="382"/>
      <c r="I543" s="401"/>
      <c r="J543" s="401"/>
      <c r="K543" s="401"/>
      <c r="L543" s="401"/>
      <c r="M543" s="401"/>
      <c r="N543" s="401"/>
      <c r="O543" s="401"/>
      <c r="P543" s="401"/>
      <c r="Q543" s="401"/>
      <c r="R543" s="389"/>
      <c r="S543" s="389"/>
      <c r="T543" s="389"/>
      <c r="U543" s="521"/>
      <c r="V543" s="402"/>
      <c r="W543" s="402"/>
      <c r="X543" s="400"/>
      <c r="Y543" s="550"/>
      <c r="Z543" s="549"/>
      <c r="AA543" s="586"/>
      <c r="AB543" s="401"/>
      <c r="AC543" s="401"/>
      <c r="AD543" s="401"/>
      <c r="AE543" s="401"/>
      <c r="AF543" s="401"/>
      <c r="AG543" s="401"/>
      <c r="AH543" s="401"/>
      <c r="AI543" s="401"/>
      <c r="AJ543" s="401"/>
      <c r="AK543" s="385"/>
      <c r="AL543" s="439"/>
      <c r="AM543" s="389"/>
      <c r="AN543" s="521"/>
      <c r="AO543" s="402"/>
      <c r="AP543" s="402"/>
      <c r="AQ543" s="400"/>
      <c r="AR543" s="337">
        <v>15</v>
      </c>
      <c r="AS543" s="549">
        <v>15</v>
      </c>
      <c r="AT543" s="585">
        <v>11.479710000000001</v>
      </c>
      <c r="AU543" s="401">
        <v>9.7832100000000004</v>
      </c>
      <c r="AV543" s="401">
        <v>8.54162</v>
      </c>
      <c r="AW543" s="401"/>
      <c r="AX543" s="401"/>
      <c r="AY543" s="401">
        <v>0</v>
      </c>
      <c r="AZ543" s="401">
        <v>0</v>
      </c>
      <c r="BA543" s="401">
        <v>0.39550000000000002</v>
      </c>
      <c r="BB543" s="401">
        <v>8.54162</v>
      </c>
      <c r="BC543" s="401"/>
      <c r="BD543" s="385" t="s">
        <v>167</v>
      </c>
      <c r="BE543" s="439" t="s">
        <v>175</v>
      </c>
      <c r="BF543" s="389"/>
      <c r="BG543" s="521">
        <v>782</v>
      </c>
      <c r="BH543" s="402"/>
      <c r="BI543" s="402">
        <f t="shared" si="288"/>
        <v>0.76531400000000005</v>
      </c>
    </row>
    <row r="544" spans="1:61" s="359" customFormat="1" ht="19.2" x14ac:dyDescent="0.3">
      <c r="A544" s="360" t="s">
        <v>1130</v>
      </c>
      <c r="B544" s="579" t="s">
        <v>1009</v>
      </c>
      <c r="C544" s="433" t="s">
        <v>888</v>
      </c>
      <c r="D544" s="361">
        <v>0.4</v>
      </c>
      <c r="E544" s="400"/>
      <c r="F544" s="404"/>
      <c r="G544" s="400"/>
      <c r="H544" s="382"/>
      <c r="I544" s="401"/>
      <c r="J544" s="401"/>
      <c r="K544" s="401"/>
      <c r="L544" s="401"/>
      <c r="M544" s="401"/>
      <c r="N544" s="401"/>
      <c r="O544" s="401"/>
      <c r="P544" s="401"/>
      <c r="Q544" s="401"/>
      <c r="R544" s="389"/>
      <c r="S544" s="389"/>
      <c r="T544" s="389"/>
      <c r="U544" s="521"/>
      <c r="V544" s="402"/>
      <c r="W544" s="402"/>
      <c r="X544" s="400"/>
      <c r="Y544" s="550"/>
      <c r="Z544" s="549"/>
      <c r="AA544" s="586"/>
      <c r="AB544" s="401"/>
      <c r="AC544" s="401"/>
      <c r="AD544" s="401"/>
      <c r="AE544" s="401"/>
      <c r="AF544" s="401"/>
      <c r="AG544" s="401"/>
      <c r="AH544" s="401"/>
      <c r="AI544" s="401"/>
      <c r="AJ544" s="401"/>
      <c r="AK544" s="385"/>
      <c r="AL544" s="439"/>
      <c r="AM544" s="389"/>
      <c r="AN544" s="521"/>
      <c r="AO544" s="402"/>
      <c r="AP544" s="402"/>
      <c r="AQ544" s="400"/>
      <c r="AR544" s="337">
        <v>15</v>
      </c>
      <c r="AS544" s="549">
        <v>15</v>
      </c>
      <c r="AT544" s="585">
        <v>11.30655</v>
      </c>
      <c r="AU544" s="401">
        <v>9.6100499999999993</v>
      </c>
      <c r="AV544" s="401">
        <v>8.54162</v>
      </c>
      <c r="AW544" s="401"/>
      <c r="AX544" s="401"/>
      <c r="AY544" s="401">
        <v>0</v>
      </c>
      <c r="AZ544" s="401">
        <v>0</v>
      </c>
      <c r="BA544" s="401">
        <v>0.39550000000000002</v>
      </c>
      <c r="BB544" s="401">
        <v>8.54162</v>
      </c>
      <c r="BC544" s="401"/>
      <c r="BD544" s="385" t="s">
        <v>167</v>
      </c>
      <c r="BE544" s="439" t="s">
        <v>175</v>
      </c>
      <c r="BF544" s="389"/>
      <c r="BG544" s="521">
        <v>784</v>
      </c>
      <c r="BH544" s="402"/>
      <c r="BI544" s="402">
        <f t="shared" si="288"/>
        <v>0.75376999999999994</v>
      </c>
    </row>
    <row r="545" spans="1:61" s="359" customFormat="1" ht="19.2" x14ac:dyDescent="0.3">
      <c r="A545" s="360" t="s">
        <v>1131</v>
      </c>
      <c r="B545" s="579" t="s">
        <v>1010</v>
      </c>
      <c r="C545" s="433" t="s">
        <v>889</v>
      </c>
      <c r="D545" s="361">
        <v>0.4</v>
      </c>
      <c r="E545" s="400"/>
      <c r="F545" s="404"/>
      <c r="G545" s="400"/>
      <c r="H545" s="382"/>
      <c r="I545" s="401"/>
      <c r="J545" s="401"/>
      <c r="K545" s="401"/>
      <c r="L545" s="401"/>
      <c r="M545" s="401"/>
      <c r="N545" s="401"/>
      <c r="O545" s="401"/>
      <c r="P545" s="401"/>
      <c r="Q545" s="401"/>
      <c r="R545" s="389"/>
      <c r="S545" s="389"/>
      <c r="T545" s="389"/>
      <c r="U545" s="521"/>
      <c r="V545" s="402"/>
      <c r="W545" s="402"/>
      <c r="X545" s="400"/>
      <c r="Y545" s="550"/>
      <c r="Z545" s="549"/>
      <c r="AA545" s="586"/>
      <c r="AB545" s="401"/>
      <c r="AC545" s="401"/>
      <c r="AD545" s="401"/>
      <c r="AE545" s="401"/>
      <c r="AF545" s="401"/>
      <c r="AG545" s="401"/>
      <c r="AH545" s="401"/>
      <c r="AI545" s="401"/>
      <c r="AJ545" s="401"/>
      <c r="AK545" s="385"/>
      <c r="AL545" s="439"/>
      <c r="AM545" s="389"/>
      <c r="AN545" s="521"/>
      <c r="AO545" s="402"/>
      <c r="AP545" s="402"/>
      <c r="AQ545" s="400"/>
      <c r="AR545" s="337">
        <v>15</v>
      </c>
      <c r="AS545" s="549">
        <v>15</v>
      </c>
      <c r="AT545" s="585">
        <v>11.479710000000001</v>
      </c>
      <c r="AU545" s="401">
        <v>9.7832100000000004</v>
      </c>
      <c r="AV545" s="401">
        <v>8.54162</v>
      </c>
      <c r="AW545" s="401"/>
      <c r="AX545" s="401"/>
      <c r="AY545" s="401">
        <v>0</v>
      </c>
      <c r="AZ545" s="401">
        <v>0</v>
      </c>
      <c r="BA545" s="401">
        <v>0.39550000000000002</v>
      </c>
      <c r="BB545" s="401">
        <v>8.54162</v>
      </c>
      <c r="BC545" s="401"/>
      <c r="BD545" s="385" t="s">
        <v>167</v>
      </c>
      <c r="BE545" s="439" t="s">
        <v>175</v>
      </c>
      <c r="BF545" s="389"/>
      <c r="BG545" s="521">
        <v>786</v>
      </c>
      <c r="BH545" s="402"/>
      <c r="BI545" s="402">
        <f t="shared" si="288"/>
        <v>0.76531400000000005</v>
      </c>
    </row>
    <row r="546" spans="1:61" s="359" customFormat="1" ht="19.2" x14ac:dyDescent="0.3">
      <c r="A546" s="360" t="s">
        <v>1132</v>
      </c>
      <c r="B546" s="579" t="s">
        <v>1011</v>
      </c>
      <c r="C546" s="433" t="s">
        <v>890</v>
      </c>
      <c r="D546" s="361">
        <v>0.4</v>
      </c>
      <c r="E546" s="400"/>
      <c r="F546" s="404"/>
      <c r="G546" s="400"/>
      <c r="H546" s="382"/>
      <c r="I546" s="401"/>
      <c r="J546" s="401"/>
      <c r="K546" s="401"/>
      <c r="L546" s="401"/>
      <c r="M546" s="401"/>
      <c r="N546" s="401"/>
      <c r="O546" s="401"/>
      <c r="P546" s="401"/>
      <c r="Q546" s="401"/>
      <c r="R546" s="389"/>
      <c r="S546" s="389"/>
      <c r="T546" s="389"/>
      <c r="U546" s="521"/>
      <c r="V546" s="402"/>
      <c r="W546" s="402"/>
      <c r="X546" s="400"/>
      <c r="Y546" s="550"/>
      <c r="Z546" s="549"/>
      <c r="AA546" s="586"/>
      <c r="AB546" s="401"/>
      <c r="AC546" s="401"/>
      <c r="AD546" s="401"/>
      <c r="AE546" s="401"/>
      <c r="AF546" s="401"/>
      <c r="AG546" s="401"/>
      <c r="AH546" s="401"/>
      <c r="AI546" s="401"/>
      <c r="AJ546" s="401"/>
      <c r="AK546" s="385"/>
      <c r="AL546" s="439"/>
      <c r="AM546" s="389"/>
      <c r="AN546" s="521"/>
      <c r="AO546" s="402"/>
      <c r="AP546" s="402"/>
      <c r="AQ546" s="400"/>
      <c r="AR546" s="337">
        <v>15</v>
      </c>
      <c r="AS546" s="549">
        <v>15</v>
      </c>
      <c r="AT546" s="585">
        <v>13.26877</v>
      </c>
      <c r="AU546" s="401">
        <v>11.53673</v>
      </c>
      <c r="AV546" s="401">
        <v>10.468299999999999</v>
      </c>
      <c r="AW546" s="401"/>
      <c r="AX546" s="401"/>
      <c r="AY546" s="401">
        <v>0</v>
      </c>
      <c r="AZ546" s="401">
        <v>0</v>
      </c>
      <c r="BA546" s="401">
        <v>0.39550000000000002</v>
      </c>
      <c r="BB546" s="401">
        <v>10.468299999999999</v>
      </c>
      <c r="BC546" s="401"/>
      <c r="BD546" s="385" t="s">
        <v>167</v>
      </c>
      <c r="BE546" s="439" t="s">
        <v>175</v>
      </c>
      <c r="BF546" s="389"/>
      <c r="BG546" s="521">
        <v>788</v>
      </c>
      <c r="BH546" s="402"/>
      <c r="BI546" s="402">
        <f t="shared" si="288"/>
        <v>0.88458466666666669</v>
      </c>
    </row>
    <row r="547" spans="1:61" s="359" customFormat="1" ht="19.2" x14ac:dyDescent="0.3">
      <c r="A547" s="360" t="s">
        <v>1133</v>
      </c>
      <c r="B547" s="579" t="s">
        <v>1013</v>
      </c>
      <c r="C547" s="433" t="s">
        <v>892</v>
      </c>
      <c r="D547" s="361">
        <v>0.4</v>
      </c>
      <c r="E547" s="400"/>
      <c r="F547" s="404"/>
      <c r="G547" s="400"/>
      <c r="H547" s="382"/>
      <c r="I547" s="401"/>
      <c r="J547" s="401"/>
      <c r="K547" s="401"/>
      <c r="L547" s="401"/>
      <c r="M547" s="401"/>
      <c r="N547" s="401"/>
      <c r="O547" s="401"/>
      <c r="P547" s="401"/>
      <c r="Q547" s="401"/>
      <c r="R547" s="389"/>
      <c r="S547" s="389"/>
      <c r="T547" s="389"/>
      <c r="U547" s="521"/>
      <c r="V547" s="402"/>
      <c r="W547" s="402"/>
      <c r="X547" s="400"/>
      <c r="Y547" s="550"/>
      <c r="Z547" s="549"/>
      <c r="AA547" s="586"/>
      <c r="AB547" s="401"/>
      <c r="AC547" s="401"/>
      <c r="AD547" s="401"/>
      <c r="AE547" s="401"/>
      <c r="AF547" s="401"/>
      <c r="AG547" s="401"/>
      <c r="AH547" s="401"/>
      <c r="AI547" s="401"/>
      <c r="AJ547" s="401"/>
      <c r="AK547" s="385"/>
      <c r="AL547" s="439"/>
      <c r="AM547" s="389"/>
      <c r="AN547" s="521"/>
      <c r="AO547" s="402"/>
      <c r="AP547" s="402"/>
      <c r="AQ547" s="400"/>
      <c r="AR547" s="337">
        <v>15</v>
      </c>
      <c r="AS547" s="549">
        <v>15</v>
      </c>
      <c r="AT547" s="585">
        <v>12.32178</v>
      </c>
      <c r="AU547" s="401">
        <v>10.62529</v>
      </c>
      <c r="AV547" s="401">
        <v>8.8377800000000004</v>
      </c>
      <c r="AW547" s="401"/>
      <c r="AX547" s="401"/>
      <c r="AY547" s="401">
        <v>0</v>
      </c>
      <c r="AZ547" s="401">
        <v>0</v>
      </c>
      <c r="BA547" s="401">
        <v>0.39550000000000002</v>
      </c>
      <c r="BB547" s="401">
        <v>8.8377800000000004</v>
      </c>
      <c r="BC547" s="401"/>
      <c r="BD547" s="385" t="s">
        <v>167</v>
      </c>
      <c r="BE547" s="439" t="s">
        <v>175</v>
      </c>
      <c r="BF547" s="389"/>
      <c r="BG547" s="521">
        <v>790</v>
      </c>
      <c r="BH547" s="402"/>
      <c r="BI547" s="402">
        <f t="shared" si="288"/>
        <v>0.82145200000000007</v>
      </c>
    </row>
    <row r="548" spans="1:61" s="359" customFormat="1" ht="19.2" x14ac:dyDescent="0.3">
      <c r="A548" s="360" t="s">
        <v>1134</v>
      </c>
      <c r="B548" s="579" t="s">
        <v>1015</v>
      </c>
      <c r="C548" s="433" t="s">
        <v>894</v>
      </c>
      <c r="D548" s="361">
        <v>0.4</v>
      </c>
      <c r="E548" s="400"/>
      <c r="F548" s="404"/>
      <c r="G548" s="400"/>
      <c r="H548" s="382"/>
      <c r="I548" s="401"/>
      <c r="J548" s="401"/>
      <c r="K548" s="401"/>
      <c r="L548" s="401"/>
      <c r="M548" s="401"/>
      <c r="N548" s="401"/>
      <c r="O548" s="401"/>
      <c r="P548" s="401"/>
      <c r="Q548" s="401"/>
      <c r="R548" s="389"/>
      <c r="S548" s="389"/>
      <c r="T548" s="389"/>
      <c r="U548" s="521"/>
      <c r="V548" s="402"/>
      <c r="W548" s="402"/>
      <c r="X548" s="400"/>
      <c r="Y548" s="550"/>
      <c r="Z548" s="549"/>
      <c r="AA548" s="586"/>
      <c r="AB548" s="401"/>
      <c r="AC548" s="401"/>
      <c r="AD548" s="401"/>
      <c r="AE548" s="401"/>
      <c r="AF548" s="401"/>
      <c r="AG548" s="401"/>
      <c r="AH548" s="401"/>
      <c r="AI548" s="401"/>
      <c r="AJ548" s="401"/>
      <c r="AK548" s="385"/>
      <c r="AL548" s="439"/>
      <c r="AM548" s="389"/>
      <c r="AN548" s="521"/>
      <c r="AO548" s="402"/>
      <c r="AP548" s="402"/>
      <c r="AQ548" s="400"/>
      <c r="AR548" s="337">
        <v>15</v>
      </c>
      <c r="AS548" s="549">
        <v>15</v>
      </c>
      <c r="AT548" s="585">
        <v>13.26877</v>
      </c>
      <c r="AU548" s="401">
        <v>11.53673</v>
      </c>
      <c r="AV548" s="401">
        <v>10.468299999999999</v>
      </c>
      <c r="AW548" s="401"/>
      <c r="AX548" s="401"/>
      <c r="AY548" s="401">
        <v>0</v>
      </c>
      <c r="AZ548" s="401">
        <v>0</v>
      </c>
      <c r="BA548" s="401">
        <v>0.39550000000000002</v>
      </c>
      <c r="BB548" s="401">
        <v>10.468299999999999</v>
      </c>
      <c r="BC548" s="401"/>
      <c r="BD548" s="385" t="s">
        <v>167</v>
      </c>
      <c r="BE548" s="439" t="s">
        <v>175</v>
      </c>
      <c r="BF548" s="389"/>
      <c r="BG548" s="521">
        <v>792</v>
      </c>
      <c r="BH548" s="402"/>
      <c r="BI548" s="402">
        <f t="shared" si="288"/>
        <v>0.88458466666666669</v>
      </c>
    </row>
    <row r="549" spans="1:61" s="359" customFormat="1" ht="19.2" x14ac:dyDescent="0.3">
      <c r="A549" s="360" t="s">
        <v>1135</v>
      </c>
      <c r="B549" s="579" t="s">
        <v>1016</v>
      </c>
      <c r="C549" s="433" t="s">
        <v>895</v>
      </c>
      <c r="D549" s="361">
        <v>0.4</v>
      </c>
      <c r="E549" s="400"/>
      <c r="F549" s="404"/>
      <c r="G549" s="400"/>
      <c r="H549" s="382"/>
      <c r="I549" s="401"/>
      <c r="J549" s="401"/>
      <c r="K549" s="401"/>
      <c r="L549" s="401"/>
      <c r="M549" s="401"/>
      <c r="N549" s="401"/>
      <c r="O549" s="401"/>
      <c r="P549" s="401"/>
      <c r="Q549" s="401"/>
      <c r="R549" s="389"/>
      <c r="S549" s="389"/>
      <c r="T549" s="389"/>
      <c r="U549" s="521"/>
      <c r="V549" s="402"/>
      <c r="W549" s="402"/>
      <c r="X549" s="400"/>
      <c r="Y549" s="550"/>
      <c r="Z549" s="549"/>
      <c r="AA549" s="586"/>
      <c r="AB549" s="401"/>
      <c r="AC549" s="401"/>
      <c r="AD549" s="401"/>
      <c r="AE549" s="401"/>
      <c r="AF549" s="401"/>
      <c r="AG549" s="401"/>
      <c r="AH549" s="401"/>
      <c r="AI549" s="401"/>
      <c r="AJ549" s="401"/>
      <c r="AK549" s="385"/>
      <c r="AL549" s="439"/>
      <c r="AM549" s="389"/>
      <c r="AN549" s="521"/>
      <c r="AO549" s="402"/>
      <c r="AP549" s="402"/>
      <c r="AQ549" s="400"/>
      <c r="AR549" s="337">
        <v>15</v>
      </c>
      <c r="AS549" s="549">
        <v>15</v>
      </c>
      <c r="AT549" s="585">
        <v>13.268890000000001</v>
      </c>
      <c r="AU549" s="401">
        <v>11.53673</v>
      </c>
      <c r="AV549" s="401">
        <v>10.46828</v>
      </c>
      <c r="AW549" s="401"/>
      <c r="AX549" s="401"/>
      <c r="AY549" s="401">
        <v>0</v>
      </c>
      <c r="AZ549" s="401">
        <v>0</v>
      </c>
      <c r="BA549" s="401">
        <v>0.39550000000000002</v>
      </c>
      <c r="BB549" s="401">
        <v>10.46828</v>
      </c>
      <c r="BC549" s="401"/>
      <c r="BD549" s="385" t="s">
        <v>167</v>
      </c>
      <c r="BE549" s="439" t="s">
        <v>175</v>
      </c>
      <c r="BF549" s="389"/>
      <c r="BG549" s="521">
        <v>794</v>
      </c>
      <c r="BH549" s="402"/>
      <c r="BI549" s="402">
        <f t="shared" si="288"/>
        <v>0.88459266666666669</v>
      </c>
    </row>
    <row r="550" spans="1:61" s="359" customFormat="1" ht="19.2" x14ac:dyDescent="0.3">
      <c r="A550" s="360" t="s">
        <v>1136</v>
      </c>
      <c r="B550" s="579" t="s">
        <v>1017</v>
      </c>
      <c r="C550" s="433" t="s">
        <v>896</v>
      </c>
      <c r="D550" s="361">
        <v>0.4</v>
      </c>
      <c r="E550" s="400"/>
      <c r="F550" s="404"/>
      <c r="G550" s="400"/>
      <c r="H550" s="382"/>
      <c r="I550" s="401"/>
      <c r="J550" s="401"/>
      <c r="K550" s="401"/>
      <c r="L550" s="401"/>
      <c r="M550" s="401"/>
      <c r="N550" s="401"/>
      <c r="O550" s="401"/>
      <c r="P550" s="401"/>
      <c r="Q550" s="401"/>
      <c r="R550" s="389"/>
      <c r="S550" s="389"/>
      <c r="T550" s="389"/>
      <c r="U550" s="521"/>
      <c r="V550" s="402"/>
      <c r="W550" s="402"/>
      <c r="X550" s="400"/>
      <c r="Y550" s="550"/>
      <c r="Z550" s="549"/>
      <c r="AA550" s="586"/>
      <c r="AB550" s="401"/>
      <c r="AC550" s="401"/>
      <c r="AD550" s="401"/>
      <c r="AE550" s="401"/>
      <c r="AF550" s="401"/>
      <c r="AG550" s="401"/>
      <c r="AH550" s="401"/>
      <c r="AI550" s="401"/>
      <c r="AJ550" s="401"/>
      <c r="AK550" s="385"/>
      <c r="AL550" s="439"/>
      <c r="AM550" s="389"/>
      <c r="AN550" s="521"/>
      <c r="AO550" s="402"/>
      <c r="AP550" s="402"/>
      <c r="AQ550" s="400"/>
      <c r="AR550" s="337">
        <v>15</v>
      </c>
      <c r="AS550" s="549">
        <v>15</v>
      </c>
      <c r="AT550" s="585">
        <v>13.268890000000001</v>
      </c>
      <c r="AU550" s="401">
        <v>11.53673</v>
      </c>
      <c r="AV550" s="401">
        <v>10.46828</v>
      </c>
      <c r="AW550" s="401"/>
      <c r="AX550" s="401"/>
      <c r="AY550" s="401">
        <v>0</v>
      </c>
      <c r="AZ550" s="401">
        <v>0</v>
      </c>
      <c r="BA550" s="401">
        <v>0.39550000000000002</v>
      </c>
      <c r="BB550" s="401">
        <v>10.46828</v>
      </c>
      <c r="BC550" s="401"/>
      <c r="BD550" s="385" t="s">
        <v>167</v>
      </c>
      <c r="BE550" s="439" t="s">
        <v>175</v>
      </c>
      <c r="BF550" s="389"/>
      <c r="BG550" s="521">
        <v>796</v>
      </c>
      <c r="BH550" s="402"/>
      <c r="BI550" s="402">
        <f t="shared" si="288"/>
        <v>0.88459266666666669</v>
      </c>
    </row>
    <row r="551" spans="1:61" s="359" customFormat="1" ht="19.2" x14ac:dyDescent="0.3">
      <c r="A551" s="360" t="s">
        <v>1137</v>
      </c>
      <c r="B551" s="579" t="s">
        <v>1018</v>
      </c>
      <c r="C551" s="433" t="s">
        <v>897</v>
      </c>
      <c r="D551" s="361">
        <v>0.4</v>
      </c>
      <c r="E551" s="400"/>
      <c r="F551" s="404"/>
      <c r="G551" s="400"/>
      <c r="H551" s="382"/>
      <c r="I551" s="401"/>
      <c r="J551" s="401"/>
      <c r="K551" s="401"/>
      <c r="L551" s="401"/>
      <c r="M551" s="401"/>
      <c r="N551" s="401"/>
      <c r="O551" s="401"/>
      <c r="P551" s="401"/>
      <c r="Q551" s="401"/>
      <c r="R551" s="389"/>
      <c r="S551" s="389"/>
      <c r="T551" s="389"/>
      <c r="U551" s="521"/>
      <c r="V551" s="402"/>
      <c r="W551" s="402"/>
      <c r="X551" s="400"/>
      <c r="Y551" s="550"/>
      <c r="Z551" s="549"/>
      <c r="AA551" s="586"/>
      <c r="AB551" s="401"/>
      <c r="AC551" s="401"/>
      <c r="AD551" s="401"/>
      <c r="AE551" s="401"/>
      <c r="AF551" s="401"/>
      <c r="AG551" s="401"/>
      <c r="AH551" s="401"/>
      <c r="AI551" s="401"/>
      <c r="AJ551" s="401"/>
      <c r="AK551" s="385"/>
      <c r="AL551" s="439"/>
      <c r="AM551" s="389"/>
      <c r="AN551" s="521"/>
      <c r="AO551" s="402"/>
      <c r="AP551" s="402"/>
      <c r="AQ551" s="400"/>
      <c r="AR551" s="337">
        <v>15</v>
      </c>
      <c r="AS551" s="549">
        <v>15</v>
      </c>
      <c r="AT551" s="585">
        <v>13.26878</v>
      </c>
      <c r="AU551" s="401">
        <v>11.572290000000001</v>
      </c>
      <c r="AV551" s="401">
        <v>10.50962</v>
      </c>
      <c r="AW551" s="401"/>
      <c r="AX551" s="401"/>
      <c r="AY551" s="401">
        <v>0</v>
      </c>
      <c r="AZ551" s="401">
        <v>0</v>
      </c>
      <c r="BA551" s="401">
        <v>0.39550000000000002</v>
      </c>
      <c r="BB551" s="401">
        <v>10.50962</v>
      </c>
      <c r="BC551" s="401"/>
      <c r="BD551" s="385" t="s">
        <v>167</v>
      </c>
      <c r="BE551" s="439" t="s">
        <v>175</v>
      </c>
      <c r="BF551" s="389"/>
      <c r="BG551" s="521">
        <v>798</v>
      </c>
      <c r="BH551" s="402"/>
      <c r="BI551" s="402">
        <f t="shared" si="288"/>
        <v>0.88458533333333333</v>
      </c>
    </row>
    <row r="552" spans="1:61" s="359" customFormat="1" ht="19.2" x14ac:dyDescent="0.3">
      <c r="A552" s="360" t="s">
        <v>1138</v>
      </c>
      <c r="B552" s="579" t="s">
        <v>1019</v>
      </c>
      <c r="C552" s="433" t="s">
        <v>898</v>
      </c>
      <c r="D552" s="361">
        <v>0.4</v>
      </c>
      <c r="E552" s="400"/>
      <c r="F552" s="404"/>
      <c r="G552" s="400"/>
      <c r="H552" s="382"/>
      <c r="I552" s="401"/>
      <c r="J552" s="401"/>
      <c r="K552" s="401"/>
      <c r="L552" s="401"/>
      <c r="M552" s="401"/>
      <c r="N552" s="401"/>
      <c r="O552" s="401"/>
      <c r="P552" s="401"/>
      <c r="Q552" s="401"/>
      <c r="R552" s="389"/>
      <c r="S552" s="389"/>
      <c r="T552" s="389"/>
      <c r="U552" s="521"/>
      <c r="V552" s="402"/>
      <c r="W552" s="402"/>
      <c r="X552" s="400"/>
      <c r="Y552" s="550"/>
      <c r="Z552" s="549"/>
      <c r="AA552" s="586"/>
      <c r="AB552" s="401"/>
      <c r="AC552" s="401"/>
      <c r="AD552" s="401"/>
      <c r="AE552" s="401"/>
      <c r="AF552" s="401"/>
      <c r="AG552" s="401"/>
      <c r="AH552" s="401"/>
      <c r="AI552" s="401"/>
      <c r="AJ552" s="401"/>
      <c r="AK552" s="385"/>
      <c r="AL552" s="439"/>
      <c r="AM552" s="389"/>
      <c r="AN552" s="521"/>
      <c r="AO552" s="402"/>
      <c r="AP552" s="402"/>
      <c r="AQ552" s="400"/>
      <c r="AR552" s="337">
        <v>15</v>
      </c>
      <c r="AS552" s="549">
        <v>15</v>
      </c>
      <c r="AT552" s="585">
        <v>11.479710000000001</v>
      </c>
      <c r="AU552" s="401">
        <v>9.7832100000000004</v>
      </c>
      <c r="AV552" s="401">
        <v>8.54162</v>
      </c>
      <c r="AW552" s="401"/>
      <c r="AX552" s="401"/>
      <c r="AY552" s="401">
        <v>0</v>
      </c>
      <c r="AZ552" s="401">
        <v>0</v>
      </c>
      <c r="BA552" s="401">
        <v>0.39550000000000002</v>
      </c>
      <c r="BB552" s="401">
        <v>8.54162</v>
      </c>
      <c r="BC552" s="401"/>
      <c r="BD552" s="385" t="s">
        <v>167</v>
      </c>
      <c r="BE552" s="439" t="s">
        <v>175</v>
      </c>
      <c r="BF552" s="389"/>
      <c r="BG552" s="521">
        <v>800</v>
      </c>
      <c r="BH552" s="402"/>
      <c r="BI552" s="402">
        <f t="shared" si="288"/>
        <v>0.76531400000000005</v>
      </c>
    </row>
    <row r="553" spans="1:61" s="359" customFormat="1" ht="19.2" x14ac:dyDescent="0.3">
      <c r="A553" s="360" t="s">
        <v>1139</v>
      </c>
      <c r="B553" s="579" t="s">
        <v>1020</v>
      </c>
      <c r="C553" s="433" t="s">
        <v>899</v>
      </c>
      <c r="D553" s="361">
        <v>0.4</v>
      </c>
      <c r="E553" s="400"/>
      <c r="F553" s="404"/>
      <c r="G553" s="400"/>
      <c r="H553" s="382"/>
      <c r="I553" s="401"/>
      <c r="J553" s="401"/>
      <c r="K553" s="401"/>
      <c r="L553" s="401"/>
      <c r="M553" s="401"/>
      <c r="N553" s="401"/>
      <c r="O553" s="401"/>
      <c r="P553" s="401"/>
      <c r="Q553" s="401"/>
      <c r="R553" s="389"/>
      <c r="S553" s="389"/>
      <c r="T553" s="389"/>
      <c r="U553" s="521"/>
      <c r="V553" s="402"/>
      <c r="W553" s="402"/>
      <c r="X553" s="400"/>
      <c r="Y553" s="550"/>
      <c r="Z553" s="549"/>
      <c r="AA553" s="586"/>
      <c r="AB553" s="401"/>
      <c r="AC553" s="401"/>
      <c r="AD553" s="401"/>
      <c r="AE553" s="401"/>
      <c r="AF553" s="401"/>
      <c r="AG553" s="401"/>
      <c r="AH553" s="401"/>
      <c r="AI553" s="401"/>
      <c r="AJ553" s="401"/>
      <c r="AK553" s="385"/>
      <c r="AL553" s="439"/>
      <c r="AM553" s="389"/>
      <c r="AN553" s="521"/>
      <c r="AO553" s="402"/>
      <c r="AP553" s="402"/>
      <c r="AQ553" s="400"/>
      <c r="AR553" s="337">
        <v>15</v>
      </c>
      <c r="AS553" s="549">
        <v>15</v>
      </c>
      <c r="AT553" s="585">
        <v>13.26878</v>
      </c>
      <c r="AU553" s="401">
        <v>11.572290000000001</v>
      </c>
      <c r="AV553" s="401">
        <v>10.50962</v>
      </c>
      <c r="AW553" s="401"/>
      <c r="AX553" s="401"/>
      <c r="AY553" s="401">
        <v>0</v>
      </c>
      <c r="AZ553" s="401">
        <v>0</v>
      </c>
      <c r="BA553" s="401">
        <v>0.39550000000000002</v>
      </c>
      <c r="BB553" s="401">
        <v>10.50962</v>
      </c>
      <c r="BC553" s="401"/>
      <c r="BD553" s="385" t="s">
        <v>167</v>
      </c>
      <c r="BE553" s="439" t="s">
        <v>175</v>
      </c>
      <c r="BF553" s="389"/>
      <c r="BG553" s="521">
        <v>802</v>
      </c>
      <c r="BH553" s="402"/>
      <c r="BI553" s="402">
        <f t="shared" si="288"/>
        <v>0.88458533333333333</v>
      </c>
    </row>
    <row r="554" spans="1:61" s="359" customFormat="1" ht="19.2" x14ac:dyDescent="0.3">
      <c r="A554" s="360" t="s">
        <v>1140</v>
      </c>
      <c r="B554" s="579" t="s">
        <v>1021</v>
      </c>
      <c r="C554" s="433" t="s">
        <v>900</v>
      </c>
      <c r="D554" s="361">
        <v>0.4</v>
      </c>
      <c r="E554" s="400"/>
      <c r="F554" s="404"/>
      <c r="G554" s="400"/>
      <c r="H554" s="382"/>
      <c r="I554" s="401"/>
      <c r="J554" s="401"/>
      <c r="K554" s="401"/>
      <c r="L554" s="401"/>
      <c r="M554" s="401"/>
      <c r="N554" s="401"/>
      <c r="O554" s="401"/>
      <c r="P554" s="401"/>
      <c r="Q554" s="401"/>
      <c r="R554" s="389"/>
      <c r="S554" s="389"/>
      <c r="T554" s="389"/>
      <c r="U554" s="521"/>
      <c r="V554" s="402"/>
      <c r="W554" s="402"/>
      <c r="X554" s="400"/>
      <c r="Y554" s="550"/>
      <c r="Z554" s="549"/>
      <c r="AA554" s="586"/>
      <c r="AB554" s="401"/>
      <c r="AC554" s="401"/>
      <c r="AD554" s="401"/>
      <c r="AE554" s="401"/>
      <c r="AF554" s="401"/>
      <c r="AG554" s="401"/>
      <c r="AH554" s="401"/>
      <c r="AI554" s="401"/>
      <c r="AJ554" s="401"/>
      <c r="AK554" s="385"/>
      <c r="AL554" s="439"/>
      <c r="AM554" s="389"/>
      <c r="AN554" s="521"/>
      <c r="AO554" s="402"/>
      <c r="AP554" s="402"/>
      <c r="AQ554" s="400"/>
      <c r="AR554" s="337">
        <v>15</v>
      </c>
      <c r="AS554" s="549">
        <v>15</v>
      </c>
      <c r="AT554" s="585">
        <v>11.479710000000001</v>
      </c>
      <c r="AU554" s="401">
        <v>9.7832100000000004</v>
      </c>
      <c r="AV554" s="401">
        <v>8.54162</v>
      </c>
      <c r="AW554" s="401"/>
      <c r="AX554" s="401"/>
      <c r="AY554" s="401">
        <v>0</v>
      </c>
      <c r="AZ554" s="401">
        <v>0</v>
      </c>
      <c r="BA554" s="401">
        <v>0.39550000000000002</v>
      </c>
      <c r="BB554" s="401">
        <v>8.54162</v>
      </c>
      <c r="BC554" s="401"/>
      <c r="BD554" s="385" t="s">
        <v>167</v>
      </c>
      <c r="BE554" s="439" t="s">
        <v>175</v>
      </c>
      <c r="BF554" s="389"/>
      <c r="BG554" s="521">
        <v>804</v>
      </c>
      <c r="BH554" s="402"/>
      <c r="BI554" s="402">
        <f t="shared" si="288"/>
        <v>0.76531400000000005</v>
      </c>
    </row>
    <row r="555" spans="1:61" s="359" customFormat="1" ht="19.2" x14ac:dyDescent="0.3">
      <c r="A555" s="360" t="s">
        <v>1141</v>
      </c>
      <c r="B555" s="579" t="s">
        <v>1022</v>
      </c>
      <c r="C555" s="433" t="s">
        <v>901</v>
      </c>
      <c r="D555" s="361">
        <v>0.4</v>
      </c>
      <c r="E555" s="400"/>
      <c r="F555" s="404"/>
      <c r="G555" s="400"/>
      <c r="H555" s="382"/>
      <c r="I555" s="401"/>
      <c r="J555" s="401"/>
      <c r="K555" s="401"/>
      <c r="L555" s="401"/>
      <c r="M555" s="401"/>
      <c r="N555" s="401"/>
      <c r="O555" s="401"/>
      <c r="P555" s="401"/>
      <c r="Q555" s="401"/>
      <c r="R555" s="389"/>
      <c r="S555" s="389"/>
      <c r="T555" s="389"/>
      <c r="U555" s="521"/>
      <c r="V555" s="402"/>
      <c r="W555" s="402"/>
      <c r="X555" s="400"/>
      <c r="Y555" s="550"/>
      <c r="Z555" s="549"/>
      <c r="AA555" s="586"/>
      <c r="AB555" s="401"/>
      <c r="AC555" s="401"/>
      <c r="AD555" s="401"/>
      <c r="AE555" s="401"/>
      <c r="AF555" s="401"/>
      <c r="AG555" s="401"/>
      <c r="AH555" s="401"/>
      <c r="AI555" s="401"/>
      <c r="AJ555" s="401"/>
      <c r="AK555" s="385"/>
      <c r="AL555" s="439"/>
      <c r="AM555" s="389"/>
      <c r="AN555" s="521"/>
      <c r="AO555" s="402"/>
      <c r="AP555" s="402"/>
      <c r="AQ555" s="400"/>
      <c r="AR555" s="337">
        <v>50</v>
      </c>
      <c r="AS555" s="337">
        <v>50</v>
      </c>
      <c r="AT555" s="585">
        <v>13.26878</v>
      </c>
      <c r="AU555" s="401">
        <v>11.572290000000001</v>
      </c>
      <c r="AV555" s="401">
        <v>10.50962</v>
      </c>
      <c r="AW555" s="401"/>
      <c r="AX555" s="401"/>
      <c r="AY555" s="401">
        <v>0</v>
      </c>
      <c r="AZ555" s="401">
        <v>0</v>
      </c>
      <c r="BA555" s="401">
        <v>0.39550000000000002</v>
      </c>
      <c r="BB555" s="401">
        <v>10.50962</v>
      </c>
      <c r="BC555" s="401"/>
      <c r="BD555" s="385" t="s">
        <v>167</v>
      </c>
      <c r="BE555" s="439" t="s">
        <v>175</v>
      </c>
      <c r="BF555" s="389"/>
      <c r="BG555" s="521">
        <v>806</v>
      </c>
      <c r="BH555" s="402"/>
      <c r="BI555" s="402">
        <f t="shared" si="288"/>
        <v>0.26537559999999999</v>
      </c>
    </row>
    <row r="556" spans="1:61" s="359" customFormat="1" ht="19.2" x14ac:dyDescent="0.3">
      <c r="A556" s="360" t="s">
        <v>1142</v>
      </c>
      <c r="B556" s="579" t="s">
        <v>1023</v>
      </c>
      <c r="C556" s="433" t="s">
        <v>902</v>
      </c>
      <c r="D556" s="361">
        <v>0.4</v>
      </c>
      <c r="E556" s="400"/>
      <c r="F556" s="404"/>
      <c r="G556" s="400"/>
      <c r="H556" s="382"/>
      <c r="I556" s="401"/>
      <c r="J556" s="401"/>
      <c r="K556" s="401"/>
      <c r="L556" s="401"/>
      <c r="M556" s="401"/>
      <c r="N556" s="401"/>
      <c r="O556" s="401"/>
      <c r="P556" s="401"/>
      <c r="Q556" s="401"/>
      <c r="R556" s="389"/>
      <c r="S556" s="389"/>
      <c r="T556" s="389"/>
      <c r="U556" s="521"/>
      <c r="V556" s="402"/>
      <c r="W556" s="402"/>
      <c r="X556" s="400"/>
      <c r="Y556" s="550"/>
      <c r="Z556" s="549"/>
      <c r="AA556" s="586"/>
      <c r="AB556" s="401"/>
      <c r="AC556" s="401"/>
      <c r="AD556" s="401"/>
      <c r="AE556" s="401"/>
      <c r="AF556" s="401"/>
      <c r="AG556" s="401"/>
      <c r="AH556" s="401"/>
      <c r="AI556" s="401"/>
      <c r="AJ556" s="401"/>
      <c r="AK556" s="385"/>
      <c r="AL556" s="439"/>
      <c r="AM556" s="389"/>
      <c r="AN556" s="521"/>
      <c r="AO556" s="402"/>
      <c r="AP556" s="402"/>
      <c r="AQ556" s="400"/>
      <c r="AR556" s="337">
        <v>15</v>
      </c>
      <c r="AS556" s="549">
        <v>15</v>
      </c>
      <c r="AT556" s="585">
        <v>11.479710000000001</v>
      </c>
      <c r="AU556" s="401">
        <v>9.7832100000000004</v>
      </c>
      <c r="AV556" s="401">
        <v>8.54162</v>
      </c>
      <c r="AW556" s="401"/>
      <c r="AX556" s="401"/>
      <c r="AY556" s="401">
        <v>0</v>
      </c>
      <c r="AZ556" s="401">
        <v>0</v>
      </c>
      <c r="BA556" s="401">
        <v>0.39550000000000002</v>
      </c>
      <c r="BB556" s="401">
        <v>8.54162</v>
      </c>
      <c r="BC556" s="401"/>
      <c r="BD556" s="385" t="s">
        <v>167</v>
      </c>
      <c r="BE556" s="439" t="s">
        <v>175</v>
      </c>
      <c r="BF556" s="389"/>
      <c r="BG556" s="521">
        <v>808</v>
      </c>
      <c r="BH556" s="402"/>
      <c r="BI556" s="402">
        <f t="shared" si="288"/>
        <v>0.76531400000000005</v>
      </c>
    </row>
    <row r="557" spans="1:61" s="359" customFormat="1" ht="19.2" x14ac:dyDescent="0.3">
      <c r="A557" s="360" t="s">
        <v>1143</v>
      </c>
      <c r="B557" s="579" t="s">
        <v>1024</v>
      </c>
      <c r="C557" s="433" t="s">
        <v>903</v>
      </c>
      <c r="D557" s="361">
        <v>0.4</v>
      </c>
      <c r="E557" s="400"/>
      <c r="F557" s="404"/>
      <c r="G557" s="400"/>
      <c r="H557" s="382"/>
      <c r="I557" s="401"/>
      <c r="J557" s="401"/>
      <c r="K557" s="401"/>
      <c r="L557" s="401"/>
      <c r="M557" s="401"/>
      <c r="N557" s="401"/>
      <c r="O557" s="401"/>
      <c r="P557" s="401"/>
      <c r="Q557" s="401"/>
      <c r="R557" s="389"/>
      <c r="S557" s="389"/>
      <c r="T557" s="389"/>
      <c r="U557" s="521"/>
      <c r="V557" s="402"/>
      <c r="W557" s="402"/>
      <c r="X557" s="400"/>
      <c r="Y557" s="550"/>
      <c r="Z557" s="549"/>
      <c r="AA557" s="586"/>
      <c r="AB557" s="401"/>
      <c r="AC557" s="401"/>
      <c r="AD557" s="401"/>
      <c r="AE557" s="401"/>
      <c r="AF557" s="401"/>
      <c r="AG557" s="401"/>
      <c r="AH557" s="401"/>
      <c r="AI557" s="401"/>
      <c r="AJ557" s="401"/>
      <c r="AK557" s="385"/>
      <c r="AL557" s="439"/>
      <c r="AM557" s="389"/>
      <c r="AN557" s="521"/>
      <c r="AO557" s="402"/>
      <c r="AP557" s="402"/>
      <c r="AQ557" s="400"/>
      <c r="AR557" s="337">
        <v>15</v>
      </c>
      <c r="AS557" s="549">
        <v>15</v>
      </c>
      <c r="AT557" s="585">
        <v>11.30655</v>
      </c>
      <c r="AU557" s="401">
        <v>9.6100499999999993</v>
      </c>
      <c r="AV557" s="401">
        <v>8.54162</v>
      </c>
      <c r="AW557" s="401"/>
      <c r="AX557" s="401"/>
      <c r="AY557" s="401">
        <v>0</v>
      </c>
      <c r="AZ557" s="401">
        <v>0</v>
      </c>
      <c r="BA557" s="401">
        <v>0.39550000000000002</v>
      </c>
      <c r="BB557" s="401">
        <v>8.54162</v>
      </c>
      <c r="BC557" s="401"/>
      <c r="BD557" s="385" t="s">
        <v>167</v>
      </c>
      <c r="BE557" s="439" t="s">
        <v>175</v>
      </c>
      <c r="BF557" s="389"/>
      <c r="BG557" s="521">
        <v>810</v>
      </c>
      <c r="BH557" s="402"/>
      <c r="BI557" s="402">
        <f t="shared" si="288"/>
        <v>0.75376999999999994</v>
      </c>
    </row>
    <row r="558" spans="1:61" s="359" customFormat="1" ht="19.2" x14ac:dyDescent="0.3">
      <c r="A558" s="360" t="s">
        <v>1144</v>
      </c>
      <c r="B558" s="579" t="s">
        <v>1025</v>
      </c>
      <c r="C558" s="433" t="s">
        <v>904</v>
      </c>
      <c r="D558" s="361">
        <v>0.4</v>
      </c>
      <c r="E558" s="400"/>
      <c r="F558" s="404"/>
      <c r="G558" s="400"/>
      <c r="H558" s="382"/>
      <c r="I558" s="401"/>
      <c r="J558" s="401"/>
      <c r="K558" s="401"/>
      <c r="L558" s="401"/>
      <c r="M558" s="401"/>
      <c r="N558" s="401"/>
      <c r="O558" s="401"/>
      <c r="P558" s="401"/>
      <c r="Q558" s="401"/>
      <c r="R558" s="389"/>
      <c r="S558" s="389"/>
      <c r="T558" s="389"/>
      <c r="U558" s="521"/>
      <c r="V558" s="402"/>
      <c r="W558" s="402"/>
      <c r="X558" s="400"/>
      <c r="Y558" s="550"/>
      <c r="Z558" s="549"/>
      <c r="AA558" s="586"/>
      <c r="AB558" s="401"/>
      <c r="AC558" s="401"/>
      <c r="AD558" s="401"/>
      <c r="AE558" s="401"/>
      <c r="AF558" s="401"/>
      <c r="AG558" s="401"/>
      <c r="AH558" s="401"/>
      <c r="AI558" s="401"/>
      <c r="AJ558" s="401"/>
      <c r="AK558" s="385"/>
      <c r="AL558" s="439"/>
      <c r="AM558" s="389"/>
      <c r="AN558" s="521"/>
      <c r="AO558" s="402"/>
      <c r="AP558" s="402"/>
      <c r="AQ558" s="400"/>
      <c r="AR558" s="337">
        <v>15</v>
      </c>
      <c r="AS558" s="549">
        <v>15</v>
      </c>
      <c r="AT558" s="585">
        <v>11.58774</v>
      </c>
      <c r="AU558" s="401">
        <v>9.8912499999999994</v>
      </c>
      <c r="AV558" s="401">
        <v>8.8454099999999993</v>
      </c>
      <c r="AW558" s="401"/>
      <c r="AX558" s="401"/>
      <c r="AY558" s="401">
        <v>0</v>
      </c>
      <c r="AZ558" s="401">
        <v>0</v>
      </c>
      <c r="BA558" s="401">
        <v>0.39550000000000002</v>
      </c>
      <c r="BB558" s="401">
        <v>8.8454099999999993</v>
      </c>
      <c r="BC558" s="401"/>
      <c r="BD558" s="385" t="s">
        <v>167</v>
      </c>
      <c r="BE558" s="439" t="s">
        <v>175</v>
      </c>
      <c r="BF558" s="389"/>
      <c r="BG558" s="521">
        <v>812</v>
      </c>
      <c r="BH558" s="402"/>
      <c r="BI558" s="402">
        <f t="shared" si="288"/>
        <v>0.77251599999999998</v>
      </c>
    </row>
    <row r="559" spans="1:61" s="359" customFormat="1" ht="19.2" x14ac:dyDescent="0.3">
      <c r="A559" s="360" t="s">
        <v>1145</v>
      </c>
      <c r="B559" s="579" t="s">
        <v>1026</v>
      </c>
      <c r="C559" s="433" t="s">
        <v>905</v>
      </c>
      <c r="D559" s="361">
        <v>0.4</v>
      </c>
      <c r="E559" s="400"/>
      <c r="F559" s="404"/>
      <c r="G559" s="400"/>
      <c r="H559" s="382"/>
      <c r="I559" s="401"/>
      <c r="J559" s="401"/>
      <c r="K559" s="401"/>
      <c r="L559" s="401"/>
      <c r="M559" s="401"/>
      <c r="N559" s="401"/>
      <c r="O559" s="401"/>
      <c r="P559" s="401"/>
      <c r="Q559" s="401"/>
      <c r="R559" s="389"/>
      <c r="S559" s="389"/>
      <c r="T559" s="389"/>
      <c r="U559" s="521"/>
      <c r="V559" s="402"/>
      <c r="W559" s="402"/>
      <c r="X559" s="400"/>
      <c r="Y559" s="550"/>
      <c r="Z559" s="549"/>
      <c r="AA559" s="586"/>
      <c r="AB559" s="401"/>
      <c r="AC559" s="401"/>
      <c r="AD559" s="401"/>
      <c r="AE559" s="401"/>
      <c r="AF559" s="401"/>
      <c r="AG559" s="401"/>
      <c r="AH559" s="401"/>
      <c r="AI559" s="401"/>
      <c r="AJ559" s="401"/>
      <c r="AK559" s="385"/>
      <c r="AL559" s="439"/>
      <c r="AM559" s="389"/>
      <c r="AN559" s="521"/>
      <c r="AO559" s="402"/>
      <c r="AP559" s="402"/>
      <c r="AQ559" s="400"/>
      <c r="AR559" s="337">
        <v>15</v>
      </c>
      <c r="AS559" s="549">
        <v>15</v>
      </c>
      <c r="AT559" s="585">
        <v>13.268890000000001</v>
      </c>
      <c r="AU559" s="401">
        <v>11.53673</v>
      </c>
      <c r="AV559" s="401">
        <v>10.46828</v>
      </c>
      <c r="AW559" s="401"/>
      <c r="AX559" s="401"/>
      <c r="AY559" s="401">
        <v>0</v>
      </c>
      <c r="AZ559" s="401">
        <v>0</v>
      </c>
      <c r="BA559" s="401">
        <v>0.39550000000000002</v>
      </c>
      <c r="BB559" s="401">
        <v>10.46828</v>
      </c>
      <c r="BC559" s="401"/>
      <c r="BD559" s="385" t="s">
        <v>167</v>
      </c>
      <c r="BE559" s="439" t="s">
        <v>175</v>
      </c>
      <c r="BF559" s="389"/>
      <c r="BG559" s="521">
        <v>814</v>
      </c>
      <c r="BH559" s="402"/>
      <c r="BI559" s="402">
        <f t="shared" si="288"/>
        <v>0.88459266666666669</v>
      </c>
    </row>
    <row r="560" spans="1:61" s="359" customFormat="1" ht="19.2" x14ac:dyDescent="0.3">
      <c r="A560" s="360" t="s">
        <v>1146</v>
      </c>
      <c r="B560" s="579" t="s">
        <v>1027</v>
      </c>
      <c r="C560" s="433" t="s">
        <v>906</v>
      </c>
      <c r="D560" s="361">
        <v>0.4</v>
      </c>
      <c r="E560" s="400"/>
      <c r="F560" s="404"/>
      <c r="G560" s="400"/>
      <c r="H560" s="382"/>
      <c r="I560" s="401"/>
      <c r="J560" s="401"/>
      <c r="K560" s="401"/>
      <c r="L560" s="401"/>
      <c r="M560" s="401"/>
      <c r="N560" s="401"/>
      <c r="O560" s="401"/>
      <c r="P560" s="401"/>
      <c r="Q560" s="401"/>
      <c r="R560" s="389"/>
      <c r="S560" s="389"/>
      <c r="T560" s="389"/>
      <c r="U560" s="521"/>
      <c r="V560" s="402"/>
      <c r="W560" s="402"/>
      <c r="X560" s="400"/>
      <c r="Y560" s="550"/>
      <c r="Z560" s="549"/>
      <c r="AA560" s="586"/>
      <c r="AB560" s="401"/>
      <c r="AC560" s="401"/>
      <c r="AD560" s="401"/>
      <c r="AE560" s="401"/>
      <c r="AF560" s="401"/>
      <c r="AG560" s="401"/>
      <c r="AH560" s="401"/>
      <c r="AI560" s="401"/>
      <c r="AJ560" s="401"/>
      <c r="AK560" s="385"/>
      <c r="AL560" s="439"/>
      <c r="AM560" s="389"/>
      <c r="AN560" s="521"/>
      <c r="AO560" s="402"/>
      <c r="AP560" s="402"/>
      <c r="AQ560" s="400"/>
      <c r="AR560" s="337">
        <v>15</v>
      </c>
      <c r="AS560" s="549">
        <v>15</v>
      </c>
      <c r="AT560" s="585">
        <v>13.26878</v>
      </c>
      <c r="AU560" s="401">
        <v>11.572290000000001</v>
      </c>
      <c r="AV560" s="401">
        <v>10.50962</v>
      </c>
      <c r="AW560" s="401"/>
      <c r="AX560" s="401"/>
      <c r="AY560" s="401">
        <v>0</v>
      </c>
      <c r="AZ560" s="401">
        <v>0</v>
      </c>
      <c r="BA560" s="401">
        <v>0.39550000000000002</v>
      </c>
      <c r="BB560" s="401">
        <v>10.50962</v>
      </c>
      <c r="BC560" s="401"/>
      <c r="BD560" s="385" t="s">
        <v>167</v>
      </c>
      <c r="BE560" s="439" t="s">
        <v>175</v>
      </c>
      <c r="BF560" s="389"/>
      <c r="BG560" s="521">
        <v>816</v>
      </c>
      <c r="BH560" s="402"/>
      <c r="BI560" s="402">
        <f t="shared" si="288"/>
        <v>0.88458533333333333</v>
      </c>
    </row>
    <row r="561" spans="1:61" s="359" customFormat="1" ht="19.2" x14ac:dyDescent="0.3">
      <c r="A561" s="360" t="s">
        <v>1147</v>
      </c>
      <c r="B561" s="579" t="s">
        <v>1028</v>
      </c>
      <c r="C561" s="433" t="s">
        <v>907</v>
      </c>
      <c r="D561" s="361">
        <v>0.4</v>
      </c>
      <c r="E561" s="400"/>
      <c r="F561" s="404"/>
      <c r="G561" s="400"/>
      <c r="H561" s="382"/>
      <c r="I561" s="401"/>
      <c r="J561" s="401"/>
      <c r="K561" s="401"/>
      <c r="L561" s="401"/>
      <c r="M561" s="401"/>
      <c r="N561" s="401"/>
      <c r="O561" s="401"/>
      <c r="P561" s="401"/>
      <c r="Q561" s="401"/>
      <c r="R561" s="389"/>
      <c r="S561" s="389"/>
      <c r="T561" s="389"/>
      <c r="U561" s="521"/>
      <c r="V561" s="402"/>
      <c r="W561" s="402"/>
      <c r="X561" s="400"/>
      <c r="Y561" s="550"/>
      <c r="Z561" s="549"/>
      <c r="AA561" s="586"/>
      <c r="AB561" s="401"/>
      <c r="AC561" s="401"/>
      <c r="AD561" s="401"/>
      <c r="AE561" s="401"/>
      <c r="AF561" s="401"/>
      <c r="AG561" s="401"/>
      <c r="AH561" s="401"/>
      <c r="AI561" s="401"/>
      <c r="AJ561" s="401"/>
      <c r="AK561" s="385"/>
      <c r="AL561" s="439"/>
      <c r="AM561" s="389"/>
      <c r="AN561" s="521"/>
      <c r="AO561" s="402"/>
      <c r="AP561" s="402"/>
      <c r="AQ561" s="400"/>
      <c r="AR561" s="337">
        <v>15</v>
      </c>
      <c r="AS561" s="549">
        <v>15</v>
      </c>
      <c r="AT561" s="585">
        <v>13.268890000000001</v>
      </c>
      <c r="AU561" s="401">
        <v>11.53673</v>
      </c>
      <c r="AV561" s="401">
        <v>10.46828</v>
      </c>
      <c r="AW561" s="401"/>
      <c r="AX561" s="401"/>
      <c r="AY561" s="401">
        <v>0</v>
      </c>
      <c r="AZ561" s="401">
        <v>0</v>
      </c>
      <c r="BA561" s="401">
        <v>0.39550000000000002</v>
      </c>
      <c r="BB561" s="401">
        <v>10.46828</v>
      </c>
      <c r="BC561" s="401"/>
      <c r="BD561" s="385" t="s">
        <v>167</v>
      </c>
      <c r="BE561" s="439" t="s">
        <v>175</v>
      </c>
      <c r="BF561" s="389"/>
      <c r="BG561" s="521">
        <v>818</v>
      </c>
      <c r="BH561" s="402"/>
      <c r="BI561" s="402">
        <f t="shared" si="288"/>
        <v>0.88459266666666669</v>
      </c>
    </row>
    <row r="562" spans="1:61" s="359" customFormat="1" ht="19.2" x14ac:dyDescent="0.3">
      <c r="A562" s="360" t="s">
        <v>1148</v>
      </c>
      <c r="B562" s="579" t="s">
        <v>1029</v>
      </c>
      <c r="C562" s="433" t="s">
        <v>908</v>
      </c>
      <c r="D562" s="361">
        <v>0.4</v>
      </c>
      <c r="E562" s="400"/>
      <c r="F562" s="404"/>
      <c r="G562" s="400"/>
      <c r="H562" s="382"/>
      <c r="I562" s="401"/>
      <c r="J562" s="401"/>
      <c r="K562" s="401"/>
      <c r="L562" s="401"/>
      <c r="M562" s="401"/>
      <c r="N562" s="401"/>
      <c r="O562" s="401"/>
      <c r="P562" s="401"/>
      <c r="Q562" s="401"/>
      <c r="R562" s="389"/>
      <c r="S562" s="389"/>
      <c r="T562" s="389"/>
      <c r="U562" s="521"/>
      <c r="V562" s="402"/>
      <c r="W562" s="402"/>
      <c r="X562" s="400"/>
      <c r="Y562" s="550"/>
      <c r="Z562" s="549"/>
      <c r="AA562" s="586"/>
      <c r="AB562" s="401"/>
      <c r="AC562" s="401"/>
      <c r="AD562" s="401"/>
      <c r="AE562" s="401"/>
      <c r="AF562" s="401"/>
      <c r="AG562" s="401"/>
      <c r="AH562" s="401"/>
      <c r="AI562" s="401"/>
      <c r="AJ562" s="401"/>
      <c r="AK562" s="385"/>
      <c r="AL562" s="439"/>
      <c r="AM562" s="389"/>
      <c r="AN562" s="521"/>
      <c r="AO562" s="402"/>
      <c r="AP562" s="402"/>
      <c r="AQ562" s="400"/>
      <c r="AR562" s="337">
        <v>15</v>
      </c>
      <c r="AS562" s="549">
        <v>15</v>
      </c>
      <c r="AT562" s="585">
        <v>11.479710000000001</v>
      </c>
      <c r="AU562" s="401">
        <v>9.7832100000000004</v>
      </c>
      <c r="AV562" s="401">
        <v>8.54162</v>
      </c>
      <c r="AW562" s="401"/>
      <c r="AX562" s="401"/>
      <c r="AY562" s="401">
        <v>0</v>
      </c>
      <c r="AZ562" s="401">
        <v>0</v>
      </c>
      <c r="BA562" s="401">
        <v>0.39550000000000002</v>
      </c>
      <c r="BB562" s="401">
        <v>8.54162</v>
      </c>
      <c r="BC562" s="401"/>
      <c r="BD562" s="385" t="s">
        <v>167</v>
      </c>
      <c r="BE562" s="439" t="s">
        <v>175</v>
      </c>
      <c r="BF562" s="389"/>
      <c r="BG562" s="521">
        <v>820</v>
      </c>
      <c r="BH562" s="402"/>
      <c r="BI562" s="402">
        <f t="shared" si="288"/>
        <v>0.76531400000000005</v>
      </c>
    </row>
    <row r="563" spans="1:61" s="359" customFormat="1" ht="19.2" x14ac:dyDescent="0.3">
      <c r="A563" s="360" t="s">
        <v>1149</v>
      </c>
      <c r="B563" s="579" t="s">
        <v>1030</v>
      </c>
      <c r="C563" s="433" t="s">
        <v>909</v>
      </c>
      <c r="D563" s="361">
        <v>0.4</v>
      </c>
      <c r="E563" s="400"/>
      <c r="F563" s="404"/>
      <c r="G563" s="400"/>
      <c r="H563" s="382"/>
      <c r="I563" s="401"/>
      <c r="J563" s="401"/>
      <c r="K563" s="401"/>
      <c r="L563" s="401"/>
      <c r="M563" s="401"/>
      <c r="N563" s="401"/>
      <c r="O563" s="401"/>
      <c r="P563" s="401"/>
      <c r="Q563" s="401"/>
      <c r="R563" s="389"/>
      <c r="S563" s="389"/>
      <c r="T563" s="389"/>
      <c r="U563" s="521"/>
      <c r="V563" s="402"/>
      <c r="W563" s="402"/>
      <c r="X563" s="400"/>
      <c r="Y563" s="550"/>
      <c r="Z563" s="549"/>
      <c r="AA563" s="586"/>
      <c r="AB563" s="401"/>
      <c r="AC563" s="401"/>
      <c r="AD563" s="401"/>
      <c r="AE563" s="401"/>
      <c r="AF563" s="401"/>
      <c r="AG563" s="401"/>
      <c r="AH563" s="401"/>
      <c r="AI563" s="401"/>
      <c r="AJ563" s="401"/>
      <c r="AK563" s="385"/>
      <c r="AL563" s="439"/>
      <c r="AM563" s="389"/>
      <c r="AN563" s="521"/>
      <c r="AO563" s="402"/>
      <c r="AP563" s="402"/>
      <c r="AQ563" s="400"/>
      <c r="AR563" s="337">
        <v>15</v>
      </c>
      <c r="AS563" s="549">
        <v>15</v>
      </c>
      <c r="AT563" s="585">
        <v>13.268890000000001</v>
      </c>
      <c r="AU563" s="401">
        <v>11.53673</v>
      </c>
      <c r="AV563" s="401">
        <v>10.46828</v>
      </c>
      <c r="AW563" s="401"/>
      <c r="AX563" s="401"/>
      <c r="AY563" s="401">
        <v>0</v>
      </c>
      <c r="AZ563" s="401">
        <v>0</v>
      </c>
      <c r="BA563" s="401">
        <v>0.39550000000000002</v>
      </c>
      <c r="BB563" s="401">
        <v>10.46828</v>
      </c>
      <c r="BC563" s="401"/>
      <c r="BD563" s="385" t="s">
        <v>167</v>
      </c>
      <c r="BE563" s="439" t="s">
        <v>175</v>
      </c>
      <c r="BF563" s="389"/>
      <c r="BG563" s="521">
        <v>822</v>
      </c>
      <c r="BH563" s="402"/>
      <c r="BI563" s="402">
        <f t="shared" si="288"/>
        <v>0.88459266666666669</v>
      </c>
    </row>
    <row r="564" spans="1:61" s="359" customFormat="1" ht="19.2" x14ac:dyDescent="0.3">
      <c r="A564" s="360" t="s">
        <v>1150</v>
      </c>
      <c r="B564" s="579" t="s">
        <v>1031</v>
      </c>
      <c r="C564" s="433" t="s">
        <v>910</v>
      </c>
      <c r="D564" s="361">
        <v>0.4</v>
      </c>
      <c r="E564" s="400"/>
      <c r="F564" s="404"/>
      <c r="G564" s="400"/>
      <c r="H564" s="382"/>
      <c r="I564" s="401"/>
      <c r="J564" s="401"/>
      <c r="K564" s="401"/>
      <c r="L564" s="401"/>
      <c r="M564" s="401"/>
      <c r="N564" s="401"/>
      <c r="O564" s="401"/>
      <c r="P564" s="401"/>
      <c r="Q564" s="401"/>
      <c r="R564" s="389"/>
      <c r="S564" s="389"/>
      <c r="T564" s="389"/>
      <c r="U564" s="521"/>
      <c r="V564" s="402"/>
      <c r="W564" s="402"/>
      <c r="X564" s="400"/>
      <c r="Y564" s="550"/>
      <c r="Z564" s="549"/>
      <c r="AA564" s="586"/>
      <c r="AB564" s="401"/>
      <c r="AC564" s="401"/>
      <c r="AD564" s="401"/>
      <c r="AE564" s="401"/>
      <c r="AF564" s="401"/>
      <c r="AG564" s="401"/>
      <c r="AH564" s="401"/>
      <c r="AI564" s="401"/>
      <c r="AJ564" s="401"/>
      <c r="AK564" s="385"/>
      <c r="AL564" s="439"/>
      <c r="AM564" s="389"/>
      <c r="AN564" s="521"/>
      <c r="AO564" s="402"/>
      <c r="AP564" s="402"/>
      <c r="AQ564" s="400"/>
      <c r="AR564" s="337">
        <v>15</v>
      </c>
      <c r="AS564" s="549">
        <v>15</v>
      </c>
      <c r="AT564" s="585">
        <v>11.243270000000001</v>
      </c>
      <c r="AU564" s="401">
        <v>9.54678</v>
      </c>
      <c r="AV564" s="401">
        <v>8.5416399999999992</v>
      </c>
      <c r="AW564" s="401"/>
      <c r="AX564" s="401"/>
      <c r="AY564" s="401">
        <v>0</v>
      </c>
      <c r="AZ564" s="401">
        <v>0</v>
      </c>
      <c r="BA564" s="401">
        <v>0.39550000000000002</v>
      </c>
      <c r="BB564" s="401">
        <v>8.5416399999999992</v>
      </c>
      <c r="BC564" s="401"/>
      <c r="BD564" s="385" t="s">
        <v>167</v>
      </c>
      <c r="BE564" s="439" t="s">
        <v>175</v>
      </c>
      <c r="BF564" s="389"/>
      <c r="BG564" s="521">
        <v>824</v>
      </c>
      <c r="BH564" s="402"/>
      <c r="BI564" s="402">
        <f t="shared" si="288"/>
        <v>0.74955133333333335</v>
      </c>
    </row>
    <row r="565" spans="1:61" s="359" customFormat="1" ht="19.2" x14ac:dyDescent="0.3">
      <c r="A565" s="360" t="s">
        <v>1151</v>
      </c>
      <c r="B565" s="579" t="s">
        <v>1032</v>
      </c>
      <c r="C565" s="433" t="s">
        <v>911</v>
      </c>
      <c r="D565" s="361">
        <v>0.4</v>
      </c>
      <c r="E565" s="400"/>
      <c r="F565" s="404"/>
      <c r="G565" s="400"/>
      <c r="H565" s="382"/>
      <c r="I565" s="401"/>
      <c r="J565" s="401"/>
      <c r="K565" s="401"/>
      <c r="L565" s="401"/>
      <c r="M565" s="401"/>
      <c r="N565" s="401"/>
      <c r="O565" s="401"/>
      <c r="P565" s="401"/>
      <c r="Q565" s="401"/>
      <c r="R565" s="389"/>
      <c r="S565" s="389"/>
      <c r="T565" s="389"/>
      <c r="U565" s="521"/>
      <c r="V565" s="402"/>
      <c r="W565" s="402"/>
      <c r="X565" s="400"/>
      <c r="Y565" s="550"/>
      <c r="Z565" s="549"/>
      <c r="AA565" s="586"/>
      <c r="AB565" s="401"/>
      <c r="AC565" s="401"/>
      <c r="AD565" s="401"/>
      <c r="AE565" s="401"/>
      <c r="AF565" s="401"/>
      <c r="AG565" s="401"/>
      <c r="AH565" s="401"/>
      <c r="AI565" s="401"/>
      <c r="AJ565" s="401"/>
      <c r="AK565" s="385"/>
      <c r="AL565" s="439"/>
      <c r="AM565" s="389"/>
      <c r="AN565" s="521"/>
      <c r="AO565" s="402"/>
      <c r="AP565" s="402"/>
      <c r="AQ565" s="400"/>
      <c r="AR565" s="337">
        <v>15</v>
      </c>
      <c r="AS565" s="549">
        <v>15</v>
      </c>
      <c r="AT565" s="585">
        <v>11.58774</v>
      </c>
      <c r="AU565" s="401">
        <v>9.8912499999999994</v>
      </c>
      <c r="AV565" s="401">
        <v>8.8454099999999993</v>
      </c>
      <c r="AW565" s="401"/>
      <c r="AX565" s="401"/>
      <c r="AY565" s="401">
        <v>0</v>
      </c>
      <c r="AZ565" s="401">
        <v>0</v>
      </c>
      <c r="BA565" s="401">
        <v>0.39550000000000002</v>
      </c>
      <c r="BB565" s="401">
        <v>8.8454099999999993</v>
      </c>
      <c r="BC565" s="401"/>
      <c r="BD565" s="385" t="s">
        <v>167</v>
      </c>
      <c r="BE565" s="439" t="s">
        <v>175</v>
      </c>
      <c r="BF565" s="389"/>
      <c r="BG565" s="521">
        <v>826</v>
      </c>
      <c r="BH565" s="402"/>
      <c r="BI565" s="402">
        <f t="shared" si="288"/>
        <v>0.77251599999999998</v>
      </c>
    </row>
    <row r="566" spans="1:61" s="359" customFormat="1" ht="19.2" x14ac:dyDescent="0.3">
      <c r="A566" s="360" t="s">
        <v>1152</v>
      </c>
      <c r="B566" s="579" t="s">
        <v>1033</v>
      </c>
      <c r="C566" s="433" t="s">
        <v>912</v>
      </c>
      <c r="D566" s="361">
        <v>0.4</v>
      </c>
      <c r="E566" s="400"/>
      <c r="F566" s="404"/>
      <c r="G566" s="400"/>
      <c r="H566" s="382"/>
      <c r="I566" s="401"/>
      <c r="J566" s="401"/>
      <c r="K566" s="401"/>
      <c r="L566" s="401"/>
      <c r="M566" s="401"/>
      <c r="N566" s="401"/>
      <c r="O566" s="401"/>
      <c r="P566" s="401"/>
      <c r="Q566" s="401"/>
      <c r="R566" s="389"/>
      <c r="S566" s="389"/>
      <c r="T566" s="389"/>
      <c r="U566" s="521"/>
      <c r="V566" s="402"/>
      <c r="W566" s="402"/>
      <c r="X566" s="400"/>
      <c r="Y566" s="550"/>
      <c r="Z566" s="549"/>
      <c r="AA566" s="586"/>
      <c r="AB566" s="401"/>
      <c r="AC566" s="401"/>
      <c r="AD566" s="401"/>
      <c r="AE566" s="401"/>
      <c r="AF566" s="401"/>
      <c r="AG566" s="401"/>
      <c r="AH566" s="401"/>
      <c r="AI566" s="401"/>
      <c r="AJ566" s="401"/>
      <c r="AK566" s="385"/>
      <c r="AL566" s="439"/>
      <c r="AM566" s="389"/>
      <c r="AN566" s="521"/>
      <c r="AO566" s="402"/>
      <c r="AP566" s="402"/>
      <c r="AQ566" s="400"/>
      <c r="AR566" s="337">
        <v>15</v>
      </c>
      <c r="AS566" s="549">
        <v>15</v>
      </c>
      <c r="AT566" s="585">
        <v>13.26878</v>
      </c>
      <c r="AU566" s="401">
        <v>11.572290000000001</v>
      </c>
      <c r="AV566" s="401">
        <v>10.50962</v>
      </c>
      <c r="AW566" s="401"/>
      <c r="AX566" s="401"/>
      <c r="AY566" s="401">
        <v>0</v>
      </c>
      <c r="AZ566" s="401">
        <v>0</v>
      </c>
      <c r="BA566" s="401">
        <v>0.39550000000000002</v>
      </c>
      <c r="BB566" s="401">
        <v>10.50962</v>
      </c>
      <c r="BC566" s="401"/>
      <c r="BD566" s="385" t="s">
        <v>167</v>
      </c>
      <c r="BE566" s="439" t="s">
        <v>175</v>
      </c>
      <c r="BF566" s="389"/>
      <c r="BG566" s="521">
        <v>828</v>
      </c>
      <c r="BH566" s="402"/>
      <c r="BI566" s="402">
        <f t="shared" si="288"/>
        <v>0.88458533333333333</v>
      </c>
    </row>
    <row r="567" spans="1:61" s="359" customFormat="1" ht="19.2" x14ac:dyDescent="0.3">
      <c r="A567" s="360" t="s">
        <v>1153</v>
      </c>
      <c r="B567" s="579" t="s">
        <v>1034</v>
      </c>
      <c r="C567" s="433" t="s">
        <v>913</v>
      </c>
      <c r="D567" s="361">
        <v>0.4</v>
      </c>
      <c r="E567" s="400"/>
      <c r="F567" s="404"/>
      <c r="G567" s="400"/>
      <c r="H567" s="382"/>
      <c r="I567" s="401"/>
      <c r="J567" s="401"/>
      <c r="K567" s="401"/>
      <c r="L567" s="401"/>
      <c r="M567" s="401"/>
      <c r="N567" s="401"/>
      <c r="O567" s="401"/>
      <c r="P567" s="401"/>
      <c r="Q567" s="401"/>
      <c r="R567" s="389"/>
      <c r="S567" s="389"/>
      <c r="T567" s="389"/>
      <c r="U567" s="521"/>
      <c r="V567" s="402"/>
      <c r="W567" s="402"/>
      <c r="X567" s="400"/>
      <c r="Y567" s="550"/>
      <c r="Z567" s="549"/>
      <c r="AA567" s="586"/>
      <c r="AB567" s="401"/>
      <c r="AC567" s="401"/>
      <c r="AD567" s="401"/>
      <c r="AE567" s="401"/>
      <c r="AF567" s="401"/>
      <c r="AG567" s="401"/>
      <c r="AH567" s="401"/>
      <c r="AI567" s="401"/>
      <c r="AJ567" s="401"/>
      <c r="AK567" s="385"/>
      <c r="AL567" s="439"/>
      <c r="AM567" s="389"/>
      <c r="AN567" s="521"/>
      <c r="AO567" s="402"/>
      <c r="AP567" s="402"/>
      <c r="AQ567" s="400"/>
      <c r="AR567" s="337">
        <v>15</v>
      </c>
      <c r="AS567" s="549">
        <v>15</v>
      </c>
      <c r="AT567" s="585">
        <v>11.4575</v>
      </c>
      <c r="AU567" s="401">
        <v>9.7610100000000006</v>
      </c>
      <c r="AV567" s="401">
        <v>8.85</v>
      </c>
      <c r="AW567" s="401"/>
      <c r="AX567" s="401"/>
      <c r="AY567" s="401">
        <v>0</v>
      </c>
      <c r="AZ567" s="401">
        <v>0</v>
      </c>
      <c r="BA567" s="401">
        <v>0.39550000000000002</v>
      </c>
      <c r="BB567" s="401">
        <v>8.85</v>
      </c>
      <c r="BC567" s="401"/>
      <c r="BD567" s="385" t="s">
        <v>167</v>
      </c>
      <c r="BE567" s="439" t="s">
        <v>175</v>
      </c>
      <c r="BF567" s="389"/>
      <c r="BG567" s="521">
        <v>830</v>
      </c>
      <c r="BH567" s="402"/>
      <c r="BI567" s="402">
        <f t="shared" si="288"/>
        <v>0.76383333333333325</v>
      </c>
    </row>
    <row r="568" spans="1:61" s="359" customFormat="1" ht="19.2" x14ac:dyDescent="0.3">
      <c r="A568" s="360" t="s">
        <v>1154</v>
      </c>
      <c r="B568" s="579" t="s">
        <v>1035</v>
      </c>
      <c r="C568" s="433" t="s">
        <v>914</v>
      </c>
      <c r="D568" s="361">
        <v>0.4</v>
      </c>
      <c r="E568" s="400"/>
      <c r="F568" s="404"/>
      <c r="G568" s="400"/>
      <c r="H568" s="382"/>
      <c r="I568" s="401"/>
      <c r="J568" s="401"/>
      <c r="K568" s="401"/>
      <c r="L568" s="401"/>
      <c r="M568" s="401"/>
      <c r="N568" s="401"/>
      <c r="O568" s="401"/>
      <c r="P568" s="401"/>
      <c r="Q568" s="401"/>
      <c r="R568" s="389"/>
      <c r="S568" s="389"/>
      <c r="T568" s="389"/>
      <c r="U568" s="521"/>
      <c r="V568" s="402"/>
      <c r="W568" s="402"/>
      <c r="X568" s="400"/>
      <c r="Y568" s="550"/>
      <c r="Z568" s="549"/>
      <c r="AA568" s="586"/>
      <c r="AB568" s="401"/>
      <c r="AC568" s="401"/>
      <c r="AD568" s="401"/>
      <c r="AE568" s="401"/>
      <c r="AF568" s="401"/>
      <c r="AG568" s="401"/>
      <c r="AH568" s="401"/>
      <c r="AI568" s="401"/>
      <c r="AJ568" s="401"/>
      <c r="AK568" s="385"/>
      <c r="AL568" s="439"/>
      <c r="AM568" s="389"/>
      <c r="AN568" s="521"/>
      <c r="AO568" s="402"/>
      <c r="AP568" s="402"/>
      <c r="AQ568" s="400"/>
      <c r="AR568" s="337">
        <v>15</v>
      </c>
      <c r="AS568" s="549">
        <v>15</v>
      </c>
      <c r="AT568" s="585">
        <v>11.243270000000001</v>
      </c>
      <c r="AU568" s="401">
        <v>9.54678</v>
      </c>
      <c r="AV568" s="401">
        <v>8.5416399999999992</v>
      </c>
      <c r="AW568" s="401"/>
      <c r="AX568" s="401"/>
      <c r="AY568" s="401">
        <v>0</v>
      </c>
      <c r="AZ568" s="401">
        <v>0</v>
      </c>
      <c r="BA568" s="401">
        <v>0.39550000000000002</v>
      </c>
      <c r="BB568" s="401">
        <v>8.5416399999999992</v>
      </c>
      <c r="BC568" s="401"/>
      <c r="BD568" s="385" t="s">
        <v>167</v>
      </c>
      <c r="BE568" s="439" t="s">
        <v>175</v>
      </c>
      <c r="BF568" s="389"/>
      <c r="BG568" s="521">
        <v>832</v>
      </c>
      <c r="BH568" s="402"/>
      <c r="BI568" s="402">
        <f t="shared" ref="BI568:BI595" si="289">AT568/AR568</f>
        <v>0.74955133333333335</v>
      </c>
    </row>
    <row r="569" spans="1:61" s="359" customFormat="1" ht="19.2" x14ac:dyDescent="0.3">
      <c r="A569" s="360" t="s">
        <v>1155</v>
      </c>
      <c r="B569" s="579" t="s">
        <v>996</v>
      </c>
      <c r="C569" s="433" t="s">
        <v>915</v>
      </c>
      <c r="D569" s="361">
        <v>0.4</v>
      </c>
      <c r="E569" s="400"/>
      <c r="F569" s="404"/>
      <c r="G569" s="400"/>
      <c r="H569" s="382"/>
      <c r="I569" s="401"/>
      <c r="J569" s="401"/>
      <c r="K569" s="401"/>
      <c r="L569" s="401"/>
      <c r="M569" s="401"/>
      <c r="N569" s="401"/>
      <c r="O569" s="401"/>
      <c r="P569" s="401"/>
      <c r="Q569" s="401"/>
      <c r="R569" s="389"/>
      <c r="S569" s="389"/>
      <c r="T569" s="389"/>
      <c r="U569" s="521"/>
      <c r="V569" s="402"/>
      <c r="W569" s="402"/>
      <c r="X569" s="400"/>
      <c r="Y569" s="550"/>
      <c r="Z569" s="549"/>
      <c r="AA569" s="586"/>
      <c r="AB569" s="401"/>
      <c r="AC569" s="401"/>
      <c r="AD569" s="401"/>
      <c r="AE569" s="401"/>
      <c r="AF569" s="401"/>
      <c r="AG569" s="401"/>
      <c r="AH569" s="401"/>
      <c r="AI569" s="401"/>
      <c r="AJ569" s="401"/>
      <c r="AK569" s="385"/>
      <c r="AL569" s="439"/>
      <c r="AM569" s="389"/>
      <c r="AN569" s="521"/>
      <c r="AO569" s="402"/>
      <c r="AP569" s="402"/>
      <c r="AQ569" s="400"/>
      <c r="AR569" s="337">
        <v>15</v>
      </c>
      <c r="AS569" s="549">
        <v>15</v>
      </c>
      <c r="AT569" s="585">
        <v>13.26877</v>
      </c>
      <c r="AU569" s="401">
        <v>11.53673</v>
      </c>
      <c r="AV569" s="401">
        <v>10.468299999999999</v>
      </c>
      <c r="AW569" s="401"/>
      <c r="AX569" s="401"/>
      <c r="AY569" s="401">
        <v>0</v>
      </c>
      <c r="AZ569" s="401">
        <v>0</v>
      </c>
      <c r="BA569" s="401">
        <v>0.39550000000000002</v>
      </c>
      <c r="BB569" s="401">
        <v>10.468299999999999</v>
      </c>
      <c r="BC569" s="401"/>
      <c r="BD569" s="385" t="s">
        <v>167</v>
      </c>
      <c r="BE569" s="439" t="s">
        <v>175</v>
      </c>
      <c r="BF569" s="389"/>
      <c r="BG569" s="521">
        <v>834</v>
      </c>
      <c r="BH569" s="402"/>
      <c r="BI569" s="402">
        <f t="shared" si="289"/>
        <v>0.88458466666666669</v>
      </c>
    </row>
    <row r="570" spans="1:61" s="359" customFormat="1" ht="19.2" x14ac:dyDescent="0.3">
      <c r="A570" s="360" t="s">
        <v>1156</v>
      </c>
      <c r="B570" s="579" t="s">
        <v>1036</v>
      </c>
      <c r="C570" s="433" t="s">
        <v>916</v>
      </c>
      <c r="D570" s="361">
        <v>0.4</v>
      </c>
      <c r="E570" s="400"/>
      <c r="F570" s="404"/>
      <c r="G570" s="400"/>
      <c r="H570" s="382"/>
      <c r="I570" s="401"/>
      <c r="J570" s="401"/>
      <c r="K570" s="401"/>
      <c r="L570" s="401"/>
      <c r="M570" s="401"/>
      <c r="N570" s="401"/>
      <c r="O570" s="401"/>
      <c r="P570" s="401"/>
      <c r="Q570" s="401"/>
      <c r="R570" s="389"/>
      <c r="S570" s="389"/>
      <c r="T570" s="389"/>
      <c r="U570" s="521"/>
      <c r="V570" s="402"/>
      <c r="W570" s="402"/>
      <c r="X570" s="400"/>
      <c r="Y570" s="550"/>
      <c r="Z570" s="549"/>
      <c r="AA570" s="586"/>
      <c r="AB570" s="401"/>
      <c r="AC570" s="401"/>
      <c r="AD570" s="401"/>
      <c r="AE570" s="401"/>
      <c r="AF570" s="401"/>
      <c r="AG570" s="401"/>
      <c r="AH570" s="401"/>
      <c r="AI570" s="401"/>
      <c r="AJ570" s="401"/>
      <c r="AK570" s="385"/>
      <c r="AL570" s="439"/>
      <c r="AM570" s="389"/>
      <c r="AN570" s="521"/>
      <c r="AO570" s="402"/>
      <c r="AP570" s="402"/>
      <c r="AQ570" s="400"/>
      <c r="AR570" s="337">
        <v>15</v>
      </c>
      <c r="AS570" s="549">
        <v>15</v>
      </c>
      <c r="AT570" s="585">
        <v>13.26877</v>
      </c>
      <c r="AU570" s="401">
        <v>11.53673</v>
      </c>
      <c r="AV570" s="401">
        <v>10.468299999999999</v>
      </c>
      <c r="AW570" s="401"/>
      <c r="AX570" s="401"/>
      <c r="AY570" s="401">
        <v>0</v>
      </c>
      <c r="AZ570" s="401">
        <v>0</v>
      </c>
      <c r="BA570" s="401">
        <v>0.39550000000000002</v>
      </c>
      <c r="BB570" s="401">
        <v>10.468299999999999</v>
      </c>
      <c r="BC570" s="401"/>
      <c r="BD570" s="385" t="s">
        <v>167</v>
      </c>
      <c r="BE570" s="439" t="s">
        <v>175</v>
      </c>
      <c r="BF570" s="389"/>
      <c r="BG570" s="521">
        <v>836</v>
      </c>
      <c r="BH570" s="402"/>
      <c r="BI570" s="402">
        <f t="shared" si="289"/>
        <v>0.88458466666666669</v>
      </c>
    </row>
    <row r="571" spans="1:61" s="359" customFormat="1" ht="19.2" x14ac:dyDescent="0.3">
      <c r="A571" s="360" t="s">
        <v>1157</v>
      </c>
      <c r="B571" s="579" t="s">
        <v>1037</v>
      </c>
      <c r="C571" s="433" t="s">
        <v>917</v>
      </c>
      <c r="D571" s="361">
        <v>0.4</v>
      </c>
      <c r="E571" s="400"/>
      <c r="F571" s="404"/>
      <c r="G571" s="400"/>
      <c r="H571" s="382"/>
      <c r="I571" s="401"/>
      <c r="J571" s="401"/>
      <c r="K571" s="401"/>
      <c r="L571" s="401"/>
      <c r="M571" s="401"/>
      <c r="N571" s="401"/>
      <c r="O571" s="401"/>
      <c r="P571" s="401"/>
      <c r="Q571" s="401"/>
      <c r="R571" s="389"/>
      <c r="S571" s="389"/>
      <c r="T571" s="389"/>
      <c r="U571" s="521"/>
      <c r="V571" s="402"/>
      <c r="W571" s="402"/>
      <c r="X571" s="400"/>
      <c r="Y571" s="550"/>
      <c r="Z571" s="549"/>
      <c r="AA571" s="586"/>
      <c r="AB571" s="401"/>
      <c r="AC571" s="401"/>
      <c r="AD571" s="401"/>
      <c r="AE571" s="401"/>
      <c r="AF571" s="401"/>
      <c r="AG571" s="401"/>
      <c r="AH571" s="401"/>
      <c r="AI571" s="401"/>
      <c r="AJ571" s="401"/>
      <c r="AK571" s="385"/>
      <c r="AL571" s="439"/>
      <c r="AM571" s="389"/>
      <c r="AN571" s="521"/>
      <c r="AO571" s="402"/>
      <c r="AP571" s="402"/>
      <c r="AQ571" s="400"/>
      <c r="AR571" s="337">
        <v>15</v>
      </c>
      <c r="AS571" s="549">
        <v>15</v>
      </c>
      <c r="AT571" s="585">
        <v>13.26878</v>
      </c>
      <c r="AU571" s="401">
        <v>11.572290000000001</v>
      </c>
      <c r="AV571" s="401">
        <v>10.50962</v>
      </c>
      <c r="AW571" s="401"/>
      <c r="AX571" s="401"/>
      <c r="AY571" s="401">
        <v>0</v>
      </c>
      <c r="AZ571" s="401">
        <v>0</v>
      </c>
      <c r="BA571" s="401">
        <v>0.39550000000000002</v>
      </c>
      <c r="BB571" s="401">
        <v>10.50962</v>
      </c>
      <c r="BC571" s="401"/>
      <c r="BD571" s="385" t="s">
        <v>167</v>
      </c>
      <c r="BE571" s="439" t="s">
        <v>175</v>
      </c>
      <c r="BF571" s="389"/>
      <c r="BG571" s="521">
        <v>838</v>
      </c>
      <c r="BH571" s="402"/>
      <c r="BI571" s="402">
        <f t="shared" si="289"/>
        <v>0.88458533333333333</v>
      </c>
    </row>
    <row r="572" spans="1:61" s="359" customFormat="1" ht="19.2" x14ac:dyDescent="0.3">
      <c r="A572" s="360" t="s">
        <v>1158</v>
      </c>
      <c r="B572" s="579" t="s">
        <v>1038</v>
      </c>
      <c r="C572" s="433" t="s">
        <v>918</v>
      </c>
      <c r="D572" s="361">
        <v>0.4</v>
      </c>
      <c r="E572" s="400"/>
      <c r="F572" s="404"/>
      <c r="G572" s="400"/>
      <c r="H572" s="382"/>
      <c r="I572" s="401"/>
      <c r="J572" s="401"/>
      <c r="K572" s="401"/>
      <c r="L572" s="401"/>
      <c r="M572" s="401"/>
      <c r="N572" s="401"/>
      <c r="O572" s="401"/>
      <c r="P572" s="401"/>
      <c r="Q572" s="401"/>
      <c r="R572" s="389"/>
      <c r="S572" s="389"/>
      <c r="T572" s="389"/>
      <c r="U572" s="521"/>
      <c r="V572" s="402"/>
      <c r="W572" s="402"/>
      <c r="X572" s="400"/>
      <c r="Y572" s="550"/>
      <c r="Z572" s="549"/>
      <c r="AA572" s="586"/>
      <c r="AB572" s="401"/>
      <c r="AC572" s="401"/>
      <c r="AD572" s="401"/>
      <c r="AE572" s="401"/>
      <c r="AF572" s="401"/>
      <c r="AG572" s="401"/>
      <c r="AH572" s="401"/>
      <c r="AI572" s="401"/>
      <c r="AJ572" s="401"/>
      <c r="AK572" s="385"/>
      <c r="AL572" s="439"/>
      <c r="AM572" s="389"/>
      <c r="AN572" s="521"/>
      <c r="AO572" s="402"/>
      <c r="AP572" s="402"/>
      <c r="AQ572" s="400"/>
      <c r="AR572" s="337">
        <v>15</v>
      </c>
      <c r="AS572" s="549">
        <v>15</v>
      </c>
      <c r="AT572" s="585">
        <v>13.268890000000001</v>
      </c>
      <c r="AU572" s="401">
        <v>11.53673</v>
      </c>
      <c r="AV572" s="401">
        <v>10.46828</v>
      </c>
      <c r="AW572" s="401"/>
      <c r="AX572" s="401"/>
      <c r="AY572" s="401">
        <v>0</v>
      </c>
      <c r="AZ572" s="401">
        <v>0</v>
      </c>
      <c r="BA572" s="401">
        <v>0.39550000000000002</v>
      </c>
      <c r="BB572" s="401">
        <v>10.46828</v>
      </c>
      <c r="BC572" s="401"/>
      <c r="BD572" s="385" t="s">
        <v>167</v>
      </c>
      <c r="BE572" s="439" t="s">
        <v>175</v>
      </c>
      <c r="BF572" s="389"/>
      <c r="BG572" s="521">
        <v>840</v>
      </c>
      <c r="BH572" s="402"/>
      <c r="BI572" s="402">
        <f t="shared" si="289"/>
        <v>0.88459266666666669</v>
      </c>
    </row>
    <row r="573" spans="1:61" s="359" customFormat="1" ht="19.2" x14ac:dyDescent="0.3">
      <c r="A573" s="360" t="s">
        <v>1159</v>
      </c>
      <c r="B573" s="579" t="s">
        <v>1039</v>
      </c>
      <c r="C573" s="433" t="s">
        <v>919</v>
      </c>
      <c r="D573" s="361">
        <v>0.4</v>
      </c>
      <c r="E573" s="400"/>
      <c r="F573" s="404"/>
      <c r="G573" s="400"/>
      <c r="H573" s="382"/>
      <c r="I573" s="401"/>
      <c r="J573" s="401"/>
      <c r="K573" s="401"/>
      <c r="L573" s="401"/>
      <c r="M573" s="401"/>
      <c r="N573" s="401"/>
      <c r="O573" s="401"/>
      <c r="P573" s="401"/>
      <c r="Q573" s="401"/>
      <c r="R573" s="389"/>
      <c r="S573" s="389"/>
      <c r="T573" s="389"/>
      <c r="U573" s="521"/>
      <c r="V573" s="402"/>
      <c r="W573" s="402"/>
      <c r="X573" s="400"/>
      <c r="Y573" s="550"/>
      <c r="Z573" s="549"/>
      <c r="AA573" s="586"/>
      <c r="AB573" s="401"/>
      <c r="AC573" s="401"/>
      <c r="AD573" s="401"/>
      <c r="AE573" s="401"/>
      <c r="AF573" s="401"/>
      <c r="AG573" s="401"/>
      <c r="AH573" s="401"/>
      <c r="AI573" s="401"/>
      <c r="AJ573" s="401"/>
      <c r="AK573" s="385"/>
      <c r="AL573" s="439"/>
      <c r="AM573" s="389"/>
      <c r="AN573" s="521"/>
      <c r="AO573" s="402"/>
      <c r="AP573" s="402"/>
      <c r="AQ573" s="400"/>
      <c r="AR573" s="337">
        <v>15</v>
      </c>
      <c r="AS573" s="549">
        <v>15</v>
      </c>
      <c r="AT573" s="585">
        <v>13.26878</v>
      </c>
      <c r="AU573" s="401">
        <v>11.572290000000001</v>
      </c>
      <c r="AV573" s="401">
        <v>10.50962</v>
      </c>
      <c r="AW573" s="401"/>
      <c r="AX573" s="401"/>
      <c r="AY573" s="401">
        <v>0</v>
      </c>
      <c r="AZ573" s="401">
        <v>0</v>
      </c>
      <c r="BA573" s="401">
        <v>0.39550000000000002</v>
      </c>
      <c r="BB573" s="401">
        <v>10.50962</v>
      </c>
      <c r="BC573" s="401"/>
      <c r="BD573" s="385" t="s">
        <v>167</v>
      </c>
      <c r="BE573" s="439" t="s">
        <v>175</v>
      </c>
      <c r="BF573" s="389"/>
      <c r="BG573" s="521">
        <v>842</v>
      </c>
      <c r="BH573" s="402"/>
      <c r="BI573" s="402">
        <f t="shared" si="289"/>
        <v>0.88458533333333333</v>
      </c>
    </row>
    <row r="574" spans="1:61" s="359" customFormat="1" ht="19.2" x14ac:dyDescent="0.3">
      <c r="A574" s="360" t="s">
        <v>1160</v>
      </c>
      <c r="B574" s="579" t="s">
        <v>1040</v>
      </c>
      <c r="C574" s="433" t="s">
        <v>920</v>
      </c>
      <c r="D574" s="361">
        <v>0.4</v>
      </c>
      <c r="E574" s="400"/>
      <c r="F574" s="404"/>
      <c r="G574" s="400"/>
      <c r="H574" s="382"/>
      <c r="I574" s="401"/>
      <c r="J574" s="401"/>
      <c r="K574" s="401"/>
      <c r="L574" s="401"/>
      <c r="M574" s="401"/>
      <c r="N574" s="401"/>
      <c r="O574" s="401"/>
      <c r="P574" s="401"/>
      <c r="Q574" s="401"/>
      <c r="R574" s="389"/>
      <c r="S574" s="389"/>
      <c r="T574" s="389"/>
      <c r="U574" s="521"/>
      <c r="V574" s="402"/>
      <c r="W574" s="402"/>
      <c r="X574" s="400"/>
      <c r="Y574" s="550"/>
      <c r="Z574" s="549"/>
      <c r="AA574" s="586"/>
      <c r="AB574" s="401"/>
      <c r="AC574" s="401"/>
      <c r="AD574" s="401"/>
      <c r="AE574" s="401"/>
      <c r="AF574" s="401"/>
      <c r="AG574" s="401"/>
      <c r="AH574" s="401"/>
      <c r="AI574" s="401"/>
      <c r="AJ574" s="401"/>
      <c r="AK574" s="385"/>
      <c r="AL574" s="439"/>
      <c r="AM574" s="389"/>
      <c r="AN574" s="521"/>
      <c r="AO574" s="402"/>
      <c r="AP574" s="402"/>
      <c r="AQ574" s="400"/>
      <c r="AR574" s="337">
        <v>50</v>
      </c>
      <c r="AS574" s="337">
        <v>50</v>
      </c>
      <c r="AT574" s="585">
        <v>13.26877</v>
      </c>
      <c r="AU574" s="401">
        <v>11.53673</v>
      </c>
      <c r="AV574" s="401">
        <v>10.468299999999999</v>
      </c>
      <c r="AW574" s="401"/>
      <c r="AX574" s="401"/>
      <c r="AY574" s="401">
        <v>0</v>
      </c>
      <c r="AZ574" s="401">
        <v>0</v>
      </c>
      <c r="BA574" s="401">
        <v>0.39550000000000002</v>
      </c>
      <c r="BB574" s="401">
        <v>10.468299999999999</v>
      </c>
      <c r="BC574" s="401"/>
      <c r="BD574" s="385" t="s">
        <v>167</v>
      </c>
      <c r="BE574" s="439" t="s">
        <v>175</v>
      </c>
      <c r="BF574" s="389"/>
      <c r="BG574" s="521">
        <v>844</v>
      </c>
      <c r="BH574" s="402"/>
      <c r="BI574" s="402">
        <f t="shared" si="289"/>
        <v>0.26537539999999998</v>
      </c>
    </row>
    <row r="575" spans="1:61" s="359" customFormat="1" ht="19.2" x14ac:dyDescent="0.3">
      <c r="A575" s="360" t="s">
        <v>1161</v>
      </c>
      <c r="B575" s="579" t="s">
        <v>995</v>
      </c>
      <c r="C575" s="433" t="s">
        <v>922</v>
      </c>
      <c r="D575" s="361">
        <v>0.4</v>
      </c>
      <c r="E575" s="400"/>
      <c r="F575" s="404"/>
      <c r="G575" s="400"/>
      <c r="H575" s="382"/>
      <c r="I575" s="401"/>
      <c r="J575" s="401"/>
      <c r="K575" s="401"/>
      <c r="L575" s="401"/>
      <c r="M575" s="401"/>
      <c r="N575" s="401"/>
      <c r="O575" s="401"/>
      <c r="P575" s="401"/>
      <c r="Q575" s="401"/>
      <c r="R575" s="389"/>
      <c r="S575" s="389"/>
      <c r="T575" s="389"/>
      <c r="U575" s="521"/>
      <c r="V575" s="402"/>
      <c r="W575" s="402"/>
      <c r="X575" s="400"/>
      <c r="Y575" s="550"/>
      <c r="Z575" s="549"/>
      <c r="AA575" s="586"/>
      <c r="AB575" s="401"/>
      <c r="AC575" s="401"/>
      <c r="AD575" s="401"/>
      <c r="AE575" s="401"/>
      <c r="AF575" s="401"/>
      <c r="AG575" s="401"/>
      <c r="AH575" s="401"/>
      <c r="AI575" s="401"/>
      <c r="AJ575" s="401"/>
      <c r="AK575" s="385"/>
      <c r="AL575" s="439"/>
      <c r="AM575" s="389"/>
      <c r="AN575" s="521"/>
      <c r="AO575" s="402"/>
      <c r="AP575" s="402"/>
      <c r="AQ575" s="400"/>
      <c r="AR575" s="337">
        <v>15</v>
      </c>
      <c r="AS575" s="549">
        <v>15</v>
      </c>
      <c r="AT575" s="585">
        <v>13.26878</v>
      </c>
      <c r="AU575" s="401">
        <v>11.572290000000001</v>
      </c>
      <c r="AV575" s="401">
        <v>10.50962</v>
      </c>
      <c r="AW575" s="401"/>
      <c r="AX575" s="401"/>
      <c r="AY575" s="401">
        <v>0</v>
      </c>
      <c r="AZ575" s="401">
        <v>0</v>
      </c>
      <c r="BA575" s="401">
        <v>0.39550000000000002</v>
      </c>
      <c r="BB575" s="401">
        <v>10.50962</v>
      </c>
      <c r="BC575" s="401"/>
      <c r="BD575" s="385" t="s">
        <v>167</v>
      </c>
      <c r="BE575" s="439" t="s">
        <v>175</v>
      </c>
      <c r="BF575" s="389"/>
      <c r="BG575" s="521">
        <v>846</v>
      </c>
      <c r="BH575" s="402"/>
      <c r="BI575" s="402">
        <f t="shared" si="289"/>
        <v>0.88458533333333333</v>
      </c>
    </row>
    <row r="576" spans="1:61" s="359" customFormat="1" ht="19.2" x14ac:dyDescent="0.3">
      <c r="A576" s="360" t="s">
        <v>1162</v>
      </c>
      <c r="B576" s="579" t="s">
        <v>1042</v>
      </c>
      <c r="C576" s="433" t="s">
        <v>923</v>
      </c>
      <c r="D576" s="361">
        <v>0.4</v>
      </c>
      <c r="E576" s="400"/>
      <c r="F576" s="404"/>
      <c r="G576" s="400"/>
      <c r="H576" s="382"/>
      <c r="I576" s="401"/>
      <c r="J576" s="401"/>
      <c r="K576" s="401"/>
      <c r="L576" s="401"/>
      <c r="M576" s="401"/>
      <c r="N576" s="401"/>
      <c r="O576" s="401"/>
      <c r="P576" s="401"/>
      <c r="Q576" s="401"/>
      <c r="R576" s="389"/>
      <c r="S576" s="389"/>
      <c r="T576" s="389"/>
      <c r="U576" s="521"/>
      <c r="V576" s="402"/>
      <c r="W576" s="402"/>
      <c r="X576" s="400"/>
      <c r="Y576" s="550"/>
      <c r="Z576" s="549"/>
      <c r="AA576" s="586"/>
      <c r="AB576" s="401"/>
      <c r="AC576" s="401"/>
      <c r="AD576" s="401"/>
      <c r="AE576" s="401"/>
      <c r="AF576" s="401"/>
      <c r="AG576" s="401"/>
      <c r="AH576" s="401"/>
      <c r="AI576" s="401"/>
      <c r="AJ576" s="401"/>
      <c r="AK576" s="385"/>
      <c r="AL576" s="439"/>
      <c r="AM576" s="389"/>
      <c r="AN576" s="521"/>
      <c r="AO576" s="402"/>
      <c r="AP576" s="402"/>
      <c r="AQ576" s="400"/>
      <c r="AR576" s="337">
        <v>15</v>
      </c>
      <c r="AS576" s="549">
        <v>15</v>
      </c>
      <c r="AT576" s="585">
        <v>13.26878</v>
      </c>
      <c r="AU576" s="401">
        <v>11.572290000000001</v>
      </c>
      <c r="AV576" s="401">
        <v>10.50962</v>
      </c>
      <c r="AW576" s="401"/>
      <c r="AX576" s="401"/>
      <c r="AY576" s="401">
        <v>0</v>
      </c>
      <c r="AZ576" s="401">
        <v>0</v>
      </c>
      <c r="BA576" s="401">
        <v>0.39550000000000002</v>
      </c>
      <c r="BB576" s="401">
        <v>10.50962</v>
      </c>
      <c r="BC576" s="401"/>
      <c r="BD576" s="385" t="s">
        <v>167</v>
      </c>
      <c r="BE576" s="439" t="s">
        <v>175</v>
      </c>
      <c r="BF576" s="389"/>
      <c r="BG576" s="521">
        <v>848</v>
      </c>
      <c r="BH576" s="402"/>
      <c r="BI576" s="402">
        <f t="shared" si="289"/>
        <v>0.88458533333333333</v>
      </c>
    </row>
    <row r="577" spans="1:61" s="359" customFormat="1" ht="19.2" x14ac:dyDescent="0.3">
      <c r="A577" s="360" t="s">
        <v>1163</v>
      </c>
      <c r="B577" s="579" t="s">
        <v>1043</v>
      </c>
      <c r="C577" s="433" t="s">
        <v>924</v>
      </c>
      <c r="D577" s="361">
        <v>0.4</v>
      </c>
      <c r="E577" s="400"/>
      <c r="F577" s="404"/>
      <c r="G577" s="400"/>
      <c r="H577" s="382"/>
      <c r="I577" s="401"/>
      <c r="J577" s="401"/>
      <c r="K577" s="401"/>
      <c r="L577" s="401"/>
      <c r="M577" s="401"/>
      <c r="N577" s="401"/>
      <c r="O577" s="401"/>
      <c r="P577" s="401"/>
      <c r="Q577" s="401"/>
      <c r="R577" s="389"/>
      <c r="S577" s="389"/>
      <c r="T577" s="389"/>
      <c r="U577" s="521"/>
      <c r="V577" s="402"/>
      <c r="W577" s="402"/>
      <c r="X577" s="400"/>
      <c r="Y577" s="550"/>
      <c r="Z577" s="549"/>
      <c r="AA577" s="586"/>
      <c r="AB577" s="401"/>
      <c r="AC577" s="401"/>
      <c r="AD577" s="401"/>
      <c r="AE577" s="401"/>
      <c r="AF577" s="401"/>
      <c r="AG577" s="401"/>
      <c r="AH577" s="401"/>
      <c r="AI577" s="401"/>
      <c r="AJ577" s="401"/>
      <c r="AK577" s="385"/>
      <c r="AL577" s="439"/>
      <c r="AM577" s="389"/>
      <c r="AN577" s="521"/>
      <c r="AO577" s="402"/>
      <c r="AP577" s="402"/>
      <c r="AQ577" s="400"/>
      <c r="AR577" s="337">
        <v>15</v>
      </c>
      <c r="AS577" s="549">
        <v>15</v>
      </c>
      <c r="AT577" s="585">
        <v>11.479710000000001</v>
      </c>
      <c r="AU577" s="401">
        <v>9.7832100000000004</v>
      </c>
      <c r="AV577" s="401">
        <v>8.54162</v>
      </c>
      <c r="AW577" s="401"/>
      <c r="AX577" s="401"/>
      <c r="AY577" s="401">
        <v>0</v>
      </c>
      <c r="AZ577" s="401">
        <v>0</v>
      </c>
      <c r="BA577" s="401">
        <v>0.39550000000000002</v>
      </c>
      <c r="BB577" s="401">
        <v>8.54162</v>
      </c>
      <c r="BC577" s="401"/>
      <c r="BD577" s="385" t="s">
        <v>167</v>
      </c>
      <c r="BE577" s="439" t="s">
        <v>175</v>
      </c>
      <c r="BF577" s="389"/>
      <c r="BG577" s="521">
        <v>850</v>
      </c>
      <c r="BH577" s="402"/>
      <c r="BI577" s="402">
        <f t="shared" si="289"/>
        <v>0.76531400000000005</v>
      </c>
    </row>
    <row r="578" spans="1:61" s="359" customFormat="1" ht="19.2" x14ac:dyDescent="0.3">
      <c r="A578" s="360" t="s">
        <v>1164</v>
      </c>
      <c r="B578" s="579" t="s">
        <v>1044</v>
      </c>
      <c r="C578" s="433" t="s">
        <v>926</v>
      </c>
      <c r="D578" s="361">
        <v>0.4</v>
      </c>
      <c r="E578" s="400"/>
      <c r="F578" s="404"/>
      <c r="G578" s="400"/>
      <c r="H578" s="382"/>
      <c r="I578" s="401"/>
      <c r="J578" s="401"/>
      <c r="K578" s="401"/>
      <c r="L578" s="401"/>
      <c r="M578" s="401"/>
      <c r="N578" s="401"/>
      <c r="O578" s="401"/>
      <c r="P578" s="401"/>
      <c r="Q578" s="401"/>
      <c r="R578" s="389"/>
      <c r="S578" s="389"/>
      <c r="T578" s="389"/>
      <c r="U578" s="521"/>
      <c r="V578" s="402"/>
      <c r="W578" s="402"/>
      <c r="X578" s="400"/>
      <c r="Y578" s="550"/>
      <c r="Z578" s="549"/>
      <c r="AA578" s="586"/>
      <c r="AB578" s="401"/>
      <c r="AC578" s="401"/>
      <c r="AD578" s="401"/>
      <c r="AE578" s="401"/>
      <c r="AF578" s="401"/>
      <c r="AG578" s="401"/>
      <c r="AH578" s="401"/>
      <c r="AI578" s="401"/>
      <c r="AJ578" s="401"/>
      <c r="AK578" s="385"/>
      <c r="AL578" s="439"/>
      <c r="AM578" s="389"/>
      <c r="AN578" s="521"/>
      <c r="AO578" s="402"/>
      <c r="AP578" s="402"/>
      <c r="AQ578" s="400"/>
      <c r="AR578" s="337">
        <v>15</v>
      </c>
      <c r="AS578" s="549">
        <v>15</v>
      </c>
      <c r="AT578" s="585">
        <v>13.26877</v>
      </c>
      <c r="AU578" s="401">
        <v>11.53673</v>
      </c>
      <c r="AV578" s="401" t="s">
        <v>925</v>
      </c>
      <c r="AW578" s="401"/>
      <c r="AX578" s="401"/>
      <c r="AY578" s="401">
        <v>0</v>
      </c>
      <c r="AZ578" s="401">
        <v>0</v>
      </c>
      <c r="BA578" s="401">
        <v>0.39550000000000002</v>
      </c>
      <c r="BB578" s="401">
        <v>10.468299999999999</v>
      </c>
      <c r="BC578" s="401"/>
      <c r="BD578" s="385" t="s">
        <v>167</v>
      </c>
      <c r="BE578" s="439" t="s">
        <v>175</v>
      </c>
      <c r="BF578" s="389"/>
      <c r="BG578" s="521">
        <v>852</v>
      </c>
      <c r="BH578" s="402"/>
      <c r="BI578" s="402">
        <f t="shared" si="289"/>
        <v>0.88458466666666669</v>
      </c>
    </row>
    <row r="579" spans="1:61" s="359" customFormat="1" ht="19.2" x14ac:dyDescent="0.3">
      <c r="A579" s="360" t="s">
        <v>1165</v>
      </c>
      <c r="B579" s="579" t="s">
        <v>1045</v>
      </c>
      <c r="C579" s="433" t="s">
        <v>927</v>
      </c>
      <c r="D579" s="361">
        <v>0.4</v>
      </c>
      <c r="E579" s="400"/>
      <c r="F579" s="404"/>
      <c r="G579" s="400"/>
      <c r="H579" s="382"/>
      <c r="I579" s="401"/>
      <c r="J579" s="401"/>
      <c r="K579" s="401"/>
      <c r="L579" s="401"/>
      <c r="M579" s="401"/>
      <c r="N579" s="401"/>
      <c r="O579" s="401"/>
      <c r="P579" s="401"/>
      <c r="Q579" s="401"/>
      <c r="R579" s="389"/>
      <c r="S579" s="389"/>
      <c r="T579" s="389"/>
      <c r="U579" s="521"/>
      <c r="V579" s="402"/>
      <c r="W579" s="402"/>
      <c r="X579" s="400"/>
      <c r="Y579" s="550"/>
      <c r="Z579" s="549"/>
      <c r="AA579" s="586"/>
      <c r="AB579" s="401"/>
      <c r="AC579" s="401"/>
      <c r="AD579" s="401"/>
      <c r="AE579" s="401"/>
      <c r="AF579" s="401"/>
      <c r="AG579" s="401"/>
      <c r="AH579" s="401"/>
      <c r="AI579" s="401"/>
      <c r="AJ579" s="401"/>
      <c r="AK579" s="385"/>
      <c r="AL579" s="439"/>
      <c r="AM579" s="389"/>
      <c r="AN579" s="521"/>
      <c r="AO579" s="402"/>
      <c r="AP579" s="402"/>
      <c r="AQ579" s="400"/>
      <c r="AR579" s="337">
        <v>15</v>
      </c>
      <c r="AS579" s="549">
        <v>15</v>
      </c>
      <c r="AT579" s="585">
        <v>13.268890000000001</v>
      </c>
      <c r="AU579" s="401">
        <v>11.53673</v>
      </c>
      <c r="AV579" s="401">
        <v>10.46828</v>
      </c>
      <c r="AW579" s="401"/>
      <c r="AX579" s="401"/>
      <c r="AY579" s="401">
        <v>0</v>
      </c>
      <c r="AZ579" s="401">
        <v>0</v>
      </c>
      <c r="BA579" s="401">
        <v>0.39550000000000002</v>
      </c>
      <c r="BB579" s="401">
        <v>10.46828</v>
      </c>
      <c r="BC579" s="401"/>
      <c r="BD579" s="385" t="s">
        <v>167</v>
      </c>
      <c r="BE579" s="439" t="s">
        <v>175</v>
      </c>
      <c r="BF579" s="389"/>
      <c r="BG579" s="521">
        <v>854</v>
      </c>
      <c r="BH579" s="402"/>
      <c r="BI579" s="402">
        <f t="shared" si="289"/>
        <v>0.88459266666666669</v>
      </c>
    </row>
    <row r="580" spans="1:61" s="359" customFormat="1" ht="19.2" x14ac:dyDescent="0.3">
      <c r="A580" s="360" t="s">
        <v>1166</v>
      </c>
      <c r="B580" s="579" t="s">
        <v>1053</v>
      </c>
      <c r="C580" s="433" t="s">
        <v>1054</v>
      </c>
      <c r="D580" s="361">
        <v>0.4</v>
      </c>
      <c r="E580" s="400"/>
      <c r="F580" s="404"/>
      <c r="G580" s="400"/>
      <c r="H580" s="382"/>
      <c r="I580" s="401"/>
      <c r="J580" s="401"/>
      <c r="K580" s="401"/>
      <c r="L580" s="401"/>
      <c r="M580" s="401"/>
      <c r="N580" s="401"/>
      <c r="O580" s="401"/>
      <c r="P580" s="401"/>
      <c r="Q580" s="401"/>
      <c r="R580" s="389"/>
      <c r="S580" s="389"/>
      <c r="T580" s="389"/>
      <c r="U580" s="521"/>
      <c r="V580" s="402"/>
      <c r="W580" s="402"/>
      <c r="X580" s="400"/>
      <c r="Y580" s="550"/>
      <c r="Z580" s="549"/>
      <c r="AA580" s="586"/>
      <c r="AB580" s="401"/>
      <c r="AC580" s="401"/>
      <c r="AD580" s="401"/>
      <c r="AE580" s="401"/>
      <c r="AF580" s="401"/>
      <c r="AG580" s="401"/>
      <c r="AH580" s="401"/>
      <c r="AI580" s="401"/>
      <c r="AJ580" s="401"/>
      <c r="AK580" s="385"/>
      <c r="AL580" s="439"/>
      <c r="AM580" s="389"/>
      <c r="AN580" s="521"/>
      <c r="AO580" s="402"/>
      <c r="AP580" s="402"/>
      <c r="AQ580" s="400"/>
      <c r="AR580" s="337">
        <v>15</v>
      </c>
      <c r="AS580" s="549">
        <v>15</v>
      </c>
      <c r="AT580" s="585">
        <v>13.20551</v>
      </c>
      <c r="AU580" s="401">
        <v>11.50902</v>
      </c>
      <c r="AV580" s="401">
        <v>10.50962</v>
      </c>
      <c r="AW580" s="401"/>
      <c r="AX580" s="401"/>
      <c r="AY580" s="401">
        <v>0</v>
      </c>
      <c r="AZ580" s="401">
        <v>0</v>
      </c>
      <c r="BA580" s="401">
        <v>0.39550000000000002</v>
      </c>
      <c r="BB580" s="401">
        <v>10.50962</v>
      </c>
      <c r="BC580" s="401"/>
      <c r="BD580" s="385" t="s">
        <v>167</v>
      </c>
      <c r="BE580" s="439" t="s">
        <v>175</v>
      </c>
      <c r="BF580" s="389"/>
      <c r="BG580" s="521">
        <v>856</v>
      </c>
      <c r="BH580" s="402"/>
      <c r="BI580" s="402">
        <f t="shared" si="289"/>
        <v>0.88036733333333339</v>
      </c>
    </row>
    <row r="581" spans="1:61" s="359" customFormat="1" ht="19.2" x14ac:dyDescent="0.3">
      <c r="A581" s="360" t="s">
        <v>1167</v>
      </c>
      <c r="B581" s="579" t="s">
        <v>1056</v>
      </c>
      <c r="C581" s="433" t="s">
        <v>1055</v>
      </c>
      <c r="D581" s="361">
        <v>0.4</v>
      </c>
      <c r="E581" s="400"/>
      <c r="F581" s="404"/>
      <c r="G581" s="400"/>
      <c r="H581" s="382"/>
      <c r="I581" s="401"/>
      <c r="J581" s="401"/>
      <c r="K581" s="401"/>
      <c r="L581" s="401"/>
      <c r="M581" s="401"/>
      <c r="N581" s="401"/>
      <c r="O581" s="401"/>
      <c r="P581" s="401"/>
      <c r="Q581" s="401"/>
      <c r="R581" s="389"/>
      <c r="S581" s="389"/>
      <c r="T581" s="389"/>
      <c r="U581" s="521"/>
      <c r="V581" s="402"/>
      <c r="W581" s="402"/>
      <c r="X581" s="400"/>
      <c r="Y581" s="550"/>
      <c r="Z581" s="549"/>
      <c r="AA581" s="586"/>
      <c r="AB581" s="401"/>
      <c r="AC581" s="401"/>
      <c r="AD581" s="401"/>
      <c r="AE581" s="401"/>
      <c r="AF581" s="401"/>
      <c r="AG581" s="401"/>
      <c r="AH581" s="401"/>
      <c r="AI581" s="401"/>
      <c r="AJ581" s="401"/>
      <c r="AK581" s="385"/>
      <c r="AL581" s="439"/>
      <c r="AM581" s="389"/>
      <c r="AN581" s="521"/>
      <c r="AO581" s="402"/>
      <c r="AP581" s="402"/>
      <c r="AQ581" s="400"/>
      <c r="AR581" s="337">
        <v>15</v>
      </c>
      <c r="AS581" s="549">
        <v>15</v>
      </c>
      <c r="AT581" s="585">
        <v>13.205489999999999</v>
      </c>
      <c r="AU581" s="401">
        <v>11.509</v>
      </c>
      <c r="AV581" s="401">
        <v>10.509639999999999</v>
      </c>
      <c r="AW581" s="401"/>
      <c r="AX581" s="401"/>
      <c r="AY581" s="401">
        <v>0</v>
      </c>
      <c r="AZ581" s="401">
        <v>0</v>
      </c>
      <c r="BA581" s="401">
        <v>0.39550000000000002</v>
      </c>
      <c r="BB581" s="401">
        <v>10.509639999999999</v>
      </c>
      <c r="BC581" s="401"/>
      <c r="BD581" s="385" t="s">
        <v>167</v>
      </c>
      <c r="BE581" s="439" t="s">
        <v>175</v>
      </c>
      <c r="BF581" s="389"/>
      <c r="BG581" s="521">
        <v>858</v>
      </c>
      <c r="BH581" s="402"/>
      <c r="BI581" s="402">
        <f t="shared" si="289"/>
        <v>0.88036599999999998</v>
      </c>
    </row>
    <row r="582" spans="1:61" s="359" customFormat="1" ht="19.2" x14ac:dyDescent="0.3">
      <c r="A582" s="360" t="s">
        <v>1168</v>
      </c>
      <c r="B582" s="579" t="s">
        <v>1058</v>
      </c>
      <c r="C582" s="433" t="s">
        <v>1057</v>
      </c>
      <c r="D582" s="361">
        <v>0.4</v>
      </c>
      <c r="E582" s="400"/>
      <c r="F582" s="404"/>
      <c r="G582" s="400"/>
      <c r="H582" s="382"/>
      <c r="I582" s="401"/>
      <c r="J582" s="401"/>
      <c r="K582" s="401"/>
      <c r="L582" s="401"/>
      <c r="M582" s="401"/>
      <c r="N582" s="401"/>
      <c r="O582" s="401"/>
      <c r="P582" s="401"/>
      <c r="Q582" s="401"/>
      <c r="R582" s="389"/>
      <c r="S582" s="389"/>
      <c r="T582" s="389"/>
      <c r="U582" s="521"/>
      <c r="V582" s="402"/>
      <c r="W582" s="402"/>
      <c r="X582" s="400"/>
      <c r="Y582" s="550"/>
      <c r="Z582" s="549"/>
      <c r="AA582" s="586"/>
      <c r="AB582" s="401"/>
      <c r="AC582" s="401"/>
      <c r="AD582" s="401"/>
      <c r="AE582" s="401"/>
      <c r="AF582" s="401"/>
      <c r="AG582" s="401"/>
      <c r="AH582" s="401"/>
      <c r="AI582" s="401"/>
      <c r="AJ582" s="401"/>
      <c r="AK582" s="385"/>
      <c r="AL582" s="439"/>
      <c r="AM582" s="389"/>
      <c r="AN582" s="521"/>
      <c r="AO582" s="402"/>
      <c r="AP582" s="402"/>
      <c r="AQ582" s="400"/>
      <c r="AR582" s="337">
        <v>15</v>
      </c>
      <c r="AS582" s="549">
        <v>15</v>
      </c>
      <c r="AT582" s="585">
        <v>13.20548</v>
      </c>
      <c r="AU582" s="401">
        <v>11.508990000000001</v>
      </c>
      <c r="AV582" s="401">
        <v>10.509639999999999</v>
      </c>
      <c r="AW582" s="401"/>
      <c r="AX582" s="401"/>
      <c r="AY582" s="401">
        <v>0</v>
      </c>
      <c r="AZ582" s="401">
        <v>0</v>
      </c>
      <c r="BA582" s="401">
        <v>0.39550000000000002</v>
      </c>
      <c r="BB582" s="401">
        <v>10.509639999999999</v>
      </c>
      <c r="BC582" s="401"/>
      <c r="BD582" s="385" t="s">
        <v>167</v>
      </c>
      <c r="BE582" s="439" t="s">
        <v>175</v>
      </c>
      <c r="BF582" s="389"/>
      <c r="BG582" s="521">
        <v>860</v>
      </c>
      <c r="BH582" s="402"/>
      <c r="BI582" s="402">
        <f t="shared" si="289"/>
        <v>0.88036533333333333</v>
      </c>
    </row>
    <row r="583" spans="1:61" s="359" customFormat="1" ht="19.2" x14ac:dyDescent="0.3">
      <c r="A583" s="360" t="s">
        <v>1169</v>
      </c>
      <c r="B583" s="579" t="s">
        <v>1060</v>
      </c>
      <c r="C583" s="433" t="s">
        <v>1059</v>
      </c>
      <c r="D583" s="361">
        <v>0.4</v>
      </c>
      <c r="E583" s="400"/>
      <c r="F583" s="404"/>
      <c r="G583" s="400"/>
      <c r="H583" s="382"/>
      <c r="I583" s="401"/>
      <c r="J583" s="401"/>
      <c r="K583" s="401"/>
      <c r="L583" s="401"/>
      <c r="M583" s="401"/>
      <c r="N583" s="401"/>
      <c r="O583" s="401"/>
      <c r="P583" s="401"/>
      <c r="Q583" s="401"/>
      <c r="R583" s="389"/>
      <c r="S583" s="389"/>
      <c r="T583" s="389"/>
      <c r="U583" s="521"/>
      <c r="V583" s="402"/>
      <c r="W583" s="402"/>
      <c r="X583" s="400"/>
      <c r="Y583" s="550"/>
      <c r="Z583" s="549"/>
      <c r="AA583" s="586"/>
      <c r="AB583" s="401"/>
      <c r="AC583" s="401"/>
      <c r="AD583" s="401"/>
      <c r="AE583" s="401"/>
      <c r="AF583" s="401"/>
      <c r="AG583" s="401"/>
      <c r="AH583" s="401"/>
      <c r="AI583" s="401"/>
      <c r="AJ583" s="401"/>
      <c r="AK583" s="385"/>
      <c r="AL583" s="439"/>
      <c r="AM583" s="389"/>
      <c r="AN583" s="521"/>
      <c r="AO583" s="402"/>
      <c r="AP583" s="402"/>
      <c r="AQ583" s="400"/>
      <c r="AR583" s="337">
        <v>150</v>
      </c>
      <c r="AS583" s="549">
        <v>150</v>
      </c>
      <c r="AT583" s="585">
        <v>11.479710000000001</v>
      </c>
      <c r="AU583" s="401">
        <v>9.7832100000000004</v>
      </c>
      <c r="AV583" s="401">
        <v>8.54162</v>
      </c>
      <c r="AW583" s="401"/>
      <c r="AX583" s="401"/>
      <c r="AY583" s="401">
        <v>0</v>
      </c>
      <c r="AZ583" s="401">
        <v>0</v>
      </c>
      <c r="BA583" s="401">
        <v>0.39550000000000002</v>
      </c>
      <c r="BB583" s="401">
        <v>8.54162</v>
      </c>
      <c r="BC583" s="401"/>
      <c r="BD583" s="385" t="s">
        <v>167</v>
      </c>
      <c r="BE583" s="439" t="s">
        <v>175</v>
      </c>
      <c r="BF583" s="389"/>
      <c r="BG583" s="521">
        <v>862</v>
      </c>
      <c r="BH583" s="402"/>
      <c r="BI583" s="402">
        <f t="shared" si="289"/>
        <v>7.6531399999999999E-2</v>
      </c>
    </row>
    <row r="584" spans="1:61" s="359" customFormat="1" ht="19.2" x14ac:dyDescent="0.3">
      <c r="A584" s="360" t="s">
        <v>1170</v>
      </c>
      <c r="B584" s="579" t="s">
        <v>1061</v>
      </c>
      <c r="C584" s="433" t="s">
        <v>1062</v>
      </c>
      <c r="D584" s="361">
        <v>0.4</v>
      </c>
      <c r="E584" s="400"/>
      <c r="F584" s="404"/>
      <c r="G584" s="400"/>
      <c r="H584" s="382"/>
      <c r="I584" s="401"/>
      <c r="J584" s="401"/>
      <c r="K584" s="401"/>
      <c r="L584" s="401"/>
      <c r="M584" s="401"/>
      <c r="N584" s="401"/>
      <c r="O584" s="401"/>
      <c r="P584" s="401"/>
      <c r="Q584" s="401"/>
      <c r="R584" s="389"/>
      <c r="S584" s="389"/>
      <c r="T584" s="389"/>
      <c r="U584" s="521"/>
      <c r="V584" s="402"/>
      <c r="W584" s="402"/>
      <c r="X584" s="400"/>
      <c r="Y584" s="550"/>
      <c r="Z584" s="549"/>
      <c r="AA584" s="586"/>
      <c r="AB584" s="401"/>
      <c r="AC584" s="401"/>
      <c r="AD584" s="401"/>
      <c r="AE584" s="401"/>
      <c r="AF584" s="401"/>
      <c r="AG584" s="401"/>
      <c r="AH584" s="401"/>
      <c r="AI584" s="401"/>
      <c r="AJ584" s="401"/>
      <c r="AK584" s="385"/>
      <c r="AL584" s="439"/>
      <c r="AM584" s="389"/>
      <c r="AN584" s="521"/>
      <c r="AO584" s="402"/>
      <c r="AP584" s="402"/>
      <c r="AQ584" s="400"/>
      <c r="AR584" s="337">
        <v>15</v>
      </c>
      <c r="AS584" s="549">
        <v>15</v>
      </c>
      <c r="AT584" s="585">
        <v>13.26876</v>
      </c>
      <c r="AU584" s="401">
        <v>11.53668</v>
      </c>
      <c r="AV584" s="401">
        <v>10.468249999999999</v>
      </c>
      <c r="AW584" s="401"/>
      <c r="AX584" s="401"/>
      <c r="AY584" s="401">
        <v>0</v>
      </c>
      <c r="AZ584" s="401">
        <v>0</v>
      </c>
      <c r="BA584" s="401">
        <v>0.39550000000000002</v>
      </c>
      <c r="BB584" s="401">
        <v>10.468249999999999</v>
      </c>
      <c r="BC584" s="401"/>
      <c r="BD584" s="385" t="s">
        <v>167</v>
      </c>
      <c r="BE584" s="439" t="s">
        <v>175</v>
      </c>
      <c r="BF584" s="389"/>
      <c r="BG584" s="521">
        <v>864</v>
      </c>
      <c r="BH584" s="402"/>
      <c r="BI584" s="402">
        <f t="shared" si="289"/>
        <v>0.88458400000000004</v>
      </c>
    </row>
    <row r="585" spans="1:61" s="359" customFormat="1" ht="19.2" x14ac:dyDescent="0.3">
      <c r="A585" s="360" t="s">
        <v>1171</v>
      </c>
      <c r="B585" s="579" t="s">
        <v>1064</v>
      </c>
      <c r="C585" s="433" t="s">
        <v>1063</v>
      </c>
      <c r="D585" s="361">
        <v>0.4</v>
      </c>
      <c r="E585" s="400"/>
      <c r="F585" s="404"/>
      <c r="G585" s="400"/>
      <c r="H585" s="382"/>
      <c r="I585" s="401"/>
      <c r="J585" s="401"/>
      <c r="K585" s="401"/>
      <c r="L585" s="401"/>
      <c r="M585" s="401"/>
      <c r="N585" s="401"/>
      <c r="O585" s="401"/>
      <c r="P585" s="401"/>
      <c r="Q585" s="401"/>
      <c r="R585" s="389"/>
      <c r="S585" s="389"/>
      <c r="T585" s="389"/>
      <c r="U585" s="521"/>
      <c r="V585" s="402"/>
      <c r="W585" s="402"/>
      <c r="X585" s="400"/>
      <c r="Y585" s="550"/>
      <c r="Z585" s="549"/>
      <c r="AA585" s="586"/>
      <c r="AB585" s="401"/>
      <c r="AC585" s="401"/>
      <c r="AD585" s="401"/>
      <c r="AE585" s="401"/>
      <c r="AF585" s="401"/>
      <c r="AG585" s="401"/>
      <c r="AH585" s="401"/>
      <c r="AI585" s="401"/>
      <c r="AJ585" s="401"/>
      <c r="AK585" s="385"/>
      <c r="AL585" s="439"/>
      <c r="AM585" s="389"/>
      <c r="AN585" s="521"/>
      <c r="AO585" s="402"/>
      <c r="AP585" s="402"/>
      <c r="AQ585" s="400"/>
      <c r="AR585" s="337">
        <v>15</v>
      </c>
      <c r="AS585" s="549">
        <v>15</v>
      </c>
      <c r="AT585" s="585">
        <v>11.479710000000001</v>
      </c>
      <c r="AU585" s="401">
        <v>9.7832100000000004</v>
      </c>
      <c r="AV585" s="401">
        <v>8.54162</v>
      </c>
      <c r="AW585" s="401"/>
      <c r="AX585" s="401"/>
      <c r="AY585" s="401">
        <v>0</v>
      </c>
      <c r="AZ585" s="401">
        <v>0</v>
      </c>
      <c r="BA585" s="401">
        <v>0.39550000000000002</v>
      </c>
      <c r="BB585" s="401">
        <v>8.54162</v>
      </c>
      <c r="BC585" s="401"/>
      <c r="BD585" s="385" t="s">
        <v>167</v>
      </c>
      <c r="BE585" s="439" t="s">
        <v>175</v>
      </c>
      <c r="BF585" s="389"/>
      <c r="BG585" s="521">
        <v>866</v>
      </c>
      <c r="BH585" s="402"/>
      <c r="BI585" s="402">
        <f t="shared" si="289"/>
        <v>0.76531400000000005</v>
      </c>
    </row>
    <row r="586" spans="1:61" s="359" customFormat="1" ht="19.2" x14ac:dyDescent="0.3">
      <c r="A586" s="360" t="s">
        <v>1172</v>
      </c>
      <c r="B586" s="579" t="s">
        <v>1066</v>
      </c>
      <c r="C586" s="433" t="s">
        <v>1065</v>
      </c>
      <c r="D586" s="361">
        <v>0.4</v>
      </c>
      <c r="E586" s="400"/>
      <c r="F586" s="404"/>
      <c r="G586" s="400"/>
      <c r="H586" s="382"/>
      <c r="I586" s="401"/>
      <c r="J586" s="401"/>
      <c r="K586" s="401"/>
      <c r="L586" s="401"/>
      <c r="M586" s="401"/>
      <c r="N586" s="401"/>
      <c r="O586" s="401"/>
      <c r="P586" s="401"/>
      <c r="Q586" s="401"/>
      <c r="R586" s="389"/>
      <c r="S586" s="389"/>
      <c r="T586" s="389"/>
      <c r="U586" s="521"/>
      <c r="V586" s="402"/>
      <c r="W586" s="402"/>
      <c r="X586" s="400"/>
      <c r="Y586" s="550"/>
      <c r="Z586" s="549"/>
      <c r="AA586" s="586"/>
      <c r="AB586" s="401"/>
      <c r="AC586" s="401"/>
      <c r="AD586" s="401"/>
      <c r="AE586" s="401"/>
      <c r="AF586" s="401"/>
      <c r="AG586" s="401"/>
      <c r="AH586" s="401"/>
      <c r="AI586" s="401"/>
      <c r="AJ586" s="401"/>
      <c r="AK586" s="385"/>
      <c r="AL586" s="439"/>
      <c r="AM586" s="389"/>
      <c r="AN586" s="521"/>
      <c r="AO586" s="402"/>
      <c r="AP586" s="402"/>
      <c r="AQ586" s="400"/>
      <c r="AR586" s="337">
        <v>15</v>
      </c>
      <c r="AS586" s="549">
        <v>15</v>
      </c>
      <c r="AT586" s="585">
        <v>11.479710000000001</v>
      </c>
      <c r="AU586" s="401">
        <v>9.7832299999999996</v>
      </c>
      <c r="AV586" s="401">
        <v>8.5416399999999992</v>
      </c>
      <c r="AW586" s="401"/>
      <c r="AX586" s="401"/>
      <c r="AY586" s="401">
        <v>0</v>
      </c>
      <c r="AZ586" s="401">
        <v>0</v>
      </c>
      <c r="BA586" s="401">
        <v>0.39550000000000002</v>
      </c>
      <c r="BB586" s="401">
        <v>8.5416399999999992</v>
      </c>
      <c r="BC586" s="401"/>
      <c r="BD586" s="385" t="s">
        <v>167</v>
      </c>
      <c r="BE586" s="439" t="s">
        <v>175</v>
      </c>
      <c r="BF586" s="389"/>
      <c r="BG586" s="521">
        <v>868</v>
      </c>
      <c r="BH586" s="402"/>
      <c r="BI586" s="402">
        <f t="shared" si="289"/>
        <v>0.76531400000000005</v>
      </c>
    </row>
    <row r="587" spans="1:61" s="359" customFormat="1" ht="19.2" x14ac:dyDescent="0.3">
      <c r="A587" s="360" t="s">
        <v>1173</v>
      </c>
      <c r="B587" s="579" t="s">
        <v>1068</v>
      </c>
      <c r="C587" s="433" t="s">
        <v>1067</v>
      </c>
      <c r="D587" s="361">
        <v>0.4</v>
      </c>
      <c r="E587" s="400"/>
      <c r="F587" s="404"/>
      <c r="G587" s="400"/>
      <c r="H587" s="382"/>
      <c r="I587" s="401"/>
      <c r="J587" s="401"/>
      <c r="K587" s="401"/>
      <c r="L587" s="401"/>
      <c r="M587" s="401"/>
      <c r="N587" s="401"/>
      <c r="O587" s="401"/>
      <c r="P587" s="401"/>
      <c r="Q587" s="401"/>
      <c r="R587" s="389"/>
      <c r="S587" s="389"/>
      <c r="T587" s="389"/>
      <c r="U587" s="521"/>
      <c r="V587" s="402"/>
      <c r="W587" s="402"/>
      <c r="X587" s="400"/>
      <c r="Y587" s="550"/>
      <c r="Z587" s="549"/>
      <c r="AA587" s="586"/>
      <c r="AB587" s="401"/>
      <c r="AC587" s="401"/>
      <c r="AD587" s="401"/>
      <c r="AE587" s="401"/>
      <c r="AF587" s="401"/>
      <c r="AG587" s="401"/>
      <c r="AH587" s="401"/>
      <c r="AI587" s="401"/>
      <c r="AJ587" s="401"/>
      <c r="AK587" s="385"/>
      <c r="AL587" s="439"/>
      <c r="AM587" s="389"/>
      <c r="AN587" s="521"/>
      <c r="AO587" s="402"/>
      <c r="AP587" s="402"/>
      <c r="AQ587" s="400"/>
      <c r="AR587" s="337">
        <v>15</v>
      </c>
      <c r="AS587" s="549">
        <v>15</v>
      </c>
      <c r="AT587" s="585">
        <v>11.47969</v>
      </c>
      <c r="AU587" s="401">
        <v>9.7832100000000004</v>
      </c>
      <c r="AV587" s="401">
        <v>8.54162</v>
      </c>
      <c r="AW587" s="401"/>
      <c r="AX587" s="401"/>
      <c r="AY587" s="401">
        <v>0</v>
      </c>
      <c r="AZ587" s="401">
        <v>0</v>
      </c>
      <c r="BA587" s="401">
        <v>0.39550000000000002</v>
      </c>
      <c r="BB587" s="401">
        <v>8.54162</v>
      </c>
      <c r="BC587" s="401"/>
      <c r="BD587" s="385" t="s">
        <v>167</v>
      </c>
      <c r="BE587" s="439" t="s">
        <v>175</v>
      </c>
      <c r="BF587" s="389"/>
      <c r="BG587" s="521">
        <v>870</v>
      </c>
      <c r="BH587" s="402"/>
      <c r="BI587" s="402">
        <f t="shared" si="289"/>
        <v>0.76531266666666664</v>
      </c>
    </row>
    <row r="588" spans="1:61" s="359" customFormat="1" ht="19.2" x14ac:dyDescent="0.3">
      <c r="A588" s="360" t="s">
        <v>1174</v>
      </c>
      <c r="B588" s="579" t="s">
        <v>1069</v>
      </c>
      <c r="C588" s="433" t="s">
        <v>1070</v>
      </c>
      <c r="D588" s="361">
        <v>0.4</v>
      </c>
      <c r="E588" s="400"/>
      <c r="F588" s="404"/>
      <c r="G588" s="400"/>
      <c r="H588" s="382"/>
      <c r="I588" s="401"/>
      <c r="J588" s="401"/>
      <c r="K588" s="401"/>
      <c r="L588" s="401"/>
      <c r="M588" s="401"/>
      <c r="N588" s="401"/>
      <c r="O588" s="401"/>
      <c r="P588" s="401"/>
      <c r="Q588" s="401"/>
      <c r="R588" s="389"/>
      <c r="S588" s="389"/>
      <c r="T588" s="389"/>
      <c r="U588" s="521"/>
      <c r="V588" s="402"/>
      <c r="W588" s="402"/>
      <c r="X588" s="400"/>
      <c r="Y588" s="550"/>
      <c r="Z588" s="549"/>
      <c r="AA588" s="586"/>
      <c r="AB588" s="401"/>
      <c r="AC588" s="401"/>
      <c r="AD588" s="401"/>
      <c r="AE588" s="401"/>
      <c r="AF588" s="401"/>
      <c r="AG588" s="401"/>
      <c r="AH588" s="401"/>
      <c r="AI588" s="401"/>
      <c r="AJ588" s="401"/>
      <c r="AK588" s="385"/>
      <c r="AL588" s="439"/>
      <c r="AM588" s="389"/>
      <c r="AN588" s="521"/>
      <c r="AO588" s="402"/>
      <c r="AP588" s="402"/>
      <c r="AQ588" s="400"/>
      <c r="AR588" s="337">
        <v>15</v>
      </c>
      <c r="AS588" s="549">
        <v>15</v>
      </c>
      <c r="AT588" s="585">
        <v>11.479699999999999</v>
      </c>
      <c r="AU588" s="401">
        <v>9.7832100000000004</v>
      </c>
      <c r="AV588" s="401">
        <v>8.54162</v>
      </c>
      <c r="AW588" s="401"/>
      <c r="AX588" s="401"/>
      <c r="AY588" s="401">
        <v>0</v>
      </c>
      <c r="AZ588" s="401">
        <v>0</v>
      </c>
      <c r="BA588" s="401">
        <v>0.39550000000000002</v>
      </c>
      <c r="BB588" s="401">
        <v>8.54162</v>
      </c>
      <c r="BC588" s="401"/>
      <c r="BD588" s="385" t="s">
        <v>167</v>
      </c>
      <c r="BE588" s="439" t="s">
        <v>175</v>
      </c>
      <c r="BF588" s="389"/>
      <c r="BG588" s="521">
        <v>872</v>
      </c>
      <c r="BH588" s="402"/>
      <c r="BI588" s="402">
        <f t="shared" si="289"/>
        <v>0.76531333333333329</v>
      </c>
    </row>
    <row r="589" spans="1:61" s="359" customFormat="1" ht="19.2" x14ac:dyDescent="0.3">
      <c r="A589" s="360" t="s">
        <v>1175</v>
      </c>
      <c r="B589" s="579" t="s">
        <v>1072</v>
      </c>
      <c r="C589" s="433" t="s">
        <v>1071</v>
      </c>
      <c r="D589" s="361">
        <v>0.4</v>
      </c>
      <c r="E589" s="400"/>
      <c r="F589" s="404"/>
      <c r="G589" s="400"/>
      <c r="H589" s="382"/>
      <c r="I589" s="401"/>
      <c r="J589" s="401"/>
      <c r="K589" s="401"/>
      <c r="L589" s="401"/>
      <c r="M589" s="401"/>
      <c r="N589" s="401"/>
      <c r="O589" s="401"/>
      <c r="P589" s="401"/>
      <c r="Q589" s="401"/>
      <c r="R589" s="389"/>
      <c r="S589" s="389"/>
      <c r="T589" s="389"/>
      <c r="U589" s="521"/>
      <c r="V589" s="402"/>
      <c r="W589" s="402"/>
      <c r="X589" s="400"/>
      <c r="Y589" s="550"/>
      <c r="Z589" s="549"/>
      <c r="AA589" s="586"/>
      <c r="AB589" s="401"/>
      <c r="AC589" s="401"/>
      <c r="AD589" s="401"/>
      <c r="AE589" s="401"/>
      <c r="AF589" s="401"/>
      <c r="AG589" s="401"/>
      <c r="AH589" s="401"/>
      <c r="AI589" s="401"/>
      <c r="AJ589" s="401"/>
      <c r="AK589" s="385"/>
      <c r="AL589" s="439"/>
      <c r="AM589" s="389"/>
      <c r="AN589" s="521"/>
      <c r="AO589" s="402"/>
      <c r="AP589" s="402"/>
      <c r="AQ589" s="400"/>
      <c r="AR589" s="337">
        <v>15</v>
      </c>
      <c r="AS589" s="549">
        <v>15</v>
      </c>
      <c r="AT589" s="585">
        <v>11.58774</v>
      </c>
      <c r="AU589" s="401">
        <v>9.7025600000000001</v>
      </c>
      <c r="AV589" s="401">
        <v>8.6341300000000007</v>
      </c>
      <c r="AW589" s="401"/>
      <c r="AX589" s="401"/>
      <c r="AY589" s="401">
        <v>0</v>
      </c>
      <c r="AZ589" s="401">
        <v>0</v>
      </c>
      <c r="BA589" s="401">
        <v>0.39550000000000002</v>
      </c>
      <c r="BB589" s="401">
        <v>8.6341300000000007</v>
      </c>
      <c r="BC589" s="401"/>
      <c r="BD589" s="385" t="s">
        <v>167</v>
      </c>
      <c r="BE589" s="439" t="s">
        <v>175</v>
      </c>
      <c r="BF589" s="389"/>
      <c r="BG589" s="521">
        <v>874</v>
      </c>
      <c r="BH589" s="402"/>
      <c r="BI589" s="402">
        <f t="shared" si="289"/>
        <v>0.77251599999999998</v>
      </c>
    </row>
    <row r="590" spans="1:61" s="359" customFormat="1" ht="19.2" x14ac:dyDescent="0.3">
      <c r="A590" s="360" t="s">
        <v>1176</v>
      </c>
      <c r="B590" s="579" t="s">
        <v>1074</v>
      </c>
      <c r="C590" s="433" t="s">
        <v>1073</v>
      </c>
      <c r="D590" s="361">
        <v>0.4</v>
      </c>
      <c r="E590" s="400"/>
      <c r="F590" s="404"/>
      <c r="G590" s="400"/>
      <c r="H590" s="382"/>
      <c r="I590" s="401"/>
      <c r="J590" s="401"/>
      <c r="K590" s="401"/>
      <c r="L590" s="401"/>
      <c r="M590" s="401"/>
      <c r="N590" s="401"/>
      <c r="O590" s="401"/>
      <c r="P590" s="401"/>
      <c r="Q590" s="401"/>
      <c r="R590" s="389"/>
      <c r="S590" s="389"/>
      <c r="T590" s="389"/>
      <c r="U590" s="521"/>
      <c r="V590" s="402"/>
      <c r="W590" s="402"/>
      <c r="X590" s="400"/>
      <c r="Y590" s="550"/>
      <c r="Z590" s="549"/>
      <c r="AA590" s="586"/>
      <c r="AB590" s="401"/>
      <c r="AC590" s="401"/>
      <c r="AD590" s="401"/>
      <c r="AE590" s="401"/>
      <c r="AF590" s="401"/>
      <c r="AG590" s="401"/>
      <c r="AH590" s="401"/>
      <c r="AI590" s="401"/>
      <c r="AJ590" s="401"/>
      <c r="AK590" s="385"/>
      <c r="AL590" s="439"/>
      <c r="AM590" s="389"/>
      <c r="AN590" s="521"/>
      <c r="AO590" s="402"/>
      <c r="AP590" s="402"/>
      <c r="AQ590" s="400"/>
      <c r="AR590" s="337">
        <v>15</v>
      </c>
      <c r="AS590" s="549">
        <v>15</v>
      </c>
      <c r="AT590" s="585">
        <v>11.479710000000001</v>
      </c>
      <c r="AU590" s="401">
        <v>9.7832100000000004</v>
      </c>
      <c r="AV590" s="401">
        <v>8.54162</v>
      </c>
      <c r="AW590" s="401"/>
      <c r="AX590" s="401"/>
      <c r="AY590" s="401">
        <v>0</v>
      </c>
      <c r="AZ590" s="401">
        <v>0</v>
      </c>
      <c r="BA590" s="401">
        <v>0.39550000000000002</v>
      </c>
      <c r="BB590" s="401">
        <v>8.54162</v>
      </c>
      <c r="BC590" s="401"/>
      <c r="BD590" s="385" t="s">
        <v>167</v>
      </c>
      <c r="BE590" s="439" t="s">
        <v>175</v>
      </c>
      <c r="BF590" s="389"/>
      <c r="BG590" s="521">
        <v>876</v>
      </c>
      <c r="BH590" s="402"/>
      <c r="BI590" s="402">
        <f t="shared" si="289"/>
        <v>0.76531400000000005</v>
      </c>
    </row>
    <row r="591" spans="1:61" s="359" customFormat="1" ht="19.2" x14ac:dyDescent="0.3">
      <c r="A591" s="360" t="s">
        <v>1177</v>
      </c>
      <c r="B591" s="579" t="s">
        <v>1075</v>
      </c>
      <c r="C591" s="433" t="s">
        <v>1076</v>
      </c>
      <c r="D591" s="361">
        <v>0.4</v>
      </c>
      <c r="E591" s="400"/>
      <c r="F591" s="404"/>
      <c r="G591" s="400"/>
      <c r="H591" s="382"/>
      <c r="I591" s="401"/>
      <c r="J591" s="401"/>
      <c r="K591" s="401"/>
      <c r="L591" s="401"/>
      <c r="M591" s="401"/>
      <c r="N591" s="401"/>
      <c r="O591" s="401"/>
      <c r="P591" s="401"/>
      <c r="Q591" s="401"/>
      <c r="R591" s="389"/>
      <c r="S591" s="389"/>
      <c r="T591" s="389"/>
      <c r="U591" s="521"/>
      <c r="V591" s="402"/>
      <c r="W591" s="402"/>
      <c r="X591" s="400"/>
      <c r="Y591" s="550"/>
      <c r="Z591" s="549"/>
      <c r="AA591" s="586"/>
      <c r="AB591" s="401"/>
      <c r="AC591" s="401"/>
      <c r="AD591" s="401"/>
      <c r="AE591" s="401"/>
      <c r="AF591" s="401"/>
      <c r="AG591" s="401"/>
      <c r="AH591" s="401"/>
      <c r="AI591" s="401"/>
      <c r="AJ591" s="401"/>
      <c r="AK591" s="385"/>
      <c r="AL591" s="439"/>
      <c r="AM591" s="389"/>
      <c r="AN591" s="521"/>
      <c r="AO591" s="402"/>
      <c r="AP591" s="402"/>
      <c r="AQ591" s="400"/>
      <c r="AR591" s="337">
        <v>15</v>
      </c>
      <c r="AS591" s="549">
        <v>15</v>
      </c>
      <c r="AT591" s="585">
        <v>11.30655</v>
      </c>
      <c r="AU591" s="401">
        <v>9.6100499999999993</v>
      </c>
      <c r="AV591" s="401">
        <v>8.54162</v>
      </c>
      <c r="AW591" s="401"/>
      <c r="AX591" s="401"/>
      <c r="AY591" s="401">
        <v>0</v>
      </c>
      <c r="AZ591" s="401">
        <v>0</v>
      </c>
      <c r="BA591" s="401">
        <v>0.39550000000000002</v>
      </c>
      <c r="BB591" s="401">
        <v>8.54162</v>
      </c>
      <c r="BC591" s="401"/>
      <c r="BD591" s="385" t="s">
        <v>167</v>
      </c>
      <c r="BE591" s="439" t="s">
        <v>175</v>
      </c>
      <c r="BF591" s="389"/>
      <c r="BG591" s="521">
        <v>878</v>
      </c>
      <c r="BH591" s="402"/>
      <c r="BI591" s="402">
        <f t="shared" si="289"/>
        <v>0.75376999999999994</v>
      </c>
    </row>
    <row r="592" spans="1:61" s="359" customFormat="1" ht="19.2" x14ac:dyDescent="0.3">
      <c r="A592" s="360" t="s">
        <v>1178</v>
      </c>
      <c r="B592" s="579" t="s">
        <v>1077</v>
      </c>
      <c r="C592" s="433" t="s">
        <v>1078</v>
      </c>
      <c r="D592" s="361">
        <v>0.4</v>
      </c>
      <c r="E592" s="400"/>
      <c r="F592" s="404"/>
      <c r="G592" s="400"/>
      <c r="H592" s="382"/>
      <c r="I592" s="401"/>
      <c r="J592" s="401"/>
      <c r="K592" s="401"/>
      <c r="L592" s="401"/>
      <c r="M592" s="401"/>
      <c r="N592" s="401"/>
      <c r="O592" s="401"/>
      <c r="P592" s="401"/>
      <c r="Q592" s="401"/>
      <c r="R592" s="389"/>
      <c r="S592" s="389"/>
      <c r="T592" s="389"/>
      <c r="U592" s="521"/>
      <c r="V592" s="402"/>
      <c r="W592" s="402"/>
      <c r="X592" s="400"/>
      <c r="Y592" s="550"/>
      <c r="Z592" s="549"/>
      <c r="AA592" s="586"/>
      <c r="AB592" s="401"/>
      <c r="AC592" s="401"/>
      <c r="AD592" s="401"/>
      <c r="AE592" s="401"/>
      <c r="AF592" s="401"/>
      <c r="AG592" s="401"/>
      <c r="AH592" s="401"/>
      <c r="AI592" s="401"/>
      <c r="AJ592" s="401"/>
      <c r="AK592" s="385"/>
      <c r="AL592" s="439"/>
      <c r="AM592" s="389"/>
      <c r="AN592" s="521"/>
      <c r="AO592" s="402"/>
      <c r="AP592" s="402"/>
      <c r="AQ592" s="400"/>
      <c r="AR592" s="337">
        <v>25</v>
      </c>
      <c r="AS592" s="549">
        <v>25</v>
      </c>
      <c r="AT592" s="585">
        <v>11.479710000000001</v>
      </c>
      <c r="AU592" s="401">
        <v>9.7832100000000004</v>
      </c>
      <c r="AV592" s="401">
        <v>8.54162</v>
      </c>
      <c r="AW592" s="401"/>
      <c r="AX592" s="401"/>
      <c r="AY592" s="401">
        <v>0</v>
      </c>
      <c r="AZ592" s="401">
        <v>0</v>
      </c>
      <c r="BA592" s="401">
        <v>0.39550000000000002</v>
      </c>
      <c r="BB592" s="401">
        <v>8.54162</v>
      </c>
      <c r="BC592" s="401"/>
      <c r="BD592" s="385" t="s">
        <v>167</v>
      </c>
      <c r="BE592" s="439" t="s">
        <v>175</v>
      </c>
      <c r="BF592" s="389"/>
      <c r="BG592" s="521">
        <v>880</v>
      </c>
      <c r="BH592" s="402"/>
      <c r="BI592" s="402">
        <f t="shared" si="289"/>
        <v>0.45918840000000005</v>
      </c>
    </row>
    <row r="593" spans="1:61" s="359" customFormat="1" ht="19.2" x14ac:dyDescent="0.3">
      <c r="A593" s="360" t="s">
        <v>1179</v>
      </c>
      <c r="B593" s="579" t="s">
        <v>1081</v>
      </c>
      <c r="C593" s="433" t="s">
        <v>1082</v>
      </c>
      <c r="D593" s="361">
        <v>0.4</v>
      </c>
      <c r="E593" s="400"/>
      <c r="F593" s="404"/>
      <c r="G593" s="400"/>
      <c r="H593" s="382"/>
      <c r="I593" s="401"/>
      <c r="J593" s="401"/>
      <c r="K593" s="401"/>
      <c r="L593" s="401"/>
      <c r="M593" s="401"/>
      <c r="N593" s="401"/>
      <c r="O593" s="401"/>
      <c r="P593" s="401"/>
      <c r="Q593" s="401"/>
      <c r="R593" s="389"/>
      <c r="S593" s="389"/>
      <c r="T593" s="389"/>
      <c r="U593" s="521"/>
      <c r="V593" s="402"/>
      <c r="W593" s="402"/>
      <c r="X593" s="400"/>
      <c r="Y593" s="550"/>
      <c r="Z593" s="549"/>
      <c r="AA593" s="586"/>
      <c r="AB593" s="401"/>
      <c r="AC593" s="401"/>
      <c r="AD593" s="401"/>
      <c r="AE593" s="401"/>
      <c r="AF593" s="401"/>
      <c r="AG593" s="401"/>
      <c r="AH593" s="401"/>
      <c r="AI593" s="401"/>
      <c r="AJ593" s="401"/>
      <c r="AK593" s="385"/>
      <c r="AL593" s="439"/>
      <c r="AM593" s="389"/>
      <c r="AN593" s="521"/>
      <c r="AO593" s="402"/>
      <c r="AP593" s="402"/>
      <c r="AQ593" s="400"/>
      <c r="AR593" s="337">
        <v>15</v>
      </c>
      <c r="AS593" s="549">
        <v>15</v>
      </c>
      <c r="AT593" s="585">
        <v>11.306559999999999</v>
      </c>
      <c r="AU593" s="401">
        <v>9.61008</v>
      </c>
      <c r="AV593" s="401">
        <v>8.5416500000000006</v>
      </c>
      <c r="AW593" s="401"/>
      <c r="AX593" s="401"/>
      <c r="AY593" s="401">
        <v>0</v>
      </c>
      <c r="AZ593" s="401">
        <v>0</v>
      </c>
      <c r="BA593" s="401">
        <v>0.39550000000000002</v>
      </c>
      <c r="BB593" s="401">
        <v>8.5416500000000006</v>
      </c>
      <c r="BC593" s="401"/>
      <c r="BD593" s="385" t="s">
        <v>167</v>
      </c>
      <c r="BE593" s="439" t="s">
        <v>175</v>
      </c>
      <c r="BF593" s="389"/>
      <c r="BG593" s="521">
        <v>882</v>
      </c>
      <c r="BH593" s="402"/>
      <c r="BI593" s="402">
        <f t="shared" si="289"/>
        <v>0.75377066666666659</v>
      </c>
    </row>
    <row r="594" spans="1:61" s="359" customFormat="1" ht="19.2" x14ac:dyDescent="0.3">
      <c r="A594" s="360" t="s">
        <v>1180</v>
      </c>
      <c r="B594" s="579" t="s">
        <v>1084</v>
      </c>
      <c r="C594" s="433" t="s">
        <v>1083</v>
      </c>
      <c r="D594" s="361">
        <v>0.4</v>
      </c>
      <c r="E594" s="400"/>
      <c r="F594" s="404"/>
      <c r="G594" s="400"/>
      <c r="H594" s="382"/>
      <c r="I594" s="401"/>
      <c r="J594" s="401"/>
      <c r="K594" s="401"/>
      <c r="L594" s="401"/>
      <c r="M594" s="401"/>
      <c r="N594" s="401"/>
      <c r="O594" s="401"/>
      <c r="P594" s="401"/>
      <c r="Q594" s="401"/>
      <c r="R594" s="389"/>
      <c r="S594" s="389"/>
      <c r="T594" s="389"/>
      <c r="U594" s="521"/>
      <c r="V594" s="402"/>
      <c r="W594" s="402"/>
      <c r="X594" s="400"/>
      <c r="Y594" s="550"/>
      <c r="Z594" s="549"/>
      <c r="AA594" s="586"/>
      <c r="AB594" s="401"/>
      <c r="AC594" s="401"/>
      <c r="AD594" s="401"/>
      <c r="AE594" s="401"/>
      <c r="AF594" s="401"/>
      <c r="AG594" s="401"/>
      <c r="AH594" s="401"/>
      <c r="AI594" s="401"/>
      <c r="AJ594" s="401"/>
      <c r="AK594" s="385"/>
      <c r="AL594" s="439"/>
      <c r="AM594" s="389"/>
      <c r="AN594" s="521"/>
      <c r="AO594" s="402"/>
      <c r="AP594" s="402"/>
      <c r="AQ594" s="400"/>
      <c r="AR594" s="337">
        <v>15</v>
      </c>
      <c r="AS594" s="549">
        <v>15</v>
      </c>
      <c r="AT594" s="585">
        <v>11.479710000000001</v>
      </c>
      <c r="AU594" s="401">
        <v>9.7832299999999996</v>
      </c>
      <c r="AV594" s="401">
        <v>8.5416399999999992</v>
      </c>
      <c r="AW594" s="401"/>
      <c r="AX594" s="401"/>
      <c r="AY594" s="401">
        <v>0</v>
      </c>
      <c r="AZ594" s="401">
        <v>0</v>
      </c>
      <c r="BA594" s="401">
        <v>0.39550000000000002</v>
      </c>
      <c r="BB594" s="401">
        <v>8.5416399999999992</v>
      </c>
      <c r="BC594" s="401"/>
      <c r="BD594" s="385" t="s">
        <v>167</v>
      </c>
      <c r="BE594" s="439" t="s">
        <v>175</v>
      </c>
      <c r="BF594" s="389"/>
      <c r="BG594" s="521">
        <v>884</v>
      </c>
      <c r="BH594" s="402"/>
      <c r="BI594" s="402">
        <f t="shared" si="289"/>
        <v>0.76531400000000005</v>
      </c>
    </row>
    <row r="595" spans="1:61" s="359" customFormat="1" ht="19.2" x14ac:dyDescent="0.3">
      <c r="A595" s="360" t="s">
        <v>1181</v>
      </c>
      <c r="B595" s="579" t="s">
        <v>1085</v>
      </c>
      <c r="C595" s="433" t="s">
        <v>1086</v>
      </c>
      <c r="D595" s="361">
        <v>0.4</v>
      </c>
      <c r="E595" s="400"/>
      <c r="F595" s="404"/>
      <c r="G595" s="400"/>
      <c r="H595" s="382"/>
      <c r="I595" s="401"/>
      <c r="J595" s="401"/>
      <c r="K595" s="401"/>
      <c r="L595" s="401"/>
      <c r="M595" s="401"/>
      <c r="N595" s="401"/>
      <c r="O595" s="401"/>
      <c r="P595" s="401"/>
      <c r="Q595" s="401"/>
      <c r="R595" s="389"/>
      <c r="S595" s="389"/>
      <c r="T595" s="389"/>
      <c r="U595" s="521"/>
      <c r="V595" s="402"/>
      <c r="W595" s="402"/>
      <c r="X595" s="400"/>
      <c r="Y595" s="550"/>
      <c r="Z595" s="549"/>
      <c r="AA595" s="586"/>
      <c r="AB595" s="401"/>
      <c r="AC595" s="401"/>
      <c r="AD595" s="401"/>
      <c r="AE595" s="401"/>
      <c r="AF595" s="401"/>
      <c r="AG595" s="401"/>
      <c r="AH595" s="401"/>
      <c r="AI595" s="401"/>
      <c r="AJ595" s="401"/>
      <c r="AK595" s="385"/>
      <c r="AL595" s="439"/>
      <c r="AM595" s="389"/>
      <c r="AN595" s="521"/>
      <c r="AO595" s="402"/>
      <c r="AP595" s="402"/>
      <c r="AQ595" s="400"/>
      <c r="AR595" s="337">
        <v>15</v>
      </c>
      <c r="AS595" s="549">
        <v>15</v>
      </c>
      <c r="AT595" s="585">
        <v>13.26876</v>
      </c>
      <c r="AU595" s="401">
        <v>11.53668</v>
      </c>
      <c r="AV595" s="401">
        <v>10.468249999999999</v>
      </c>
      <c r="AW595" s="401"/>
      <c r="AX595" s="401"/>
      <c r="AY595" s="401">
        <v>0</v>
      </c>
      <c r="AZ595" s="401">
        <v>0</v>
      </c>
      <c r="BA595" s="401">
        <v>0.39550000000000002</v>
      </c>
      <c r="BB595" s="401">
        <v>10.468249999999999</v>
      </c>
      <c r="BC595" s="401"/>
      <c r="BD595" s="385" t="s">
        <v>167</v>
      </c>
      <c r="BE595" s="439" t="s">
        <v>175</v>
      </c>
      <c r="BF595" s="389"/>
      <c r="BG595" s="521">
        <v>886</v>
      </c>
      <c r="BH595" s="402"/>
      <c r="BI595" s="402">
        <f t="shared" si="289"/>
        <v>0.88458400000000004</v>
      </c>
    </row>
    <row r="596" spans="1:61" s="359" customFormat="1" ht="19.2" x14ac:dyDescent="0.3">
      <c r="A596" s="360" t="s">
        <v>1182</v>
      </c>
      <c r="B596" s="579" t="s">
        <v>1087</v>
      </c>
      <c r="C596" s="433" t="s">
        <v>1088</v>
      </c>
      <c r="D596" s="361">
        <v>0.4</v>
      </c>
      <c r="E596" s="400"/>
      <c r="F596" s="404"/>
      <c r="G596" s="400"/>
      <c r="H596" s="382"/>
      <c r="I596" s="401"/>
      <c r="J596" s="401"/>
      <c r="K596" s="401"/>
      <c r="L596" s="401"/>
      <c r="M596" s="401"/>
      <c r="N596" s="401"/>
      <c r="O596" s="401"/>
      <c r="P596" s="401"/>
      <c r="Q596" s="401"/>
      <c r="R596" s="389"/>
      <c r="S596" s="389"/>
      <c r="T596" s="389"/>
      <c r="U596" s="521"/>
      <c r="V596" s="402"/>
      <c r="W596" s="402"/>
      <c r="X596" s="400"/>
      <c r="Y596" s="550"/>
      <c r="Z596" s="549"/>
      <c r="AA596" s="586"/>
      <c r="AB596" s="401"/>
      <c r="AC596" s="401"/>
      <c r="AD596" s="401"/>
      <c r="AE596" s="401"/>
      <c r="AF596" s="401"/>
      <c r="AG596" s="401"/>
      <c r="AH596" s="401"/>
      <c r="AI596" s="401"/>
      <c r="AJ596" s="401"/>
      <c r="AK596" s="385"/>
      <c r="AL596" s="439"/>
      <c r="AM596" s="389"/>
      <c r="AN596" s="521"/>
      <c r="AO596" s="402"/>
      <c r="AP596" s="402"/>
      <c r="AQ596" s="400"/>
      <c r="AR596" s="337">
        <v>15</v>
      </c>
      <c r="AS596" s="549">
        <v>15</v>
      </c>
      <c r="AT596" s="585">
        <v>11.479699999999999</v>
      </c>
      <c r="AU596" s="401">
        <v>9.7832000000000008</v>
      </c>
      <c r="AV596" s="401">
        <v>8.5416100000000004</v>
      </c>
      <c r="AW596" s="401"/>
      <c r="AX596" s="401"/>
      <c r="AY596" s="401">
        <v>0</v>
      </c>
      <c r="AZ596" s="401">
        <v>0</v>
      </c>
      <c r="BA596" s="401">
        <v>0.39550000000000002</v>
      </c>
      <c r="BB596" s="401">
        <v>8.5416100000000004</v>
      </c>
      <c r="BC596" s="401"/>
      <c r="BD596" s="385" t="s">
        <v>167</v>
      </c>
      <c r="BE596" s="439" t="s">
        <v>175</v>
      </c>
      <c r="BF596" s="389"/>
      <c r="BG596" s="521">
        <v>888</v>
      </c>
      <c r="BH596" s="402"/>
      <c r="BI596" s="402">
        <f t="shared" ref="BI596:BI599" si="290">AT596/AR596</f>
        <v>0.76531333333333329</v>
      </c>
    </row>
    <row r="597" spans="1:61" s="359" customFormat="1" ht="19.2" x14ac:dyDescent="0.3">
      <c r="A597" s="360" t="s">
        <v>1183</v>
      </c>
      <c r="B597" s="579" t="s">
        <v>1089</v>
      </c>
      <c r="C597" s="433" t="s">
        <v>1090</v>
      </c>
      <c r="D597" s="361">
        <v>0.4</v>
      </c>
      <c r="E597" s="400"/>
      <c r="F597" s="404"/>
      <c r="G597" s="400"/>
      <c r="H597" s="382"/>
      <c r="I597" s="401"/>
      <c r="J597" s="401"/>
      <c r="K597" s="401"/>
      <c r="L597" s="401"/>
      <c r="M597" s="401"/>
      <c r="N597" s="401"/>
      <c r="O597" s="401"/>
      <c r="P597" s="401"/>
      <c r="Q597" s="401"/>
      <c r="R597" s="389"/>
      <c r="S597" s="389"/>
      <c r="T597" s="389"/>
      <c r="U597" s="521"/>
      <c r="V597" s="402"/>
      <c r="W597" s="402"/>
      <c r="X597" s="400"/>
      <c r="Y597" s="550"/>
      <c r="Z597" s="549"/>
      <c r="AA597" s="586"/>
      <c r="AB597" s="401"/>
      <c r="AC597" s="401"/>
      <c r="AD597" s="401"/>
      <c r="AE597" s="401"/>
      <c r="AF597" s="401"/>
      <c r="AG597" s="401"/>
      <c r="AH597" s="401"/>
      <c r="AI597" s="401"/>
      <c r="AJ597" s="401"/>
      <c r="AK597" s="385"/>
      <c r="AL597" s="439"/>
      <c r="AM597" s="389"/>
      <c r="AN597" s="521"/>
      <c r="AO597" s="402"/>
      <c r="AP597" s="402"/>
      <c r="AQ597" s="400"/>
      <c r="AR597" s="337">
        <v>15</v>
      </c>
      <c r="AS597" s="549">
        <v>15</v>
      </c>
      <c r="AT597" s="585">
        <v>11.58775</v>
      </c>
      <c r="AU597" s="401">
        <v>9.7025799999999993</v>
      </c>
      <c r="AV597" s="401">
        <v>8.63415</v>
      </c>
      <c r="AW597" s="401"/>
      <c r="AX597" s="401"/>
      <c r="AY597" s="401">
        <v>0</v>
      </c>
      <c r="AZ597" s="401">
        <v>0</v>
      </c>
      <c r="BA597" s="401">
        <v>0.39550000000000002</v>
      </c>
      <c r="BB597" s="401">
        <v>8.63415</v>
      </c>
      <c r="BC597" s="401"/>
      <c r="BD597" s="385" t="s">
        <v>167</v>
      </c>
      <c r="BE597" s="439" t="s">
        <v>175</v>
      </c>
      <c r="BF597" s="389"/>
      <c r="BG597" s="521">
        <v>890</v>
      </c>
      <c r="BH597" s="402"/>
      <c r="BI597" s="402">
        <f t="shared" si="290"/>
        <v>0.77251666666666663</v>
      </c>
    </row>
    <row r="598" spans="1:61" s="359" customFormat="1" ht="19.2" x14ac:dyDescent="0.3">
      <c r="A598" s="360" t="s">
        <v>1184</v>
      </c>
      <c r="B598" s="579" t="s">
        <v>1092</v>
      </c>
      <c r="C598" s="433" t="s">
        <v>1091</v>
      </c>
      <c r="D598" s="361">
        <v>0.4</v>
      </c>
      <c r="E598" s="400"/>
      <c r="F598" s="404"/>
      <c r="G598" s="400"/>
      <c r="H598" s="382"/>
      <c r="I598" s="401"/>
      <c r="J598" s="401"/>
      <c r="K598" s="401"/>
      <c r="L598" s="401"/>
      <c r="M598" s="401"/>
      <c r="N598" s="401"/>
      <c r="O598" s="401"/>
      <c r="P598" s="401"/>
      <c r="Q598" s="401"/>
      <c r="R598" s="389"/>
      <c r="S598" s="389"/>
      <c r="T598" s="389"/>
      <c r="U598" s="521"/>
      <c r="V598" s="402"/>
      <c r="W598" s="402"/>
      <c r="X598" s="400"/>
      <c r="Y598" s="550"/>
      <c r="Z598" s="549"/>
      <c r="AA598" s="586"/>
      <c r="AB598" s="401"/>
      <c r="AC598" s="401"/>
      <c r="AD598" s="401"/>
      <c r="AE598" s="401"/>
      <c r="AF598" s="401"/>
      <c r="AG598" s="401"/>
      <c r="AH598" s="401"/>
      <c r="AI598" s="401"/>
      <c r="AJ598" s="401"/>
      <c r="AK598" s="385"/>
      <c r="AL598" s="439"/>
      <c r="AM598" s="389"/>
      <c r="AN598" s="521"/>
      <c r="AO598" s="402"/>
      <c r="AP598" s="402"/>
      <c r="AQ598" s="400"/>
      <c r="AR598" s="337">
        <v>15</v>
      </c>
      <c r="AS598" s="549">
        <v>15</v>
      </c>
      <c r="AT598" s="585">
        <v>11.306559999999999</v>
      </c>
      <c r="AU598" s="401">
        <v>9.61008</v>
      </c>
      <c r="AV598" s="401">
        <v>8.5416500000000006</v>
      </c>
      <c r="AW598" s="401"/>
      <c r="AX598" s="401"/>
      <c r="AY598" s="401">
        <v>0</v>
      </c>
      <c r="AZ598" s="401">
        <v>0</v>
      </c>
      <c r="BA598" s="401">
        <v>0.39550000000000002</v>
      </c>
      <c r="BB598" s="401">
        <v>8.5416500000000006</v>
      </c>
      <c r="BC598" s="401"/>
      <c r="BD598" s="385" t="s">
        <v>167</v>
      </c>
      <c r="BE598" s="439" t="s">
        <v>175</v>
      </c>
      <c r="BF598" s="389"/>
      <c r="BG598" s="521">
        <v>892</v>
      </c>
      <c r="BH598" s="402"/>
      <c r="BI598" s="402">
        <f t="shared" si="290"/>
        <v>0.75377066666666659</v>
      </c>
    </row>
    <row r="599" spans="1:61" s="359" customFormat="1" ht="19.2" x14ac:dyDescent="0.3">
      <c r="A599" s="360" t="s">
        <v>1185</v>
      </c>
      <c r="B599" s="579" t="s">
        <v>1093</v>
      </c>
      <c r="C599" s="433" t="s">
        <v>1094</v>
      </c>
      <c r="D599" s="361">
        <v>0.4</v>
      </c>
      <c r="E599" s="400"/>
      <c r="F599" s="404"/>
      <c r="G599" s="400"/>
      <c r="H599" s="382"/>
      <c r="I599" s="401"/>
      <c r="J599" s="401"/>
      <c r="K599" s="401"/>
      <c r="L599" s="401"/>
      <c r="M599" s="401"/>
      <c r="N599" s="401"/>
      <c r="O599" s="401"/>
      <c r="P599" s="401"/>
      <c r="Q599" s="401"/>
      <c r="R599" s="389"/>
      <c r="S599" s="389"/>
      <c r="T599" s="389"/>
      <c r="U599" s="521"/>
      <c r="V599" s="402"/>
      <c r="W599" s="402"/>
      <c r="X599" s="400"/>
      <c r="Y599" s="550"/>
      <c r="Z599" s="549"/>
      <c r="AA599" s="586"/>
      <c r="AB599" s="401"/>
      <c r="AC599" s="401"/>
      <c r="AD599" s="401"/>
      <c r="AE599" s="401"/>
      <c r="AF599" s="401"/>
      <c r="AG599" s="401"/>
      <c r="AH599" s="401"/>
      <c r="AI599" s="401"/>
      <c r="AJ599" s="401"/>
      <c r="AK599" s="385"/>
      <c r="AL599" s="439"/>
      <c r="AM599" s="389"/>
      <c r="AN599" s="521"/>
      <c r="AO599" s="402"/>
      <c r="AP599" s="402"/>
      <c r="AQ599" s="400"/>
      <c r="AR599" s="337">
        <v>15</v>
      </c>
      <c r="AS599" s="549">
        <v>15</v>
      </c>
      <c r="AT599" s="585">
        <v>13.23321</v>
      </c>
      <c r="AU599" s="401">
        <v>11.536720000000001</v>
      </c>
      <c r="AV599" s="401">
        <v>10.46829</v>
      </c>
      <c r="AW599" s="401"/>
      <c r="AX599" s="401"/>
      <c r="AY599" s="401">
        <v>0</v>
      </c>
      <c r="AZ599" s="401">
        <v>0</v>
      </c>
      <c r="BA599" s="401">
        <v>0.39550000000000002</v>
      </c>
      <c r="BB599" s="401">
        <v>10.46829</v>
      </c>
      <c r="BC599" s="401"/>
      <c r="BD599" s="385" t="s">
        <v>167</v>
      </c>
      <c r="BE599" s="439" t="s">
        <v>175</v>
      </c>
      <c r="BF599" s="389"/>
      <c r="BG599" s="521">
        <v>894</v>
      </c>
      <c r="BH599" s="402"/>
      <c r="BI599" s="402">
        <f t="shared" si="290"/>
        <v>0.88221399999999994</v>
      </c>
    </row>
    <row r="600" spans="1:61" s="359" customFormat="1" ht="19.2" x14ac:dyDescent="0.3">
      <c r="A600" s="360" t="s">
        <v>1186</v>
      </c>
      <c r="B600" s="579" t="s">
        <v>1096</v>
      </c>
      <c r="C600" s="433" t="s">
        <v>1095</v>
      </c>
      <c r="D600" s="361">
        <v>0.4</v>
      </c>
      <c r="E600" s="400"/>
      <c r="F600" s="404"/>
      <c r="G600" s="400"/>
      <c r="H600" s="382"/>
      <c r="I600" s="401"/>
      <c r="J600" s="401"/>
      <c r="K600" s="401"/>
      <c r="L600" s="401"/>
      <c r="M600" s="401"/>
      <c r="N600" s="401"/>
      <c r="O600" s="401"/>
      <c r="P600" s="401"/>
      <c r="Q600" s="401"/>
      <c r="R600" s="389"/>
      <c r="S600" s="389"/>
      <c r="T600" s="389"/>
      <c r="U600" s="521"/>
      <c r="V600" s="402"/>
      <c r="W600" s="402"/>
      <c r="X600" s="400"/>
      <c r="Y600" s="550"/>
      <c r="Z600" s="549"/>
      <c r="AA600" s="586"/>
      <c r="AB600" s="401"/>
      <c r="AC600" s="401"/>
      <c r="AD600" s="401"/>
      <c r="AE600" s="401"/>
      <c r="AF600" s="401"/>
      <c r="AG600" s="401"/>
      <c r="AH600" s="401"/>
      <c r="AI600" s="401"/>
      <c r="AJ600" s="401"/>
      <c r="AK600" s="385"/>
      <c r="AL600" s="439"/>
      <c r="AM600" s="389"/>
      <c r="AN600" s="521"/>
      <c r="AO600" s="402"/>
      <c r="AP600" s="402"/>
      <c r="AQ600" s="400"/>
      <c r="AR600" s="337">
        <v>15</v>
      </c>
      <c r="AS600" s="549">
        <v>15</v>
      </c>
      <c r="AT600" s="585">
        <v>11.479699999999999</v>
      </c>
      <c r="AU600" s="401">
        <v>9.7832000000000008</v>
      </c>
      <c r="AV600" s="401">
        <v>8.5416100000000004</v>
      </c>
      <c r="AW600" s="401"/>
      <c r="AX600" s="401"/>
      <c r="AY600" s="401">
        <v>0</v>
      </c>
      <c r="AZ600" s="401">
        <v>0</v>
      </c>
      <c r="BA600" s="401">
        <v>0.39550000000000002</v>
      </c>
      <c r="BB600" s="401">
        <v>8.5416100000000004</v>
      </c>
      <c r="BC600" s="401"/>
      <c r="BD600" s="385" t="s">
        <v>167</v>
      </c>
      <c r="BE600" s="439" t="s">
        <v>175</v>
      </c>
      <c r="BF600" s="389"/>
      <c r="BG600" s="521">
        <v>896</v>
      </c>
      <c r="BH600" s="402"/>
      <c r="BI600" s="402">
        <f t="shared" ref="BI600:BI605" si="291">AT600/AR600</f>
        <v>0.76531333333333329</v>
      </c>
    </row>
    <row r="601" spans="1:61" s="359" customFormat="1" ht="19.2" x14ac:dyDescent="0.3">
      <c r="A601" s="360" t="s">
        <v>1187</v>
      </c>
      <c r="B601" s="579" t="s">
        <v>1097</v>
      </c>
      <c r="C601" s="433" t="s">
        <v>1098</v>
      </c>
      <c r="D601" s="361">
        <v>0.4</v>
      </c>
      <c r="E601" s="400"/>
      <c r="F601" s="404"/>
      <c r="G601" s="400"/>
      <c r="H601" s="382"/>
      <c r="I601" s="401"/>
      <c r="J601" s="401"/>
      <c r="K601" s="401"/>
      <c r="L601" s="401"/>
      <c r="M601" s="401"/>
      <c r="N601" s="401"/>
      <c r="O601" s="401"/>
      <c r="P601" s="401"/>
      <c r="Q601" s="401"/>
      <c r="R601" s="389"/>
      <c r="S601" s="389"/>
      <c r="T601" s="389"/>
      <c r="U601" s="521"/>
      <c r="V601" s="402"/>
      <c r="W601" s="402"/>
      <c r="X601" s="400"/>
      <c r="Y601" s="550"/>
      <c r="Z601" s="549"/>
      <c r="AA601" s="586"/>
      <c r="AB601" s="401"/>
      <c r="AC601" s="401"/>
      <c r="AD601" s="401"/>
      <c r="AE601" s="401"/>
      <c r="AF601" s="401"/>
      <c r="AG601" s="401"/>
      <c r="AH601" s="401"/>
      <c r="AI601" s="401"/>
      <c r="AJ601" s="401"/>
      <c r="AK601" s="385"/>
      <c r="AL601" s="439"/>
      <c r="AM601" s="389"/>
      <c r="AN601" s="521"/>
      <c r="AO601" s="402"/>
      <c r="AP601" s="402"/>
      <c r="AQ601" s="400"/>
      <c r="AR601" s="337">
        <v>15</v>
      </c>
      <c r="AS601" s="549">
        <v>15</v>
      </c>
      <c r="AT601" s="585">
        <v>11.479699999999999</v>
      </c>
      <c r="AU601" s="401">
        <v>9.7832000000000008</v>
      </c>
      <c r="AV601" s="401">
        <v>8.5416100000000004</v>
      </c>
      <c r="AW601" s="401"/>
      <c r="AX601" s="401"/>
      <c r="AY601" s="401">
        <v>0</v>
      </c>
      <c r="AZ601" s="401">
        <v>0</v>
      </c>
      <c r="BA601" s="401">
        <v>0.39550000000000002</v>
      </c>
      <c r="BB601" s="401">
        <v>8.5416100000000004</v>
      </c>
      <c r="BC601" s="401"/>
      <c r="BD601" s="385" t="s">
        <v>167</v>
      </c>
      <c r="BE601" s="439" t="s">
        <v>175</v>
      </c>
      <c r="BF601" s="389"/>
      <c r="BG601" s="521">
        <v>898</v>
      </c>
      <c r="BH601" s="402"/>
      <c r="BI601" s="402">
        <f t="shared" si="291"/>
        <v>0.76531333333333329</v>
      </c>
    </row>
    <row r="602" spans="1:61" s="359" customFormat="1" ht="19.2" x14ac:dyDescent="0.3">
      <c r="A602" s="360" t="s">
        <v>1188</v>
      </c>
      <c r="B602" s="579" t="s">
        <v>1099</v>
      </c>
      <c r="C602" s="433" t="s">
        <v>1100</v>
      </c>
      <c r="D602" s="361">
        <v>0.4</v>
      </c>
      <c r="E602" s="400"/>
      <c r="F602" s="404"/>
      <c r="G602" s="400"/>
      <c r="H602" s="382"/>
      <c r="I602" s="401"/>
      <c r="J602" s="401"/>
      <c r="K602" s="401"/>
      <c r="L602" s="401"/>
      <c r="M602" s="401"/>
      <c r="N602" s="401"/>
      <c r="O602" s="401"/>
      <c r="P602" s="401"/>
      <c r="Q602" s="401"/>
      <c r="R602" s="389"/>
      <c r="S602" s="389"/>
      <c r="T602" s="389"/>
      <c r="U602" s="521"/>
      <c r="V602" s="402"/>
      <c r="W602" s="402"/>
      <c r="X602" s="400"/>
      <c r="Y602" s="550"/>
      <c r="Z602" s="549"/>
      <c r="AA602" s="586"/>
      <c r="AB602" s="401"/>
      <c r="AC602" s="401"/>
      <c r="AD602" s="401"/>
      <c r="AE602" s="401"/>
      <c r="AF602" s="401"/>
      <c r="AG602" s="401"/>
      <c r="AH602" s="401"/>
      <c r="AI602" s="401"/>
      <c r="AJ602" s="401"/>
      <c r="AK602" s="385"/>
      <c r="AL602" s="439"/>
      <c r="AM602" s="389"/>
      <c r="AN602" s="521"/>
      <c r="AO602" s="402"/>
      <c r="AP602" s="402"/>
      <c r="AQ602" s="400"/>
      <c r="AR602" s="337">
        <v>15</v>
      </c>
      <c r="AS602" s="549">
        <v>15</v>
      </c>
      <c r="AT602" s="585">
        <v>11.479710000000001</v>
      </c>
      <c r="AU602" s="401">
        <v>9.7832399999999993</v>
      </c>
      <c r="AV602" s="401">
        <v>8.5416500000000006</v>
      </c>
      <c r="AW602" s="401"/>
      <c r="AX602" s="401"/>
      <c r="AY602" s="401">
        <v>0</v>
      </c>
      <c r="AZ602" s="401">
        <v>0</v>
      </c>
      <c r="BA602" s="401">
        <v>0.39550000000000002</v>
      </c>
      <c r="BB602" s="401">
        <v>8.5416500000000006</v>
      </c>
      <c r="BC602" s="401"/>
      <c r="BD602" s="385" t="s">
        <v>167</v>
      </c>
      <c r="BE602" s="439" t="s">
        <v>175</v>
      </c>
      <c r="BF602" s="389"/>
      <c r="BG602" s="521">
        <v>900</v>
      </c>
      <c r="BH602" s="402"/>
      <c r="BI602" s="402">
        <f t="shared" si="291"/>
        <v>0.76531400000000005</v>
      </c>
    </row>
    <row r="603" spans="1:61" s="359" customFormat="1" ht="19.2" x14ac:dyDescent="0.3">
      <c r="A603" s="360" t="s">
        <v>1189</v>
      </c>
      <c r="B603" s="579" t="s">
        <v>1101</v>
      </c>
      <c r="C603" s="433" t="s">
        <v>1105</v>
      </c>
      <c r="D603" s="361">
        <v>0.4</v>
      </c>
      <c r="E603" s="400"/>
      <c r="F603" s="404"/>
      <c r="G603" s="400"/>
      <c r="H603" s="382"/>
      <c r="I603" s="401"/>
      <c r="J603" s="401"/>
      <c r="K603" s="401"/>
      <c r="L603" s="401"/>
      <c r="M603" s="401"/>
      <c r="N603" s="401"/>
      <c r="O603" s="401"/>
      <c r="P603" s="401"/>
      <c r="Q603" s="401"/>
      <c r="R603" s="389"/>
      <c r="S603" s="389"/>
      <c r="T603" s="389"/>
      <c r="U603" s="521"/>
      <c r="V603" s="402"/>
      <c r="W603" s="402"/>
      <c r="X603" s="400"/>
      <c r="Y603" s="550"/>
      <c r="Z603" s="549"/>
      <c r="AA603" s="586"/>
      <c r="AB603" s="401"/>
      <c r="AC603" s="401"/>
      <c r="AD603" s="401"/>
      <c r="AE603" s="401"/>
      <c r="AF603" s="401"/>
      <c r="AG603" s="401"/>
      <c r="AH603" s="401"/>
      <c r="AI603" s="401"/>
      <c r="AJ603" s="401"/>
      <c r="AK603" s="385"/>
      <c r="AL603" s="439"/>
      <c r="AM603" s="389"/>
      <c r="AN603" s="521"/>
      <c r="AO603" s="402"/>
      <c r="AP603" s="402"/>
      <c r="AQ603" s="400"/>
      <c r="AR603" s="337">
        <v>15</v>
      </c>
      <c r="AS603" s="549">
        <v>15</v>
      </c>
      <c r="AT603" s="585">
        <v>11.47969</v>
      </c>
      <c r="AU603" s="401">
        <v>9.7832100000000004</v>
      </c>
      <c r="AV603" s="401">
        <v>8.54162</v>
      </c>
      <c r="AW603" s="401"/>
      <c r="AX603" s="401"/>
      <c r="AY603" s="401">
        <v>0</v>
      </c>
      <c r="AZ603" s="401">
        <v>0</v>
      </c>
      <c r="BA603" s="401">
        <v>0.39550000000000002</v>
      </c>
      <c r="BB603" s="401">
        <v>8.54162</v>
      </c>
      <c r="BC603" s="401"/>
      <c r="BD603" s="385" t="s">
        <v>167</v>
      </c>
      <c r="BE603" s="439" t="s">
        <v>175</v>
      </c>
      <c r="BF603" s="389"/>
      <c r="BG603" s="521">
        <v>902</v>
      </c>
      <c r="BH603" s="402"/>
      <c r="BI603" s="402">
        <f t="shared" si="291"/>
        <v>0.76531266666666664</v>
      </c>
    </row>
    <row r="604" spans="1:61" s="359" customFormat="1" x14ac:dyDescent="0.3">
      <c r="A604" s="360"/>
      <c r="B604" s="382"/>
      <c r="C604" s="433"/>
      <c r="D604" s="361"/>
      <c r="E604" s="400"/>
      <c r="F604" s="404"/>
      <c r="G604" s="400"/>
      <c r="H604" s="401"/>
      <c r="I604" s="401"/>
      <c r="J604" s="401"/>
      <c r="K604" s="401"/>
      <c r="L604" s="401"/>
      <c r="M604" s="401"/>
      <c r="N604" s="401"/>
      <c r="O604" s="401"/>
      <c r="P604" s="401"/>
      <c r="Q604" s="401"/>
      <c r="R604" s="389"/>
      <c r="S604" s="389"/>
      <c r="T604" s="389"/>
      <c r="U604" s="521"/>
      <c r="V604" s="402"/>
      <c r="W604" s="402" t="e">
        <f>H604/F604</f>
        <v>#DIV/0!</v>
      </c>
      <c r="X604" s="400"/>
      <c r="Y604" s="404"/>
      <c r="Z604" s="400"/>
      <c r="AA604" s="401"/>
      <c r="AB604" s="401"/>
      <c r="AC604" s="401"/>
      <c r="AD604" s="401"/>
      <c r="AE604" s="401"/>
      <c r="AF604" s="401"/>
      <c r="AG604" s="401"/>
      <c r="AH604" s="401"/>
      <c r="AI604" s="401"/>
      <c r="AJ604" s="401"/>
      <c r="AK604" s="389"/>
      <c r="AL604" s="389"/>
      <c r="AM604" s="389"/>
      <c r="AN604" s="521"/>
      <c r="AO604" s="402"/>
      <c r="AP604" s="402" t="e">
        <f>AA604/Y604</f>
        <v>#DIV/0!</v>
      </c>
      <c r="AQ604" s="400"/>
      <c r="AR604" s="587"/>
      <c r="AS604" s="400"/>
      <c r="AT604" s="401"/>
      <c r="AU604" s="401"/>
      <c r="AV604" s="401"/>
      <c r="AW604" s="401"/>
      <c r="AX604" s="401"/>
      <c r="AY604" s="401"/>
      <c r="AZ604" s="401"/>
      <c r="BA604" s="401"/>
      <c r="BB604" s="401"/>
      <c r="BC604" s="401"/>
      <c r="BD604" s="389"/>
      <c r="BE604" s="389"/>
      <c r="BF604" s="389"/>
      <c r="BG604" s="521"/>
      <c r="BH604" s="402"/>
      <c r="BI604" s="402" t="e">
        <f t="shared" si="291"/>
        <v>#DIV/0!</v>
      </c>
    </row>
    <row r="605" spans="1:61" s="359" customFormat="1" ht="24.75" customHeight="1" x14ac:dyDescent="0.3">
      <c r="A605" s="560" t="s">
        <v>712</v>
      </c>
      <c r="B605" s="568" t="s">
        <v>594</v>
      </c>
      <c r="C605" s="566"/>
      <c r="D605" s="567">
        <v>0.4</v>
      </c>
      <c r="E605" s="561">
        <f t="shared" ref="E605:Q605" si="292">SUM(E606:E611)</f>
        <v>0</v>
      </c>
      <c r="F605" s="561">
        <f t="shared" si="292"/>
        <v>0</v>
      </c>
      <c r="G605" s="561">
        <f t="shared" si="292"/>
        <v>0</v>
      </c>
      <c r="H605" s="562">
        <f t="shared" si="292"/>
        <v>0</v>
      </c>
      <c r="I605" s="562">
        <f t="shared" si="292"/>
        <v>0</v>
      </c>
      <c r="J605" s="562">
        <f t="shared" si="292"/>
        <v>0</v>
      </c>
      <c r="K605" s="562">
        <f t="shared" si="292"/>
        <v>0</v>
      </c>
      <c r="L605" s="562">
        <f t="shared" si="292"/>
        <v>0</v>
      </c>
      <c r="M605" s="562">
        <f t="shared" si="292"/>
        <v>0</v>
      </c>
      <c r="N605" s="562">
        <f t="shared" si="292"/>
        <v>0</v>
      </c>
      <c r="O605" s="562">
        <f t="shared" si="292"/>
        <v>0</v>
      </c>
      <c r="P605" s="562">
        <f t="shared" si="292"/>
        <v>0</v>
      </c>
      <c r="Q605" s="562">
        <f t="shared" si="292"/>
        <v>0</v>
      </c>
      <c r="R605" s="563"/>
      <c r="S605" s="563"/>
      <c r="T605" s="563"/>
      <c r="U605" s="564"/>
      <c r="V605" s="565"/>
      <c r="W605" s="565" t="e">
        <f>H605/F605</f>
        <v>#DIV/0!</v>
      </c>
      <c r="X605" s="561">
        <f t="shared" ref="X605:AJ605" si="293">SUM(X606:X611)</f>
        <v>0</v>
      </c>
      <c r="Y605" s="561">
        <f t="shared" si="293"/>
        <v>0</v>
      </c>
      <c r="Z605" s="561">
        <f t="shared" si="293"/>
        <v>0</v>
      </c>
      <c r="AA605" s="562">
        <f t="shared" si="293"/>
        <v>25.13073</v>
      </c>
      <c r="AB605" s="562">
        <f t="shared" si="293"/>
        <v>16.419</v>
      </c>
      <c r="AC605" s="562">
        <f t="shared" si="293"/>
        <v>8.85</v>
      </c>
      <c r="AD605" s="562">
        <f t="shared" si="293"/>
        <v>5.4177400000000002</v>
      </c>
      <c r="AE605" s="562">
        <f t="shared" si="293"/>
        <v>0.79710999999999999</v>
      </c>
      <c r="AF605" s="562">
        <f t="shared" si="293"/>
        <v>0</v>
      </c>
      <c r="AG605" s="562">
        <f t="shared" si="293"/>
        <v>0</v>
      </c>
      <c r="AH605" s="562">
        <f t="shared" si="293"/>
        <v>2.9644599999999999</v>
      </c>
      <c r="AI605" s="562">
        <f t="shared" si="293"/>
        <v>8.85</v>
      </c>
      <c r="AJ605" s="562">
        <f t="shared" si="293"/>
        <v>5.4177400000000002</v>
      </c>
      <c r="AK605" s="563"/>
      <c r="AL605" s="563"/>
      <c r="AM605" s="563"/>
      <c r="AN605" s="564"/>
      <c r="AO605" s="565"/>
      <c r="AP605" s="565" t="e">
        <f>AA605/Y605</f>
        <v>#DIV/0!</v>
      </c>
      <c r="AQ605" s="561">
        <f t="shared" ref="AQ605:BC605" si="294">SUM(AQ606:AQ611)</f>
        <v>0</v>
      </c>
      <c r="AR605" s="561">
        <f t="shared" si="294"/>
        <v>200</v>
      </c>
      <c r="AS605" s="561">
        <f t="shared" si="294"/>
        <v>200</v>
      </c>
      <c r="AT605" s="562">
        <f t="shared" si="294"/>
        <v>22.91498</v>
      </c>
      <c r="AU605" s="562">
        <f t="shared" si="294"/>
        <v>19.521999999999998</v>
      </c>
      <c r="AV605" s="562">
        <f t="shared" si="294"/>
        <v>17.7</v>
      </c>
      <c r="AW605" s="562">
        <f t="shared" si="294"/>
        <v>0</v>
      </c>
      <c r="AX605" s="562">
        <f t="shared" si="294"/>
        <v>0</v>
      </c>
      <c r="AY605" s="562">
        <f t="shared" si="294"/>
        <v>0</v>
      </c>
      <c r="AZ605" s="562">
        <f t="shared" si="294"/>
        <v>0</v>
      </c>
      <c r="BA605" s="562">
        <f t="shared" si="294"/>
        <v>0.79100000000000004</v>
      </c>
      <c r="BB605" s="562">
        <f t="shared" si="294"/>
        <v>17.7</v>
      </c>
      <c r="BC605" s="562">
        <f t="shared" si="294"/>
        <v>0</v>
      </c>
      <c r="BD605" s="563"/>
      <c r="BE605" s="563"/>
      <c r="BF605" s="563"/>
      <c r="BG605" s="564"/>
      <c r="BH605" s="565"/>
      <c r="BI605" s="565">
        <f t="shared" si="291"/>
        <v>0.11457489999999999</v>
      </c>
    </row>
    <row r="606" spans="1:61" s="359" customFormat="1" x14ac:dyDescent="0.3">
      <c r="A606" s="360" t="s">
        <v>179</v>
      </c>
      <c r="B606" s="513"/>
      <c r="C606" s="433"/>
      <c r="D606" s="361">
        <v>0.4</v>
      </c>
      <c r="E606" s="400"/>
      <c r="F606" s="400"/>
      <c r="G606" s="400"/>
      <c r="H606" s="513"/>
      <c r="I606" s="401"/>
      <c r="J606" s="401"/>
      <c r="K606" s="401"/>
      <c r="L606" s="401"/>
      <c r="M606" s="401"/>
      <c r="N606" s="401"/>
      <c r="O606" s="401"/>
      <c r="P606" s="401"/>
      <c r="Q606" s="401"/>
      <c r="R606" s="389"/>
      <c r="S606" s="389"/>
      <c r="T606" s="389"/>
      <c r="U606" s="521"/>
      <c r="V606" s="402"/>
      <c r="W606" s="402"/>
      <c r="X606" s="400"/>
      <c r="Y606" s="400"/>
      <c r="Z606" s="400"/>
      <c r="AA606" s="419"/>
      <c r="AB606" s="401"/>
      <c r="AC606" s="401"/>
      <c r="AD606" s="401"/>
      <c r="AE606" s="401"/>
      <c r="AF606" s="401"/>
      <c r="AG606" s="401"/>
      <c r="AH606" s="401"/>
      <c r="AI606" s="401"/>
      <c r="AJ606" s="401"/>
      <c r="AK606" s="389"/>
      <c r="AL606" s="389"/>
      <c r="AM606" s="389"/>
      <c r="AN606" s="521"/>
      <c r="AO606" s="402"/>
      <c r="AP606" s="402"/>
      <c r="AQ606" s="400"/>
      <c r="AR606" s="400"/>
      <c r="AS606" s="400"/>
      <c r="AT606" s="419"/>
      <c r="AU606" s="401"/>
      <c r="AV606" s="401"/>
      <c r="AW606" s="401"/>
      <c r="AX606" s="401"/>
      <c r="AY606" s="401"/>
      <c r="AZ606" s="401"/>
      <c r="BA606" s="401"/>
      <c r="BB606" s="401"/>
      <c r="BC606" s="401"/>
      <c r="BD606" s="389"/>
      <c r="BE606" s="389"/>
      <c r="BF606" s="389"/>
      <c r="BG606" s="521"/>
      <c r="BH606" s="402"/>
      <c r="BI606" s="402"/>
    </row>
    <row r="607" spans="1:61" s="359" customFormat="1" ht="19.2" x14ac:dyDescent="0.3">
      <c r="A607" s="360" t="s">
        <v>179</v>
      </c>
      <c r="B607" s="543" t="s">
        <v>591</v>
      </c>
      <c r="C607" s="433"/>
      <c r="D607" s="361">
        <v>0.4</v>
      </c>
      <c r="E607" s="400"/>
      <c r="F607" s="404"/>
      <c r="G607" s="400"/>
      <c r="H607" s="543"/>
      <c r="I607" s="401"/>
      <c r="J607" s="401"/>
      <c r="K607" s="401"/>
      <c r="L607" s="401"/>
      <c r="M607" s="401"/>
      <c r="N607" s="401"/>
      <c r="O607" s="401"/>
      <c r="P607" s="401"/>
      <c r="Q607" s="401"/>
      <c r="R607" s="389"/>
      <c r="S607" s="389"/>
      <c r="T607" s="389"/>
      <c r="U607" s="521"/>
      <c r="V607" s="402"/>
      <c r="W607" s="402" t="e">
        <f t="shared" ref="W607" si="295">H607/F607</f>
        <v>#DIV/0!</v>
      </c>
      <c r="X607" s="400"/>
      <c r="Y607" s="550"/>
      <c r="Z607" s="549"/>
      <c r="AA607" s="573">
        <v>25.13073</v>
      </c>
      <c r="AB607" s="401">
        <v>16.419</v>
      </c>
      <c r="AC607" s="401">
        <v>8.85</v>
      </c>
      <c r="AD607" s="401">
        <f>0.84872+0.3299+1.617+2.62212</f>
        <v>5.4177400000000002</v>
      </c>
      <c r="AE607" s="401">
        <v>0.79710999999999999</v>
      </c>
      <c r="AF607" s="401">
        <v>0</v>
      </c>
      <c r="AG607" s="401">
        <v>0</v>
      </c>
      <c r="AH607" s="401">
        <v>2.9644599999999999</v>
      </c>
      <c r="AI607" s="401">
        <v>8.85</v>
      </c>
      <c r="AJ607" s="401">
        <f>0.84872+0.3299+1.617+2.62212</f>
        <v>5.4177400000000002</v>
      </c>
      <c r="AK607" s="385" t="s">
        <v>167</v>
      </c>
      <c r="AL607" s="439" t="s">
        <v>175</v>
      </c>
      <c r="AM607" s="389"/>
      <c r="AN607" s="521">
        <v>505</v>
      </c>
      <c r="AO607" s="402"/>
      <c r="AP607" s="402" t="e">
        <f t="shared" ref="AP607" si="296">AA607/Y607</f>
        <v>#DIV/0!</v>
      </c>
      <c r="AQ607" s="400"/>
      <c r="AR607" s="549"/>
      <c r="AS607" s="549"/>
      <c r="AT607" s="573"/>
      <c r="AU607" s="401"/>
      <c r="AV607" s="401"/>
      <c r="AW607" s="401"/>
      <c r="AX607" s="401"/>
      <c r="AY607" s="401"/>
      <c r="AZ607" s="401"/>
      <c r="BA607" s="401"/>
      <c r="BB607" s="401"/>
      <c r="BC607" s="401"/>
      <c r="BD607" s="385"/>
      <c r="BE607" s="439"/>
      <c r="BF607" s="389"/>
      <c r="BG607" s="521"/>
      <c r="BH607" s="402"/>
      <c r="BI607" s="402" t="e">
        <f t="shared" ref="BI607:BI612" si="297">AT607/AR607</f>
        <v>#DIV/0!</v>
      </c>
    </row>
    <row r="608" spans="1:61" s="359" customFormat="1" ht="19.2" x14ac:dyDescent="0.3">
      <c r="A608" s="360" t="s">
        <v>179</v>
      </c>
      <c r="B608" s="579" t="s">
        <v>986</v>
      </c>
      <c r="C608" s="433" t="s">
        <v>826</v>
      </c>
      <c r="D608" s="361">
        <v>0.4</v>
      </c>
      <c r="E608" s="400"/>
      <c r="F608" s="404"/>
      <c r="G608" s="400"/>
      <c r="H608" s="382"/>
      <c r="I608" s="401"/>
      <c r="J608" s="401"/>
      <c r="K608" s="401"/>
      <c r="L608" s="401"/>
      <c r="M608" s="401"/>
      <c r="N608" s="401"/>
      <c r="O608" s="401"/>
      <c r="P608" s="401"/>
      <c r="Q608" s="401"/>
      <c r="R608" s="389"/>
      <c r="S608" s="389"/>
      <c r="T608" s="389"/>
      <c r="U608" s="521"/>
      <c r="V608" s="402"/>
      <c r="W608" s="402"/>
      <c r="X608" s="400"/>
      <c r="Y608" s="550"/>
      <c r="Z608" s="549"/>
      <c r="AA608" s="586"/>
      <c r="AB608" s="401"/>
      <c r="AC608" s="401"/>
      <c r="AD608" s="401"/>
      <c r="AE608" s="401"/>
      <c r="AF608" s="401"/>
      <c r="AG608" s="401"/>
      <c r="AH608" s="401"/>
      <c r="AI608" s="401"/>
      <c r="AJ608" s="401"/>
      <c r="AK608" s="385"/>
      <c r="AL608" s="439"/>
      <c r="AM608" s="389"/>
      <c r="AN608" s="521"/>
      <c r="AO608" s="402"/>
      <c r="AP608" s="402"/>
      <c r="AQ608" s="400"/>
      <c r="AR608" s="549">
        <v>100</v>
      </c>
      <c r="AS608" s="549">
        <v>100</v>
      </c>
      <c r="AT608" s="585">
        <v>11.45749</v>
      </c>
      <c r="AU608" s="401">
        <v>9.7609999999999992</v>
      </c>
      <c r="AV608" s="401">
        <v>8.85</v>
      </c>
      <c r="AW608" s="401"/>
      <c r="AX608" s="401"/>
      <c r="AY608" s="401">
        <v>0</v>
      </c>
      <c r="AZ608" s="401">
        <v>0</v>
      </c>
      <c r="BA608" s="401">
        <v>0.39550000000000002</v>
      </c>
      <c r="BB608" s="401">
        <v>8.85</v>
      </c>
      <c r="BC608" s="401"/>
      <c r="BD608" s="385" t="s">
        <v>167</v>
      </c>
      <c r="BE608" s="439" t="s">
        <v>175</v>
      </c>
      <c r="BF608" s="389"/>
      <c r="BG608" s="521">
        <v>904</v>
      </c>
      <c r="BH608" s="402"/>
      <c r="BI608" s="402">
        <f t="shared" si="297"/>
        <v>0.11457489999999999</v>
      </c>
    </row>
    <row r="609" spans="1:61" s="359" customFormat="1" ht="19.2" x14ac:dyDescent="0.3">
      <c r="A609" s="360" t="s">
        <v>183</v>
      </c>
      <c r="B609" s="579" t="s">
        <v>1046</v>
      </c>
      <c r="C609" s="433" t="s">
        <v>827</v>
      </c>
      <c r="D609" s="361">
        <v>0.4</v>
      </c>
      <c r="E609" s="400"/>
      <c r="F609" s="404"/>
      <c r="G609" s="400"/>
      <c r="H609" s="382"/>
      <c r="I609" s="401"/>
      <c r="J609" s="401"/>
      <c r="K609" s="401"/>
      <c r="L609" s="401"/>
      <c r="M609" s="401"/>
      <c r="N609" s="401"/>
      <c r="O609" s="401"/>
      <c r="P609" s="401"/>
      <c r="Q609" s="401"/>
      <c r="R609" s="389"/>
      <c r="S609" s="389"/>
      <c r="T609" s="389"/>
      <c r="U609" s="521"/>
      <c r="V609" s="402"/>
      <c r="W609" s="402"/>
      <c r="X609" s="400"/>
      <c r="Y609" s="550"/>
      <c r="Z609" s="549"/>
      <c r="AA609" s="586"/>
      <c r="AB609" s="401"/>
      <c r="AC609" s="401"/>
      <c r="AD609" s="401"/>
      <c r="AE609" s="401"/>
      <c r="AF609" s="401"/>
      <c r="AG609" s="401"/>
      <c r="AH609" s="401"/>
      <c r="AI609" s="401"/>
      <c r="AJ609" s="401"/>
      <c r="AK609" s="385"/>
      <c r="AL609" s="439"/>
      <c r="AM609" s="389"/>
      <c r="AN609" s="521"/>
      <c r="AO609" s="402"/>
      <c r="AP609" s="402"/>
      <c r="AQ609" s="400"/>
      <c r="AR609" s="549">
        <v>100</v>
      </c>
      <c r="AS609" s="549">
        <v>100</v>
      </c>
      <c r="AT609" s="585">
        <v>11.45749</v>
      </c>
      <c r="AU609" s="401">
        <v>9.7609999999999992</v>
      </c>
      <c r="AV609" s="401">
        <v>8.85</v>
      </c>
      <c r="AW609" s="401"/>
      <c r="AX609" s="401"/>
      <c r="AY609" s="401">
        <v>0</v>
      </c>
      <c r="AZ609" s="401">
        <v>0</v>
      </c>
      <c r="BA609" s="401">
        <v>0.39550000000000002</v>
      </c>
      <c r="BB609" s="401">
        <v>8.85</v>
      </c>
      <c r="BC609" s="401"/>
      <c r="BD609" s="385" t="s">
        <v>167</v>
      </c>
      <c r="BE609" s="439" t="s">
        <v>175</v>
      </c>
      <c r="BF609" s="389"/>
      <c r="BG609" s="521">
        <v>906</v>
      </c>
      <c r="BH609" s="402"/>
      <c r="BI609" s="402">
        <f t="shared" si="297"/>
        <v>0.11457489999999999</v>
      </c>
    </row>
    <row r="610" spans="1:61" s="359" customFormat="1" x14ac:dyDescent="0.3">
      <c r="A610" s="360"/>
      <c r="B610" s="382"/>
      <c r="C610" s="433"/>
      <c r="D610" s="361">
        <v>0.4</v>
      </c>
      <c r="E610" s="400"/>
      <c r="F610" s="404"/>
      <c r="G610" s="400"/>
      <c r="H610" s="382"/>
      <c r="I610" s="401"/>
      <c r="J610" s="401"/>
      <c r="K610" s="401"/>
      <c r="L610" s="401"/>
      <c r="M610" s="401"/>
      <c r="N610" s="401"/>
      <c r="O610" s="401"/>
      <c r="P610" s="401"/>
      <c r="Q610" s="401"/>
      <c r="R610" s="389"/>
      <c r="S610" s="389"/>
      <c r="T610" s="389"/>
      <c r="U610" s="521"/>
      <c r="V610" s="402"/>
      <c r="W610" s="402"/>
      <c r="X610" s="400"/>
      <c r="Y610" s="589"/>
      <c r="Z610" s="337"/>
      <c r="AA610" s="586"/>
      <c r="AB610" s="401"/>
      <c r="AC610" s="401"/>
      <c r="AD610" s="401"/>
      <c r="AE610" s="401"/>
      <c r="AF610" s="401"/>
      <c r="AG610" s="401"/>
      <c r="AH610" s="401"/>
      <c r="AI610" s="401"/>
      <c r="AJ610" s="401"/>
      <c r="AK610" s="385"/>
      <c r="AL610" s="439"/>
      <c r="AM610" s="389"/>
      <c r="AN610" s="521"/>
      <c r="AO610" s="402"/>
      <c r="AP610" s="402"/>
      <c r="AQ610" s="400"/>
      <c r="AR610" s="337"/>
      <c r="AS610" s="337"/>
      <c r="AT610" s="586"/>
      <c r="AU610" s="401"/>
      <c r="AV610" s="401"/>
      <c r="AW610" s="401"/>
      <c r="AX610" s="401"/>
      <c r="AY610" s="401"/>
      <c r="AZ610" s="401"/>
      <c r="BA610" s="401"/>
      <c r="BB610" s="401"/>
      <c r="BC610" s="401"/>
      <c r="BD610" s="385"/>
      <c r="BE610" s="439"/>
      <c r="BF610" s="389"/>
      <c r="BG610" s="521"/>
      <c r="BH610" s="402"/>
      <c r="BI610" s="402" t="e">
        <f t="shared" si="297"/>
        <v>#DIV/0!</v>
      </c>
    </row>
    <row r="611" spans="1:61" s="359" customFormat="1" x14ac:dyDescent="0.3">
      <c r="A611" s="360"/>
      <c r="B611" s="382"/>
      <c r="C611" s="433"/>
      <c r="D611" s="361"/>
      <c r="E611" s="400"/>
      <c r="F611" s="404"/>
      <c r="G611" s="400"/>
      <c r="H611" s="401"/>
      <c r="I611" s="401"/>
      <c r="J611" s="401"/>
      <c r="K611" s="401"/>
      <c r="L611" s="401"/>
      <c r="M611" s="401"/>
      <c r="N611" s="401"/>
      <c r="O611" s="401"/>
      <c r="P611" s="401"/>
      <c r="Q611" s="401"/>
      <c r="R611" s="389"/>
      <c r="S611" s="389"/>
      <c r="T611" s="389"/>
      <c r="U611" s="521"/>
      <c r="V611" s="402"/>
      <c r="W611" s="402" t="e">
        <f>H611/F611</f>
        <v>#DIV/0!</v>
      </c>
      <c r="X611" s="400"/>
      <c r="Y611" s="404"/>
      <c r="Z611" s="400"/>
      <c r="AA611" s="401"/>
      <c r="AB611" s="401"/>
      <c r="AC611" s="401"/>
      <c r="AD611" s="401"/>
      <c r="AE611" s="401"/>
      <c r="AF611" s="401"/>
      <c r="AG611" s="401"/>
      <c r="AH611" s="401"/>
      <c r="AI611" s="401"/>
      <c r="AJ611" s="401"/>
      <c r="AK611" s="389"/>
      <c r="AL611" s="389"/>
      <c r="AM611" s="389"/>
      <c r="AN611" s="521"/>
      <c r="AO611" s="402"/>
      <c r="AP611" s="402" t="e">
        <f>AA611/Y611</f>
        <v>#DIV/0!</v>
      </c>
      <c r="AQ611" s="400"/>
      <c r="AR611" s="587"/>
      <c r="AS611" s="400"/>
      <c r="AT611" s="401"/>
      <c r="AU611" s="401"/>
      <c r="AV611" s="401"/>
      <c r="AW611" s="401"/>
      <c r="AX611" s="401"/>
      <c r="AY611" s="401"/>
      <c r="AZ611" s="401"/>
      <c r="BA611" s="401"/>
      <c r="BB611" s="401"/>
      <c r="BC611" s="401"/>
      <c r="BD611" s="389"/>
      <c r="BE611" s="389"/>
      <c r="BF611" s="389"/>
      <c r="BG611" s="521"/>
      <c r="BH611" s="402"/>
      <c r="BI611" s="402" t="e">
        <f t="shared" si="297"/>
        <v>#DIV/0!</v>
      </c>
    </row>
    <row r="612" spans="1:61" s="359" customFormat="1" ht="24.75" customHeight="1" x14ac:dyDescent="0.3">
      <c r="A612" s="560" t="s">
        <v>713</v>
      </c>
      <c r="B612" s="568" t="s">
        <v>595</v>
      </c>
      <c r="C612" s="566"/>
      <c r="D612" s="567">
        <v>6</v>
      </c>
      <c r="E612" s="561">
        <f t="shared" ref="E612:Q612" si="298">SUM(E613:E616)</f>
        <v>0</v>
      </c>
      <c r="F612" s="561">
        <f t="shared" si="298"/>
        <v>0</v>
      </c>
      <c r="G612" s="561">
        <f t="shared" si="298"/>
        <v>0</v>
      </c>
      <c r="H612" s="562">
        <f t="shared" si="298"/>
        <v>0</v>
      </c>
      <c r="I612" s="562">
        <f t="shared" si="298"/>
        <v>0</v>
      </c>
      <c r="J612" s="562">
        <f t="shared" si="298"/>
        <v>0</v>
      </c>
      <c r="K612" s="562">
        <f t="shared" si="298"/>
        <v>0</v>
      </c>
      <c r="L612" s="562">
        <f t="shared" si="298"/>
        <v>0</v>
      </c>
      <c r="M612" s="562">
        <f t="shared" si="298"/>
        <v>0</v>
      </c>
      <c r="N612" s="562">
        <f t="shared" si="298"/>
        <v>0</v>
      </c>
      <c r="O612" s="562">
        <f t="shared" si="298"/>
        <v>0</v>
      </c>
      <c r="P612" s="562">
        <f t="shared" si="298"/>
        <v>0</v>
      </c>
      <c r="Q612" s="562">
        <f t="shared" si="298"/>
        <v>0</v>
      </c>
      <c r="R612" s="563"/>
      <c r="S612" s="563"/>
      <c r="T612" s="563"/>
      <c r="U612" s="564"/>
      <c r="V612" s="565"/>
      <c r="W612" s="565" t="e">
        <f t="shared" ref="W612" si="299">H612/F612</f>
        <v>#DIV/0!</v>
      </c>
      <c r="X612" s="561">
        <f t="shared" ref="X612:AJ612" si="300">SUM(X613:X616)</f>
        <v>0</v>
      </c>
      <c r="Y612" s="561">
        <f t="shared" si="300"/>
        <v>0</v>
      </c>
      <c r="Z612" s="561">
        <f t="shared" si="300"/>
        <v>0</v>
      </c>
      <c r="AA612" s="562">
        <f t="shared" si="300"/>
        <v>239.06888000000001</v>
      </c>
      <c r="AB612" s="562">
        <f t="shared" si="300"/>
        <v>232.01161999999999</v>
      </c>
      <c r="AC612" s="562">
        <f t="shared" si="300"/>
        <v>217.61667</v>
      </c>
      <c r="AD612" s="562">
        <f t="shared" si="300"/>
        <v>17.640840000000001</v>
      </c>
      <c r="AE612" s="562">
        <f t="shared" si="300"/>
        <v>0.76029000000000002</v>
      </c>
      <c r="AF612" s="562">
        <f t="shared" si="300"/>
        <v>0</v>
      </c>
      <c r="AG612" s="562">
        <f t="shared" si="300"/>
        <v>0</v>
      </c>
      <c r="AH612" s="562">
        <f t="shared" si="300"/>
        <v>2.36517</v>
      </c>
      <c r="AI612" s="562">
        <f t="shared" si="300"/>
        <v>217.61667</v>
      </c>
      <c r="AJ612" s="562">
        <f t="shared" si="300"/>
        <v>17.640840000000001</v>
      </c>
      <c r="AK612" s="563"/>
      <c r="AL612" s="563"/>
      <c r="AM612" s="563"/>
      <c r="AN612" s="564"/>
      <c r="AO612" s="565"/>
      <c r="AP612" s="565" t="e">
        <f t="shared" ref="AP612" si="301">AA612/Y612</f>
        <v>#DIV/0!</v>
      </c>
      <c r="AQ612" s="561">
        <f t="shared" ref="AQ612:BC612" si="302">SUM(AQ613:AQ616)</f>
        <v>0</v>
      </c>
      <c r="AR612" s="561">
        <f t="shared" si="302"/>
        <v>0</v>
      </c>
      <c r="AS612" s="561">
        <f t="shared" si="302"/>
        <v>0</v>
      </c>
      <c r="AT612" s="562">
        <f t="shared" si="302"/>
        <v>0</v>
      </c>
      <c r="AU612" s="562">
        <f t="shared" si="302"/>
        <v>0</v>
      </c>
      <c r="AV612" s="562">
        <f t="shared" si="302"/>
        <v>0</v>
      </c>
      <c r="AW612" s="562">
        <f t="shared" si="302"/>
        <v>0</v>
      </c>
      <c r="AX612" s="562">
        <f t="shared" si="302"/>
        <v>0</v>
      </c>
      <c r="AY612" s="562">
        <f t="shared" si="302"/>
        <v>0</v>
      </c>
      <c r="AZ612" s="562">
        <f t="shared" si="302"/>
        <v>0</v>
      </c>
      <c r="BA612" s="562">
        <f t="shared" si="302"/>
        <v>0</v>
      </c>
      <c r="BB612" s="562">
        <f t="shared" si="302"/>
        <v>0</v>
      </c>
      <c r="BC612" s="562">
        <f t="shared" si="302"/>
        <v>0</v>
      </c>
      <c r="BD612" s="563"/>
      <c r="BE612" s="563"/>
      <c r="BF612" s="563"/>
      <c r="BG612" s="564"/>
      <c r="BH612" s="565"/>
      <c r="BI612" s="565" t="e">
        <f t="shared" si="297"/>
        <v>#DIV/0!</v>
      </c>
    </row>
    <row r="613" spans="1:61" s="359" customFormat="1" x14ac:dyDescent="0.3">
      <c r="A613" s="360" t="s">
        <v>179</v>
      </c>
      <c r="B613" s="513"/>
      <c r="C613" s="433"/>
      <c r="D613" s="361">
        <v>6</v>
      </c>
      <c r="E613" s="400"/>
      <c r="F613" s="400"/>
      <c r="G613" s="400"/>
      <c r="H613" s="513"/>
      <c r="I613" s="401"/>
      <c r="J613" s="401"/>
      <c r="K613" s="401"/>
      <c r="L613" s="401"/>
      <c r="M613" s="401"/>
      <c r="N613" s="401"/>
      <c r="O613" s="401"/>
      <c r="P613" s="401"/>
      <c r="Q613" s="401"/>
      <c r="R613" s="389"/>
      <c r="S613" s="389"/>
      <c r="T613" s="389"/>
      <c r="U613" s="521"/>
      <c r="V613" s="402"/>
      <c r="W613" s="402"/>
      <c r="X613" s="400"/>
      <c r="Y613" s="400"/>
      <c r="Z613" s="400"/>
      <c r="AA613" s="419"/>
      <c r="AB613" s="401"/>
      <c r="AC613" s="401"/>
      <c r="AD613" s="401"/>
      <c r="AE613" s="401"/>
      <c r="AF613" s="401"/>
      <c r="AG613" s="401"/>
      <c r="AH613" s="401"/>
      <c r="AI613" s="401"/>
      <c r="AJ613" s="401"/>
      <c r="AK613" s="389"/>
      <c r="AL613" s="389"/>
      <c r="AM613" s="389"/>
      <c r="AN613" s="521"/>
      <c r="AO613" s="402"/>
      <c r="AP613" s="402"/>
      <c r="AQ613" s="400"/>
      <c r="AR613" s="400"/>
      <c r="AS613" s="400"/>
      <c r="AT613" s="419"/>
      <c r="AU613" s="401"/>
      <c r="AV613" s="401"/>
      <c r="AW613" s="401"/>
      <c r="AX613" s="401"/>
      <c r="AY613" s="401"/>
      <c r="AZ613" s="401"/>
      <c r="BA613" s="401"/>
      <c r="BB613" s="401"/>
      <c r="BC613" s="401"/>
      <c r="BD613" s="389"/>
      <c r="BE613" s="389"/>
      <c r="BF613" s="389"/>
      <c r="BG613" s="521"/>
      <c r="BH613" s="402"/>
      <c r="BI613" s="402"/>
    </row>
    <row r="614" spans="1:61" s="359" customFormat="1" ht="19.2" x14ac:dyDescent="0.3">
      <c r="A614" s="360" t="s">
        <v>179</v>
      </c>
      <c r="B614" s="543" t="s">
        <v>591</v>
      </c>
      <c r="C614" s="433"/>
      <c r="D614" s="361">
        <v>6</v>
      </c>
      <c r="E614" s="400"/>
      <c r="F614" s="404"/>
      <c r="G614" s="400"/>
      <c r="H614" s="543"/>
      <c r="I614" s="401"/>
      <c r="J614" s="401"/>
      <c r="K614" s="401"/>
      <c r="L614" s="401"/>
      <c r="M614" s="401"/>
      <c r="N614" s="401"/>
      <c r="O614" s="401"/>
      <c r="P614" s="401"/>
      <c r="Q614" s="401"/>
      <c r="R614" s="389"/>
      <c r="S614" s="389"/>
      <c r="T614" s="389"/>
      <c r="U614" s="521"/>
      <c r="V614" s="402"/>
      <c r="W614" s="402" t="e">
        <f t="shared" ref="W614:W616" si="303">H614/F614</f>
        <v>#DIV/0!</v>
      </c>
      <c r="X614" s="400"/>
      <c r="Y614" s="550"/>
      <c r="Z614" s="549"/>
      <c r="AA614" s="573">
        <v>239.06888000000001</v>
      </c>
      <c r="AB614" s="401">
        <v>232.01161999999999</v>
      </c>
      <c r="AC614" s="401">
        <v>217.61667</v>
      </c>
      <c r="AD614" s="401">
        <f>4.49958+1.75204+2.28294+5.54061+3.56567</f>
        <v>17.640840000000001</v>
      </c>
      <c r="AE614" s="401">
        <v>0.76029000000000002</v>
      </c>
      <c r="AF614" s="401">
        <v>0</v>
      </c>
      <c r="AG614" s="401">
        <v>0</v>
      </c>
      <c r="AH614" s="401">
        <v>2.36517</v>
      </c>
      <c r="AI614" s="401">
        <v>217.61667</v>
      </c>
      <c r="AJ614" s="401">
        <f>4.49958+1.75204+2.28294+5.54061+3.56567</f>
        <v>17.640840000000001</v>
      </c>
      <c r="AK614" s="385" t="s">
        <v>167</v>
      </c>
      <c r="AL614" s="439" t="s">
        <v>175</v>
      </c>
      <c r="AM614" s="389"/>
      <c r="AN614" s="521">
        <v>512</v>
      </c>
      <c r="AO614" s="402"/>
      <c r="AP614" s="402" t="e">
        <f t="shared" ref="AP614:AP616" si="304">AA614/Y614</f>
        <v>#DIV/0!</v>
      </c>
      <c r="AQ614" s="400"/>
      <c r="AR614" s="549"/>
      <c r="AS614" s="549"/>
      <c r="AT614" s="573"/>
      <c r="AU614" s="401"/>
      <c r="AV614" s="401"/>
      <c r="AW614" s="401"/>
      <c r="AX614" s="401"/>
      <c r="AY614" s="401"/>
      <c r="AZ614" s="401"/>
      <c r="BA614" s="401"/>
      <c r="BB614" s="401"/>
      <c r="BC614" s="401"/>
      <c r="BD614" s="385"/>
      <c r="BE614" s="439"/>
      <c r="BF614" s="389"/>
      <c r="BG614" s="521"/>
      <c r="BH614" s="402"/>
      <c r="BI614" s="402" t="e">
        <f t="shared" ref="BI614:BI616" si="305">AT614/AR614</f>
        <v>#DIV/0!</v>
      </c>
    </row>
    <row r="615" spans="1:61" s="359" customFormat="1" x14ac:dyDescent="0.3">
      <c r="A615" s="360"/>
      <c r="B615" s="382"/>
      <c r="C615" s="433"/>
      <c r="D615" s="361">
        <v>6</v>
      </c>
      <c r="E615" s="400"/>
      <c r="F615" s="404"/>
      <c r="G615" s="400"/>
      <c r="H615" s="382"/>
      <c r="I615" s="401"/>
      <c r="J615" s="401"/>
      <c r="K615" s="401"/>
      <c r="L615" s="401"/>
      <c r="M615" s="401"/>
      <c r="N615" s="401"/>
      <c r="O615" s="401"/>
      <c r="P615" s="401"/>
      <c r="Q615" s="401"/>
      <c r="R615" s="389"/>
      <c r="S615" s="389"/>
      <c r="T615" s="389"/>
      <c r="U615" s="521"/>
      <c r="V615" s="402"/>
      <c r="W615" s="402"/>
      <c r="X615" s="400"/>
      <c r="Y615" s="589"/>
      <c r="Z615" s="337"/>
      <c r="AA615" s="586"/>
      <c r="AB615" s="401"/>
      <c r="AC615" s="401"/>
      <c r="AD615" s="401"/>
      <c r="AE615" s="401"/>
      <c r="AF615" s="401"/>
      <c r="AG615" s="401"/>
      <c r="AH615" s="401"/>
      <c r="AI615" s="401"/>
      <c r="AJ615" s="401"/>
      <c r="AK615" s="385"/>
      <c r="AL615" s="439"/>
      <c r="AM615" s="389"/>
      <c r="AN615" s="521"/>
      <c r="AO615" s="402"/>
      <c r="AP615" s="402"/>
      <c r="AQ615" s="400"/>
      <c r="AR615" s="337"/>
      <c r="AS615" s="337"/>
      <c r="AT615" s="586"/>
      <c r="AU615" s="401"/>
      <c r="AV615" s="401"/>
      <c r="AW615" s="401"/>
      <c r="AX615" s="401"/>
      <c r="AY615" s="401"/>
      <c r="AZ615" s="401"/>
      <c r="BA615" s="401"/>
      <c r="BB615" s="401"/>
      <c r="BC615" s="401"/>
      <c r="BD615" s="385"/>
      <c r="BE615" s="439"/>
      <c r="BF615" s="389"/>
      <c r="BG615" s="521"/>
      <c r="BH615" s="402"/>
      <c r="BI615" s="402" t="e">
        <f t="shared" si="305"/>
        <v>#DIV/0!</v>
      </c>
    </row>
    <row r="616" spans="1:61" s="359" customFormat="1" x14ac:dyDescent="0.3">
      <c r="A616" s="360"/>
      <c r="B616" s="382"/>
      <c r="C616" s="433"/>
      <c r="D616" s="361"/>
      <c r="E616" s="400"/>
      <c r="F616" s="404"/>
      <c r="G616" s="400"/>
      <c r="H616" s="401"/>
      <c r="I616" s="401"/>
      <c r="J616" s="401"/>
      <c r="K616" s="401"/>
      <c r="L616" s="401"/>
      <c r="M616" s="401"/>
      <c r="N616" s="401"/>
      <c r="O616" s="401"/>
      <c r="P616" s="401"/>
      <c r="Q616" s="401"/>
      <c r="R616" s="389"/>
      <c r="S616" s="389"/>
      <c r="T616" s="389"/>
      <c r="U616" s="521"/>
      <c r="V616" s="402"/>
      <c r="W616" s="402" t="e">
        <f t="shared" si="303"/>
        <v>#DIV/0!</v>
      </c>
      <c r="X616" s="400"/>
      <c r="Y616" s="404"/>
      <c r="Z616" s="400"/>
      <c r="AA616" s="401"/>
      <c r="AB616" s="401"/>
      <c r="AC616" s="401"/>
      <c r="AD616" s="401"/>
      <c r="AE616" s="401"/>
      <c r="AF616" s="401"/>
      <c r="AG616" s="401"/>
      <c r="AH616" s="401"/>
      <c r="AI616" s="401"/>
      <c r="AJ616" s="401"/>
      <c r="AK616" s="389"/>
      <c r="AL616" s="389"/>
      <c r="AM616" s="389"/>
      <c r="AN616" s="521"/>
      <c r="AO616" s="402"/>
      <c r="AP616" s="402" t="e">
        <f t="shared" si="304"/>
        <v>#DIV/0!</v>
      </c>
      <c r="AQ616" s="400"/>
      <c r="AR616" s="587"/>
      <c r="AS616" s="400"/>
      <c r="AT616" s="401"/>
      <c r="AU616" s="401"/>
      <c r="AV616" s="401"/>
      <c r="AW616" s="401"/>
      <c r="AX616" s="401"/>
      <c r="AY616" s="401"/>
      <c r="AZ616" s="401"/>
      <c r="BA616" s="401"/>
      <c r="BB616" s="401"/>
      <c r="BC616" s="401"/>
      <c r="BD616" s="389"/>
      <c r="BE616" s="389"/>
      <c r="BF616" s="389"/>
      <c r="BG616" s="521"/>
      <c r="BH616" s="402"/>
      <c r="BI616" s="402" t="e">
        <f t="shared" si="305"/>
        <v>#DIV/0!</v>
      </c>
    </row>
    <row r="617" spans="1:61" s="46" customFormat="1" x14ac:dyDescent="0.3">
      <c r="A617" s="317"/>
      <c r="B617" s="312"/>
      <c r="C617" s="428"/>
      <c r="D617" s="372"/>
      <c r="E617" s="390"/>
      <c r="F617" s="391"/>
      <c r="G617" s="391"/>
      <c r="H617" s="390"/>
      <c r="I617" s="390"/>
      <c r="J617" s="390"/>
      <c r="K617" s="390"/>
      <c r="L617" s="390"/>
      <c r="M617" s="390"/>
      <c r="N617" s="390"/>
      <c r="O617" s="390"/>
      <c r="P617" s="390"/>
      <c r="Q617" s="390"/>
      <c r="R617" s="390"/>
      <c r="S617" s="390"/>
      <c r="T617" s="390"/>
      <c r="U617" s="391"/>
      <c r="V617" s="390"/>
      <c r="W617" s="390"/>
      <c r="X617" s="390"/>
      <c r="Y617" s="391"/>
      <c r="Z617" s="391"/>
      <c r="AA617" s="390"/>
      <c r="AB617" s="390"/>
      <c r="AC617" s="390"/>
      <c r="AD617" s="390"/>
      <c r="AE617" s="390"/>
      <c r="AF617" s="390"/>
      <c r="AG617" s="390"/>
      <c r="AH617" s="390"/>
      <c r="AI617" s="390"/>
      <c r="AJ617" s="390"/>
      <c r="AK617" s="390"/>
      <c r="AL617" s="390"/>
      <c r="AM617" s="390"/>
      <c r="AN617" s="391"/>
      <c r="AO617" s="390"/>
      <c r="AP617" s="390"/>
      <c r="AQ617" s="390"/>
      <c r="AR617" s="391"/>
      <c r="AS617" s="391"/>
      <c r="AT617" s="390"/>
      <c r="AU617" s="390"/>
      <c r="AV617" s="390"/>
      <c r="AW617" s="390"/>
      <c r="AX617" s="390"/>
      <c r="AY617" s="390"/>
      <c r="AZ617" s="390"/>
      <c r="BA617" s="390"/>
      <c r="BB617" s="390"/>
      <c r="BC617" s="390"/>
      <c r="BD617" s="390"/>
      <c r="BE617" s="390"/>
      <c r="BF617" s="390"/>
      <c r="BG617" s="391"/>
      <c r="BH617" s="390"/>
      <c r="BI617" s="390"/>
    </row>
    <row r="618" spans="1:61" s="46" customFormat="1" x14ac:dyDescent="0.3">
      <c r="A618" s="317"/>
      <c r="B618" s="312"/>
      <c r="C618" s="428"/>
      <c r="D618" s="372"/>
      <c r="E618" s="390"/>
      <c r="F618" s="391"/>
      <c r="G618" s="391"/>
      <c r="H618" s="390"/>
      <c r="I618" s="390"/>
      <c r="J618" s="390"/>
      <c r="K618" s="390"/>
      <c r="L618" s="390"/>
      <c r="M618" s="390"/>
      <c r="N618" s="390"/>
      <c r="O618" s="390"/>
      <c r="P618" s="390"/>
      <c r="Q618" s="390"/>
      <c r="R618" s="390"/>
      <c r="S618" s="390"/>
      <c r="T618" s="390"/>
      <c r="U618" s="391"/>
      <c r="V618" s="390"/>
      <c r="W618" s="390"/>
      <c r="X618" s="390"/>
      <c r="Y618" s="391"/>
      <c r="Z618" s="391"/>
      <c r="AA618" s="390"/>
      <c r="AB618" s="390"/>
      <c r="AC618" s="390"/>
      <c r="AD618" s="390"/>
      <c r="AE618" s="390"/>
      <c r="AF618" s="390"/>
      <c r="AG618" s="390"/>
      <c r="AH618" s="390"/>
      <c r="AI618" s="390"/>
      <c r="AJ618" s="390"/>
      <c r="AK618" s="390"/>
      <c r="AL618" s="390"/>
      <c r="AM618" s="390"/>
      <c r="AN618" s="391"/>
      <c r="AO618" s="390"/>
      <c r="AP618" s="390"/>
      <c r="AQ618" s="390"/>
      <c r="AR618" s="391"/>
      <c r="AS618" s="391"/>
      <c r="AT618" s="390"/>
      <c r="AU618" s="390"/>
      <c r="AV618" s="390"/>
      <c r="AW618" s="390"/>
      <c r="AX618" s="390"/>
      <c r="AY618" s="390"/>
      <c r="AZ618" s="390"/>
      <c r="BA618" s="390"/>
      <c r="BB618" s="390"/>
      <c r="BC618" s="390"/>
      <c r="BD618" s="390"/>
      <c r="BE618" s="390"/>
      <c r="BF618" s="390"/>
      <c r="BG618" s="391"/>
      <c r="BH618" s="390"/>
      <c r="BI618" s="390"/>
    </row>
    <row r="619" spans="1:61" s="46" customFormat="1" x14ac:dyDescent="0.3">
      <c r="A619" s="317"/>
      <c r="B619" s="312"/>
      <c r="C619" s="428"/>
      <c r="D619" s="372"/>
      <c r="E619" s="390"/>
      <c r="F619" s="391"/>
      <c r="G619" s="391"/>
      <c r="H619" s="390"/>
      <c r="I619" s="390"/>
      <c r="J619" s="390"/>
      <c r="K619" s="390"/>
      <c r="L619" s="390"/>
      <c r="M619" s="390"/>
      <c r="N619" s="390"/>
      <c r="O619" s="390"/>
      <c r="P619" s="390"/>
      <c r="Q619" s="390"/>
      <c r="R619" s="390"/>
      <c r="S619" s="390"/>
      <c r="T619" s="390"/>
      <c r="U619" s="391"/>
      <c r="V619" s="390"/>
      <c r="W619" s="390"/>
      <c r="X619" s="390"/>
      <c r="Y619" s="391"/>
      <c r="Z619" s="391"/>
      <c r="AA619" s="390"/>
      <c r="AB619" s="390"/>
      <c r="AC619" s="390"/>
      <c r="AD619" s="390"/>
      <c r="AE619" s="390"/>
      <c r="AF619" s="390"/>
      <c r="AG619" s="390"/>
      <c r="AH619" s="390"/>
      <c r="AI619" s="390"/>
      <c r="AJ619" s="390"/>
      <c r="AK619" s="390"/>
      <c r="AL619" s="390"/>
      <c r="AM619" s="390"/>
      <c r="AN619" s="391"/>
      <c r="AO619" s="390"/>
      <c r="AP619" s="390"/>
      <c r="AQ619" s="390"/>
      <c r="AR619" s="391"/>
      <c r="AS619" s="391"/>
      <c r="AT619" s="390"/>
      <c r="AU619" s="390"/>
      <c r="AV619" s="390"/>
      <c r="AW619" s="390"/>
      <c r="AX619" s="390"/>
      <c r="AY619" s="390"/>
      <c r="AZ619" s="390"/>
      <c r="BA619" s="390"/>
      <c r="BB619" s="390"/>
      <c r="BC619" s="390"/>
      <c r="BD619" s="390"/>
      <c r="BE619" s="390"/>
      <c r="BF619" s="390"/>
      <c r="BG619" s="391"/>
      <c r="BH619" s="390"/>
      <c r="BI619" s="390"/>
    </row>
    <row r="620" spans="1:61" s="46" customFormat="1" x14ac:dyDescent="0.3">
      <c r="A620" s="317"/>
      <c r="B620" s="312"/>
      <c r="C620" s="428"/>
      <c r="D620" s="372"/>
      <c r="E620" s="390"/>
      <c r="F620" s="391"/>
      <c r="G620" s="391"/>
      <c r="H620" s="390"/>
      <c r="I620" s="390"/>
      <c r="J620" s="390"/>
      <c r="K620" s="390"/>
      <c r="L620" s="390"/>
      <c r="M620" s="390"/>
      <c r="N620" s="390"/>
      <c r="O620" s="390"/>
      <c r="P620" s="390"/>
      <c r="Q620" s="390"/>
      <c r="R620" s="390"/>
      <c r="S620" s="390"/>
      <c r="T620" s="390"/>
      <c r="U620" s="391"/>
      <c r="V620" s="390"/>
      <c r="W620" s="390"/>
      <c r="X620" s="390"/>
      <c r="Y620" s="391"/>
      <c r="Z620" s="391"/>
      <c r="AA620" s="390"/>
      <c r="AB620" s="390"/>
      <c r="AC620" s="390"/>
      <c r="AD620" s="390"/>
      <c r="AE620" s="390"/>
      <c r="AF620" s="390"/>
      <c r="AG620" s="390"/>
      <c r="AH620" s="390"/>
      <c r="AI620" s="390"/>
      <c r="AJ620" s="390"/>
      <c r="AK620" s="390"/>
      <c r="AL620" s="390"/>
      <c r="AM620" s="390"/>
      <c r="AN620" s="391"/>
      <c r="AO620" s="390"/>
      <c r="AP620" s="390"/>
      <c r="AQ620" s="390"/>
      <c r="AR620" s="391"/>
      <c r="AS620" s="391"/>
      <c r="AT620" s="390"/>
      <c r="AU620" s="390"/>
      <c r="AV620" s="390"/>
      <c r="AW620" s="390"/>
      <c r="AX620" s="390"/>
      <c r="AY620" s="390"/>
      <c r="AZ620" s="390"/>
      <c r="BA620" s="390"/>
      <c r="BB620" s="390"/>
      <c r="BC620" s="390"/>
      <c r="BD620" s="390"/>
      <c r="BE620" s="390"/>
      <c r="BF620" s="390"/>
      <c r="BG620" s="391"/>
      <c r="BH620" s="390"/>
      <c r="BI620" s="390"/>
    </row>
    <row r="621" spans="1:61" s="46" customFormat="1" x14ac:dyDescent="0.3">
      <c r="A621" s="317"/>
      <c r="B621" s="312"/>
      <c r="C621" s="428"/>
      <c r="D621" s="372"/>
      <c r="E621" s="390"/>
      <c r="F621" s="391"/>
      <c r="G621" s="391"/>
      <c r="H621" s="390"/>
      <c r="I621" s="390"/>
      <c r="J621" s="390"/>
      <c r="K621" s="390"/>
      <c r="L621" s="390"/>
      <c r="M621" s="390"/>
      <c r="N621" s="390"/>
      <c r="O621" s="390"/>
      <c r="P621" s="390"/>
      <c r="Q621" s="390"/>
      <c r="R621" s="390"/>
      <c r="S621" s="390"/>
      <c r="T621" s="390"/>
      <c r="U621" s="391"/>
      <c r="V621" s="390"/>
      <c r="W621" s="390"/>
      <c r="X621" s="390"/>
      <c r="Y621" s="391"/>
      <c r="Z621" s="391"/>
      <c r="AA621" s="390"/>
      <c r="AB621" s="390"/>
      <c r="AC621" s="390"/>
      <c r="AD621" s="390"/>
      <c r="AE621" s="390"/>
      <c r="AF621" s="390"/>
      <c r="AG621" s="390"/>
      <c r="AH621" s="390"/>
      <c r="AI621" s="390"/>
      <c r="AJ621" s="390"/>
      <c r="AK621" s="390"/>
      <c r="AL621" s="390"/>
      <c r="AM621" s="390"/>
      <c r="AN621" s="391"/>
      <c r="AO621" s="390"/>
      <c r="AP621" s="390"/>
      <c r="AQ621" s="390"/>
      <c r="AR621" s="391"/>
      <c r="AS621" s="391"/>
      <c r="AT621" s="390"/>
      <c r="AU621" s="390"/>
      <c r="AV621" s="390"/>
      <c r="AW621" s="390"/>
      <c r="AX621" s="390"/>
      <c r="AY621" s="390"/>
      <c r="AZ621" s="390"/>
      <c r="BA621" s="390"/>
      <c r="BB621" s="390"/>
      <c r="BC621" s="390"/>
      <c r="BD621" s="390"/>
      <c r="BE621" s="390"/>
      <c r="BF621" s="390"/>
      <c r="BG621" s="391"/>
      <c r="BH621" s="390"/>
      <c r="BI621" s="390"/>
    </row>
    <row r="622" spans="1:61" s="46" customFormat="1" x14ac:dyDescent="0.3">
      <c r="A622" s="317"/>
      <c r="B622" s="312"/>
      <c r="C622" s="428"/>
      <c r="D622" s="372"/>
      <c r="E622" s="390"/>
      <c r="F622" s="391"/>
      <c r="G622" s="391"/>
      <c r="H622" s="390"/>
      <c r="I622" s="390"/>
      <c r="J622" s="390"/>
      <c r="K622" s="390"/>
      <c r="L622" s="390"/>
      <c r="M622" s="390"/>
      <c r="N622" s="390"/>
      <c r="O622" s="390"/>
      <c r="P622" s="390"/>
      <c r="Q622" s="390"/>
      <c r="R622" s="390"/>
      <c r="S622" s="390"/>
      <c r="T622" s="390"/>
      <c r="U622" s="391"/>
      <c r="V622" s="390"/>
      <c r="W622" s="390"/>
      <c r="X622" s="390"/>
      <c r="Y622" s="391"/>
      <c r="Z622" s="391"/>
      <c r="AA622" s="390"/>
      <c r="AB622" s="390"/>
      <c r="AC622" s="390"/>
      <c r="AD622" s="390"/>
      <c r="AE622" s="390"/>
      <c r="AF622" s="390"/>
      <c r="AG622" s="390"/>
      <c r="AH622" s="390"/>
      <c r="AI622" s="390"/>
      <c r="AJ622" s="390"/>
      <c r="AK622" s="390"/>
      <c r="AL622" s="390"/>
      <c r="AM622" s="390"/>
      <c r="AN622" s="391"/>
      <c r="AO622" s="390"/>
      <c r="AP622" s="390"/>
      <c r="AQ622" s="390"/>
      <c r="AR622" s="391"/>
      <c r="AS622" s="391"/>
      <c r="AT622" s="390"/>
      <c r="AU622" s="390"/>
      <c r="AV622" s="390"/>
      <c r="AW622" s="390"/>
      <c r="AX622" s="390"/>
      <c r="AY622" s="390"/>
      <c r="AZ622" s="390"/>
      <c r="BA622" s="390"/>
      <c r="BB622" s="390"/>
      <c r="BC622" s="390"/>
      <c r="BD622" s="390"/>
      <c r="BE622" s="390"/>
      <c r="BF622" s="390"/>
      <c r="BG622" s="391"/>
      <c r="BH622" s="390"/>
      <c r="BI622" s="390"/>
    </row>
    <row r="623" spans="1:61" s="46" customFormat="1" x14ac:dyDescent="0.3">
      <c r="A623" s="317"/>
      <c r="B623" s="312"/>
      <c r="C623" s="428"/>
      <c r="D623" s="372"/>
      <c r="E623" s="390"/>
      <c r="F623" s="391"/>
      <c r="G623" s="391"/>
      <c r="H623" s="390"/>
      <c r="I623" s="390"/>
      <c r="J623" s="390"/>
      <c r="K623" s="390"/>
      <c r="L623" s="390"/>
      <c r="M623" s="390"/>
      <c r="N623" s="390"/>
      <c r="O623" s="390"/>
      <c r="P623" s="390"/>
      <c r="Q623" s="390"/>
      <c r="R623" s="390"/>
      <c r="S623" s="390"/>
      <c r="T623" s="390"/>
      <c r="U623" s="391"/>
      <c r="V623" s="390"/>
      <c r="W623" s="390"/>
      <c r="X623" s="390"/>
      <c r="Y623" s="391"/>
      <c r="Z623" s="391"/>
      <c r="AA623" s="390"/>
      <c r="AB623" s="390"/>
      <c r="AC623" s="390"/>
      <c r="AD623" s="390"/>
      <c r="AE623" s="390"/>
      <c r="AF623" s="390"/>
      <c r="AG623" s="390"/>
      <c r="AH623" s="390"/>
      <c r="AI623" s="390"/>
      <c r="AJ623" s="390"/>
      <c r="AK623" s="390"/>
      <c r="AL623" s="390"/>
      <c r="AM623" s="390"/>
      <c r="AN623" s="391"/>
      <c r="AO623" s="390"/>
      <c r="AP623" s="390"/>
      <c r="AQ623" s="390"/>
      <c r="AR623" s="391"/>
      <c r="AS623" s="391"/>
      <c r="AT623" s="390"/>
      <c r="AU623" s="390"/>
      <c r="AV623" s="390"/>
      <c r="AW623" s="390"/>
      <c r="AX623" s="390"/>
      <c r="AY623" s="390"/>
      <c r="AZ623" s="390"/>
      <c r="BA623" s="390"/>
      <c r="BB623" s="390"/>
      <c r="BC623" s="390"/>
      <c r="BD623" s="390"/>
      <c r="BE623" s="390"/>
      <c r="BF623" s="390"/>
      <c r="BG623" s="391"/>
      <c r="BH623" s="390"/>
      <c r="BI623" s="390"/>
    </row>
    <row r="624" spans="1:61" s="46" customFormat="1" x14ac:dyDescent="0.3">
      <c r="A624" s="317"/>
      <c r="B624" s="312"/>
      <c r="C624" s="428"/>
      <c r="D624" s="372"/>
      <c r="E624" s="390"/>
      <c r="F624" s="391"/>
      <c r="G624" s="391"/>
      <c r="H624" s="390"/>
      <c r="I624" s="390"/>
      <c r="J624" s="390"/>
      <c r="K624" s="390"/>
      <c r="L624" s="390"/>
      <c r="M624" s="390"/>
      <c r="N624" s="390"/>
      <c r="O624" s="390"/>
      <c r="P624" s="390"/>
      <c r="Q624" s="390"/>
      <c r="R624" s="390"/>
      <c r="S624" s="390"/>
      <c r="T624" s="390"/>
      <c r="U624" s="391"/>
      <c r="V624" s="390"/>
      <c r="W624" s="390"/>
      <c r="X624" s="390"/>
      <c r="Y624" s="391"/>
      <c r="Z624" s="391"/>
      <c r="AA624" s="390"/>
      <c r="AB624" s="390"/>
      <c r="AC624" s="390"/>
      <c r="AD624" s="390"/>
      <c r="AE624" s="390"/>
      <c r="AF624" s="390"/>
      <c r="AG624" s="390"/>
      <c r="AH624" s="390"/>
      <c r="AI624" s="390"/>
      <c r="AJ624" s="390"/>
      <c r="AK624" s="390"/>
      <c r="AL624" s="390"/>
      <c r="AM624" s="390"/>
      <c r="AN624" s="391"/>
      <c r="AO624" s="390"/>
      <c r="AP624" s="390"/>
      <c r="AQ624" s="390"/>
      <c r="AR624" s="391"/>
      <c r="AS624" s="391"/>
      <c r="AT624" s="390"/>
      <c r="AU624" s="390"/>
      <c r="AV624" s="390"/>
      <c r="AW624" s="390"/>
      <c r="AX624" s="390"/>
      <c r="AY624" s="390"/>
      <c r="AZ624" s="390"/>
      <c r="BA624" s="390"/>
      <c r="BB624" s="390"/>
      <c r="BC624" s="390"/>
      <c r="BD624" s="390"/>
      <c r="BE624" s="390"/>
      <c r="BF624" s="390"/>
      <c r="BG624" s="391"/>
      <c r="BH624" s="390"/>
      <c r="BI624" s="390"/>
    </row>
    <row r="625" spans="1:61" s="46" customFormat="1" x14ac:dyDescent="0.3">
      <c r="A625" s="317"/>
      <c r="B625" s="312"/>
      <c r="C625" s="428"/>
      <c r="D625" s="372"/>
      <c r="E625" s="390"/>
      <c r="F625" s="391"/>
      <c r="G625" s="391"/>
      <c r="H625" s="390"/>
      <c r="I625" s="390"/>
      <c r="J625" s="390"/>
      <c r="K625" s="390"/>
      <c r="L625" s="390"/>
      <c r="M625" s="390"/>
      <c r="N625" s="390"/>
      <c r="O625" s="390"/>
      <c r="P625" s="390"/>
      <c r="Q625" s="390"/>
      <c r="R625" s="390"/>
      <c r="S625" s="390"/>
      <c r="T625" s="390"/>
      <c r="U625" s="391"/>
      <c r="V625" s="390"/>
      <c r="W625" s="390"/>
      <c r="X625" s="390"/>
      <c r="Y625" s="391"/>
      <c r="Z625" s="391"/>
      <c r="AA625" s="390"/>
      <c r="AB625" s="390"/>
      <c r="AC625" s="390"/>
      <c r="AD625" s="390"/>
      <c r="AE625" s="390"/>
      <c r="AF625" s="390"/>
      <c r="AG625" s="390"/>
      <c r="AH625" s="390"/>
      <c r="AI625" s="390"/>
      <c r="AJ625" s="390"/>
      <c r="AK625" s="390"/>
      <c r="AL625" s="390"/>
      <c r="AM625" s="390"/>
      <c r="AN625" s="391"/>
      <c r="AO625" s="390"/>
      <c r="AP625" s="390"/>
      <c r="AQ625" s="390"/>
      <c r="AR625" s="391"/>
      <c r="AS625" s="391"/>
      <c r="AT625" s="390"/>
      <c r="AU625" s="390"/>
      <c r="AV625" s="390"/>
      <c r="AW625" s="390"/>
      <c r="AX625" s="390"/>
      <c r="AY625" s="390"/>
      <c r="AZ625" s="390"/>
      <c r="BA625" s="390"/>
      <c r="BB625" s="390"/>
      <c r="BC625" s="390"/>
      <c r="BD625" s="390"/>
      <c r="BE625" s="390"/>
      <c r="BF625" s="390"/>
      <c r="BG625" s="391"/>
      <c r="BH625" s="390"/>
      <c r="BI625" s="390"/>
    </row>
    <row r="626" spans="1:61" s="46" customFormat="1" x14ac:dyDescent="0.3">
      <c r="A626" s="317"/>
      <c r="B626" s="312"/>
      <c r="C626" s="428"/>
      <c r="D626" s="372"/>
      <c r="E626" s="390"/>
      <c r="F626" s="391"/>
      <c r="G626" s="391"/>
      <c r="H626" s="390"/>
      <c r="I626" s="390"/>
      <c r="J626" s="390"/>
      <c r="K626" s="390"/>
      <c r="L626" s="390"/>
      <c r="M626" s="390"/>
      <c r="N626" s="390"/>
      <c r="O626" s="390"/>
      <c r="P626" s="390"/>
      <c r="Q626" s="390"/>
      <c r="R626" s="390"/>
      <c r="S626" s="390"/>
      <c r="T626" s="390"/>
      <c r="U626" s="391"/>
      <c r="V626" s="390"/>
      <c r="W626" s="390"/>
      <c r="X626" s="390"/>
      <c r="Y626" s="391"/>
      <c r="Z626" s="391"/>
      <c r="AA626" s="390"/>
      <c r="AB626" s="390"/>
      <c r="AC626" s="390"/>
      <c r="AD626" s="390"/>
      <c r="AE626" s="390"/>
      <c r="AF626" s="390"/>
      <c r="AG626" s="390"/>
      <c r="AH626" s="390"/>
      <c r="AI626" s="390"/>
      <c r="AJ626" s="390"/>
      <c r="AK626" s="390"/>
      <c r="AL626" s="390"/>
      <c r="AM626" s="390"/>
      <c r="AN626" s="391"/>
      <c r="AO626" s="390"/>
      <c r="AP626" s="390"/>
      <c r="AQ626" s="390"/>
      <c r="AR626" s="391"/>
      <c r="AS626" s="391"/>
      <c r="AT626" s="390"/>
      <c r="AU626" s="390"/>
      <c r="AV626" s="390"/>
      <c r="AW626" s="390"/>
      <c r="AX626" s="390"/>
      <c r="AY626" s="390"/>
      <c r="AZ626" s="390"/>
      <c r="BA626" s="390"/>
      <c r="BB626" s="390"/>
      <c r="BC626" s="390"/>
      <c r="BD626" s="390"/>
      <c r="BE626" s="390"/>
      <c r="BF626" s="390"/>
      <c r="BG626" s="391"/>
      <c r="BH626" s="390"/>
      <c r="BI626" s="390"/>
    </row>
    <row r="627" spans="1:61" s="46" customFormat="1" x14ac:dyDescent="0.3">
      <c r="A627" s="317"/>
      <c r="B627" s="312"/>
      <c r="C627" s="428"/>
      <c r="D627" s="372"/>
      <c r="E627" s="390"/>
      <c r="F627" s="391"/>
      <c r="G627" s="391"/>
      <c r="H627" s="390"/>
      <c r="I627" s="390"/>
      <c r="J627" s="390"/>
      <c r="K627" s="390"/>
      <c r="L627" s="390"/>
      <c r="M627" s="390"/>
      <c r="N627" s="390"/>
      <c r="O627" s="390"/>
      <c r="P627" s="390"/>
      <c r="Q627" s="390"/>
      <c r="R627" s="390"/>
      <c r="S627" s="390"/>
      <c r="T627" s="390"/>
      <c r="U627" s="391"/>
      <c r="V627" s="390"/>
      <c r="W627" s="390"/>
      <c r="X627" s="390"/>
      <c r="Y627" s="391"/>
      <c r="Z627" s="391"/>
      <c r="AA627" s="390"/>
      <c r="AB627" s="390"/>
      <c r="AC627" s="390"/>
      <c r="AD627" s="390"/>
      <c r="AE627" s="390"/>
      <c r="AF627" s="390"/>
      <c r="AG627" s="390"/>
      <c r="AH627" s="390"/>
      <c r="AI627" s="390"/>
      <c r="AJ627" s="390"/>
      <c r="AK627" s="390"/>
      <c r="AL627" s="390"/>
      <c r="AM627" s="390"/>
      <c r="AN627" s="391"/>
      <c r="AO627" s="390"/>
      <c r="AP627" s="390"/>
      <c r="AQ627" s="390"/>
      <c r="AR627" s="391"/>
      <c r="AS627" s="391"/>
      <c r="AT627" s="390"/>
      <c r="AU627" s="390"/>
      <c r="AV627" s="390"/>
      <c r="AW627" s="390"/>
      <c r="AX627" s="390"/>
      <c r="AY627" s="390"/>
      <c r="AZ627" s="390"/>
      <c r="BA627" s="390"/>
      <c r="BB627" s="390"/>
      <c r="BC627" s="390"/>
      <c r="BD627" s="390"/>
      <c r="BE627" s="390"/>
      <c r="BF627" s="390"/>
      <c r="BG627" s="391"/>
      <c r="BH627" s="390"/>
      <c r="BI627" s="390"/>
    </row>
    <row r="628" spans="1:61" s="46" customFormat="1" x14ac:dyDescent="0.3">
      <c r="A628" s="317"/>
      <c r="B628" s="312"/>
      <c r="C628" s="428"/>
      <c r="D628" s="372"/>
      <c r="E628" s="390"/>
      <c r="F628" s="391"/>
      <c r="G628" s="391"/>
      <c r="H628" s="390"/>
      <c r="I628" s="390"/>
      <c r="J628" s="390"/>
      <c r="K628" s="390"/>
      <c r="L628" s="390"/>
      <c r="M628" s="390"/>
      <c r="N628" s="390"/>
      <c r="O628" s="390"/>
      <c r="P628" s="390"/>
      <c r="Q628" s="390"/>
      <c r="R628" s="390"/>
      <c r="S628" s="390"/>
      <c r="T628" s="390"/>
      <c r="U628" s="391"/>
      <c r="V628" s="390"/>
      <c r="W628" s="390"/>
      <c r="X628" s="390"/>
      <c r="Y628" s="391"/>
      <c r="Z628" s="391"/>
      <c r="AA628" s="390"/>
      <c r="AB628" s="390"/>
      <c r="AC628" s="390"/>
      <c r="AD628" s="390"/>
      <c r="AE628" s="390"/>
      <c r="AF628" s="390"/>
      <c r="AG628" s="390"/>
      <c r="AH628" s="390"/>
      <c r="AI628" s="390"/>
      <c r="AJ628" s="390"/>
      <c r="AK628" s="390"/>
      <c r="AL628" s="390"/>
      <c r="AM628" s="390"/>
      <c r="AN628" s="391"/>
      <c r="AO628" s="390"/>
      <c r="AP628" s="390"/>
      <c r="AQ628" s="390"/>
      <c r="AR628" s="391"/>
      <c r="AS628" s="391"/>
      <c r="AT628" s="390"/>
      <c r="AU628" s="390"/>
      <c r="AV628" s="390"/>
      <c r="AW628" s="390"/>
      <c r="AX628" s="390"/>
      <c r="AY628" s="390"/>
      <c r="AZ628" s="390"/>
      <c r="BA628" s="390"/>
      <c r="BB628" s="390"/>
      <c r="BC628" s="390"/>
      <c r="BD628" s="390"/>
      <c r="BE628" s="390"/>
      <c r="BF628" s="390"/>
      <c r="BG628" s="391"/>
      <c r="BH628" s="390"/>
      <c r="BI628" s="390"/>
    </row>
    <row r="629" spans="1:61" s="46" customFormat="1" x14ac:dyDescent="0.3">
      <c r="A629" s="317"/>
      <c r="B629" s="312"/>
      <c r="C629" s="428"/>
      <c r="D629" s="372"/>
      <c r="E629" s="390"/>
      <c r="F629" s="391"/>
      <c r="G629" s="391"/>
      <c r="H629" s="390"/>
      <c r="I629" s="390"/>
      <c r="J629" s="390"/>
      <c r="K629" s="390"/>
      <c r="L629" s="390"/>
      <c r="M629" s="390"/>
      <c r="N629" s="390"/>
      <c r="O629" s="390"/>
      <c r="P629" s="390"/>
      <c r="Q629" s="390"/>
      <c r="R629" s="390"/>
      <c r="S629" s="390"/>
      <c r="T629" s="390"/>
      <c r="U629" s="391"/>
      <c r="V629" s="390"/>
      <c r="W629" s="390"/>
      <c r="X629" s="390"/>
      <c r="Y629" s="391"/>
      <c r="Z629" s="391"/>
      <c r="AA629" s="390"/>
      <c r="AB629" s="390"/>
      <c r="AC629" s="390"/>
      <c r="AD629" s="390"/>
      <c r="AE629" s="390"/>
      <c r="AF629" s="390"/>
      <c r="AG629" s="390"/>
      <c r="AH629" s="390"/>
      <c r="AI629" s="390"/>
      <c r="AJ629" s="390"/>
      <c r="AK629" s="390"/>
      <c r="AL629" s="390"/>
      <c r="AM629" s="390"/>
      <c r="AN629" s="391"/>
      <c r="AO629" s="390"/>
      <c r="AP629" s="390"/>
      <c r="AQ629" s="390"/>
      <c r="AR629" s="391"/>
      <c r="AS629" s="391"/>
      <c r="AT629" s="390"/>
      <c r="AU629" s="390"/>
      <c r="AV629" s="390"/>
      <c r="AW629" s="390"/>
      <c r="AX629" s="390"/>
      <c r="AY629" s="390"/>
      <c r="AZ629" s="390"/>
      <c r="BA629" s="390"/>
      <c r="BB629" s="390"/>
      <c r="BC629" s="390"/>
      <c r="BD629" s="390"/>
      <c r="BE629" s="390"/>
      <c r="BF629" s="390"/>
      <c r="BG629" s="391"/>
      <c r="BH629" s="390"/>
      <c r="BI629" s="390"/>
    </row>
    <row r="630" spans="1:61" s="46" customFormat="1" x14ac:dyDescent="0.3">
      <c r="A630" s="317"/>
      <c r="B630" s="312"/>
      <c r="C630" s="428"/>
      <c r="D630" s="372"/>
      <c r="E630" s="390"/>
      <c r="F630" s="391"/>
      <c r="G630" s="391"/>
      <c r="H630" s="390"/>
      <c r="I630" s="390"/>
      <c r="J630" s="390"/>
      <c r="K630" s="390"/>
      <c r="L630" s="390"/>
      <c r="M630" s="390"/>
      <c r="N630" s="390"/>
      <c r="O630" s="390"/>
      <c r="P630" s="390"/>
      <c r="Q630" s="390"/>
      <c r="R630" s="390"/>
      <c r="S630" s="390"/>
      <c r="T630" s="390"/>
      <c r="U630" s="391"/>
      <c r="V630" s="390"/>
      <c r="W630" s="390"/>
      <c r="X630" s="390"/>
      <c r="Y630" s="391"/>
      <c r="Z630" s="391"/>
      <c r="AA630" s="390"/>
      <c r="AB630" s="390"/>
      <c r="AC630" s="390"/>
      <c r="AD630" s="390"/>
      <c r="AE630" s="390"/>
      <c r="AF630" s="390"/>
      <c r="AG630" s="390"/>
      <c r="AH630" s="390"/>
      <c r="AI630" s="390"/>
      <c r="AJ630" s="390"/>
      <c r="AK630" s="390"/>
      <c r="AL630" s="390"/>
      <c r="AM630" s="390"/>
      <c r="AN630" s="391"/>
      <c r="AO630" s="390"/>
      <c r="AP630" s="390"/>
      <c r="AQ630" s="390"/>
      <c r="AR630" s="391"/>
      <c r="AS630" s="391"/>
      <c r="AT630" s="390"/>
      <c r="AU630" s="390"/>
      <c r="AV630" s="390"/>
      <c r="AW630" s="390"/>
      <c r="AX630" s="390"/>
      <c r="AY630" s="390"/>
      <c r="AZ630" s="390"/>
      <c r="BA630" s="390"/>
      <c r="BB630" s="390"/>
      <c r="BC630" s="390"/>
      <c r="BD630" s="390"/>
      <c r="BE630" s="390"/>
      <c r="BF630" s="390"/>
      <c r="BG630" s="391"/>
      <c r="BH630" s="390"/>
      <c r="BI630" s="390"/>
    </row>
    <row r="631" spans="1:61" s="46" customFormat="1" x14ac:dyDescent="0.3">
      <c r="A631" s="317"/>
      <c r="B631" s="312"/>
      <c r="C631" s="428"/>
      <c r="D631" s="372"/>
      <c r="E631" s="390"/>
      <c r="F631" s="391"/>
      <c r="G631" s="391"/>
      <c r="H631" s="390"/>
      <c r="I631" s="390"/>
      <c r="J631" s="390"/>
      <c r="K631" s="390"/>
      <c r="L631" s="390"/>
      <c r="M631" s="390"/>
      <c r="N631" s="390"/>
      <c r="O631" s="390"/>
      <c r="P631" s="390"/>
      <c r="Q631" s="390"/>
      <c r="R631" s="390"/>
      <c r="S631" s="390"/>
      <c r="T631" s="390"/>
      <c r="U631" s="391"/>
      <c r="V631" s="390"/>
      <c r="W631" s="390"/>
      <c r="X631" s="390"/>
      <c r="Y631" s="391"/>
      <c r="Z631" s="391"/>
      <c r="AA631" s="390"/>
      <c r="AB631" s="390"/>
      <c r="AC631" s="390"/>
      <c r="AD631" s="390"/>
      <c r="AE631" s="390"/>
      <c r="AF631" s="390"/>
      <c r="AG631" s="390"/>
      <c r="AH631" s="390"/>
      <c r="AI631" s="390"/>
      <c r="AJ631" s="390"/>
      <c r="AK631" s="390"/>
      <c r="AL631" s="390"/>
      <c r="AM631" s="390"/>
      <c r="AN631" s="391"/>
      <c r="AO631" s="390"/>
      <c r="AP631" s="390"/>
      <c r="AQ631" s="390"/>
      <c r="AR631" s="391"/>
      <c r="AS631" s="391"/>
      <c r="AT631" s="390"/>
      <c r="AU631" s="390"/>
      <c r="AV631" s="390"/>
      <c r="AW631" s="390"/>
      <c r="AX631" s="390"/>
      <c r="AY631" s="390"/>
      <c r="AZ631" s="390"/>
      <c r="BA631" s="390"/>
      <c r="BB631" s="390"/>
      <c r="BC631" s="390"/>
      <c r="BD631" s="390"/>
      <c r="BE631" s="390"/>
      <c r="BF631" s="390"/>
      <c r="BG631" s="391"/>
      <c r="BH631" s="390"/>
      <c r="BI631" s="390"/>
    </row>
    <row r="632" spans="1:61" s="46" customFormat="1" x14ac:dyDescent="0.3">
      <c r="A632" s="317"/>
      <c r="B632" s="312"/>
      <c r="C632" s="428"/>
      <c r="D632" s="372"/>
      <c r="E632" s="390"/>
      <c r="F632" s="391"/>
      <c r="G632" s="391"/>
      <c r="H632" s="390"/>
      <c r="I632" s="390"/>
      <c r="J632" s="390"/>
      <c r="K632" s="390"/>
      <c r="L632" s="390"/>
      <c r="M632" s="390"/>
      <c r="N632" s="390"/>
      <c r="O632" s="390"/>
      <c r="P632" s="390"/>
      <c r="Q632" s="390"/>
      <c r="R632" s="390"/>
      <c r="S632" s="390"/>
      <c r="T632" s="390"/>
      <c r="U632" s="391"/>
      <c r="V632" s="390"/>
      <c r="W632" s="390"/>
      <c r="X632" s="390"/>
      <c r="Y632" s="391"/>
      <c r="Z632" s="391"/>
      <c r="AA632" s="390"/>
      <c r="AB632" s="390"/>
      <c r="AC632" s="390"/>
      <c r="AD632" s="390"/>
      <c r="AE632" s="390"/>
      <c r="AF632" s="390"/>
      <c r="AG632" s="390"/>
      <c r="AH632" s="390"/>
      <c r="AI632" s="390"/>
      <c r="AJ632" s="390"/>
      <c r="AK632" s="390"/>
      <c r="AL632" s="390"/>
      <c r="AM632" s="390"/>
      <c r="AN632" s="391"/>
      <c r="AO632" s="390"/>
      <c r="AP632" s="390"/>
      <c r="AQ632" s="390"/>
      <c r="AR632" s="391"/>
      <c r="AS632" s="391"/>
      <c r="AT632" s="390"/>
      <c r="AU632" s="390"/>
      <c r="AV632" s="390"/>
      <c r="AW632" s="390"/>
      <c r="AX632" s="390"/>
      <c r="AY632" s="390"/>
      <c r="AZ632" s="390"/>
      <c r="BA632" s="390"/>
      <c r="BB632" s="390"/>
      <c r="BC632" s="390"/>
      <c r="BD632" s="390"/>
      <c r="BE632" s="390"/>
      <c r="BF632" s="390"/>
      <c r="BG632" s="391"/>
      <c r="BH632" s="390"/>
      <c r="BI632" s="390"/>
    </row>
    <row r="633" spans="1:61" s="46" customFormat="1" x14ac:dyDescent="0.3">
      <c r="A633" s="317"/>
      <c r="B633" s="312"/>
      <c r="C633" s="428"/>
      <c r="D633" s="372"/>
      <c r="E633" s="390"/>
      <c r="F633" s="391"/>
      <c r="G633" s="391"/>
      <c r="H633" s="390"/>
      <c r="I633" s="390"/>
      <c r="J633" s="390"/>
      <c r="K633" s="390"/>
      <c r="L633" s="390"/>
      <c r="M633" s="390"/>
      <c r="N633" s="390"/>
      <c r="O633" s="390"/>
      <c r="P633" s="390"/>
      <c r="Q633" s="390"/>
      <c r="R633" s="390"/>
      <c r="S633" s="390"/>
      <c r="T633" s="390"/>
      <c r="U633" s="391"/>
      <c r="V633" s="390"/>
      <c r="W633" s="390"/>
      <c r="X633" s="390"/>
      <c r="Y633" s="391"/>
      <c r="Z633" s="391"/>
      <c r="AA633" s="390"/>
      <c r="AB633" s="390"/>
      <c r="AC633" s="390"/>
      <c r="AD633" s="390"/>
      <c r="AE633" s="390"/>
      <c r="AF633" s="390"/>
      <c r="AG633" s="390"/>
      <c r="AH633" s="390"/>
      <c r="AI633" s="390"/>
      <c r="AJ633" s="390"/>
      <c r="AK633" s="390"/>
      <c r="AL633" s="390"/>
      <c r="AM633" s="390"/>
      <c r="AN633" s="391"/>
      <c r="AO633" s="390"/>
      <c r="AP633" s="390"/>
      <c r="AQ633" s="390"/>
      <c r="AR633" s="391"/>
      <c r="AS633" s="391"/>
      <c r="AT633" s="390"/>
      <c r="AU633" s="390"/>
      <c r="AV633" s="390"/>
      <c r="AW633" s="390"/>
      <c r="AX633" s="390"/>
      <c r="AY633" s="390"/>
      <c r="AZ633" s="390"/>
      <c r="BA633" s="390"/>
      <c r="BB633" s="390"/>
      <c r="BC633" s="390"/>
      <c r="BD633" s="390"/>
      <c r="BE633" s="390"/>
      <c r="BF633" s="390"/>
      <c r="BG633" s="391"/>
      <c r="BH633" s="390"/>
      <c r="BI633" s="390"/>
    </row>
    <row r="634" spans="1:61" s="46" customFormat="1" x14ac:dyDescent="0.3">
      <c r="A634" s="317"/>
      <c r="B634" s="312"/>
      <c r="C634" s="428"/>
      <c r="D634" s="372"/>
      <c r="E634" s="390"/>
      <c r="F634" s="391"/>
      <c r="G634" s="391"/>
      <c r="H634" s="390"/>
      <c r="I634" s="390"/>
      <c r="J634" s="390"/>
      <c r="K634" s="390"/>
      <c r="L634" s="390"/>
      <c r="M634" s="390"/>
      <c r="N634" s="390"/>
      <c r="O634" s="390"/>
      <c r="P634" s="390"/>
      <c r="Q634" s="390"/>
      <c r="R634" s="390"/>
      <c r="S634" s="390"/>
      <c r="T634" s="390"/>
      <c r="U634" s="391"/>
      <c r="V634" s="390"/>
      <c r="W634" s="390"/>
      <c r="X634" s="390"/>
      <c r="Y634" s="391"/>
      <c r="Z634" s="391"/>
      <c r="AA634" s="390"/>
      <c r="AB634" s="390"/>
      <c r="AC634" s="390"/>
      <c r="AD634" s="390"/>
      <c r="AE634" s="390"/>
      <c r="AF634" s="390"/>
      <c r="AG634" s="390"/>
      <c r="AH634" s="390"/>
      <c r="AI634" s="390"/>
      <c r="AJ634" s="390"/>
      <c r="AK634" s="390"/>
      <c r="AL634" s="390"/>
      <c r="AM634" s="390"/>
      <c r="AN634" s="391"/>
      <c r="AO634" s="390"/>
      <c r="AP634" s="390"/>
      <c r="AQ634" s="390"/>
      <c r="AR634" s="391"/>
      <c r="AS634" s="391"/>
      <c r="AT634" s="390"/>
      <c r="AU634" s="390"/>
      <c r="AV634" s="390"/>
      <c r="AW634" s="390"/>
      <c r="AX634" s="390"/>
      <c r="AY634" s="390"/>
      <c r="AZ634" s="390"/>
      <c r="BA634" s="390"/>
      <c r="BB634" s="390"/>
      <c r="BC634" s="390"/>
      <c r="BD634" s="390"/>
      <c r="BE634" s="390"/>
      <c r="BF634" s="390"/>
      <c r="BG634" s="391"/>
      <c r="BH634" s="390"/>
      <c r="BI634" s="390"/>
    </row>
    <row r="635" spans="1:61" s="46" customFormat="1" x14ac:dyDescent="0.3">
      <c r="A635" s="317"/>
      <c r="B635" s="312"/>
      <c r="C635" s="428"/>
      <c r="D635" s="372"/>
      <c r="E635" s="390"/>
      <c r="F635" s="391"/>
      <c r="G635" s="391"/>
      <c r="H635" s="390"/>
      <c r="I635" s="390"/>
      <c r="J635" s="390"/>
      <c r="K635" s="390"/>
      <c r="L635" s="390"/>
      <c r="M635" s="390"/>
      <c r="N635" s="390"/>
      <c r="O635" s="390"/>
      <c r="P635" s="390"/>
      <c r="Q635" s="390"/>
      <c r="R635" s="390"/>
      <c r="S635" s="390"/>
      <c r="T635" s="390"/>
      <c r="U635" s="391"/>
      <c r="V635" s="390"/>
      <c r="W635" s="390"/>
      <c r="X635" s="390"/>
      <c r="Y635" s="391"/>
      <c r="Z635" s="391"/>
      <c r="AA635" s="390"/>
      <c r="AB635" s="390"/>
      <c r="AC635" s="390"/>
      <c r="AD635" s="390"/>
      <c r="AE635" s="390"/>
      <c r="AF635" s="390"/>
      <c r="AG635" s="390"/>
      <c r="AH635" s="390"/>
      <c r="AI635" s="390"/>
      <c r="AJ635" s="390"/>
      <c r="AK635" s="390"/>
      <c r="AL635" s="390"/>
      <c r="AM635" s="390"/>
      <c r="AN635" s="391"/>
      <c r="AO635" s="390"/>
      <c r="AP635" s="390"/>
      <c r="AQ635" s="390"/>
      <c r="AR635" s="391"/>
      <c r="AS635" s="391"/>
      <c r="AT635" s="390"/>
      <c r="AU635" s="390"/>
      <c r="AV635" s="390"/>
      <c r="AW635" s="390"/>
      <c r="AX635" s="390"/>
      <c r="AY635" s="390"/>
      <c r="AZ635" s="390"/>
      <c r="BA635" s="390"/>
      <c r="BB635" s="390"/>
      <c r="BC635" s="390"/>
      <c r="BD635" s="390"/>
      <c r="BE635" s="390"/>
      <c r="BF635" s="390"/>
      <c r="BG635" s="391"/>
      <c r="BH635" s="390"/>
      <c r="BI635" s="390"/>
    </row>
    <row r="636" spans="1:61" s="46" customFormat="1" x14ac:dyDescent="0.3">
      <c r="A636" s="317"/>
      <c r="B636" s="312"/>
      <c r="C636" s="428"/>
      <c r="D636" s="372"/>
      <c r="E636" s="390"/>
      <c r="F636" s="391"/>
      <c r="G636" s="391"/>
      <c r="H636" s="390"/>
      <c r="I636" s="390"/>
      <c r="J636" s="390"/>
      <c r="K636" s="390"/>
      <c r="L636" s="390"/>
      <c r="M636" s="390"/>
      <c r="N636" s="390"/>
      <c r="O636" s="390"/>
      <c r="P636" s="390"/>
      <c r="Q636" s="390"/>
      <c r="R636" s="390"/>
      <c r="S636" s="390"/>
      <c r="T636" s="390"/>
      <c r="U636" s="391"/>
      <c r="V636" s="390"/>
      <c r="W636" s="390"/>
      <c r="X636" s="390"/>
      <c r="Y636" s="391"/>
      <c r="Z636" s="391"/>
      <c r="AA636" s="390"/>
      <c r="AB636" s="390"/>
      <c r="AC636" s="390"/>
      <c r="AD636" s="390"/>
      <c r="AE636" s="390"/>
      <c r="AF636" s="390"/>
      <c r="AG636" s="390"/>
      <c r="AH636" s="390"/>
      <c r="AI636" s="390"/>
      <c r="AJ636" s="390"/>
      <c r="AK636" s="390"/>
      <c r="AL636" s="390"/>
      <c r="AM636" s="390"/>
      <c r="AN636" s="391"/>
      <c r="AO636" s="390"/>
      <c r="AP636" s="390"/>
      <c r="AQ636" s="390"/>
      <c r="AR636" s="391"/>
      <c r="AS636" s="391"/>
      <c r="AT636" s="390"/>
      <c r="AU636" s="390"/>
      <c r="AV636" s="390"/>
      <c r="AW636" s="390"/>
      <c r="AX636" s="390"/>
      <c r="AY636" s="390"/>
      <c r="AZ636" s="390"/>
      <c r="BA636" s="390"/>
      <c r="BB636" s="390"/>
      <c r="BC636" s="390"/>
      <c r="BD636" s="390"/>
      <c r="BE636" s="390"/>
      <c r="BF636" s="390"/>
      <c r="BG636" s="391"/>
      <c r="BH636" s="390"/>
      <c r="BI636" s="390"/>
    </row>
    <row r="637" spans="1:61" s="46" customFormat="1" x14ac:dyDescent="0.3">
      <c r="A637" s="317"/>
      <c r="B637" s="312"/>
      <c r="C637" s="428"/>
      <c r="D637" s="372"/>
      <c r="E637" s="390"/>
      <c r="F637" s="391"/>
      <c r="G637" s="391"/>
      <c r="H637" s="390"/>
      <c r="I637" s="390"/>
      <c r="J637" s="390"/>
      <c r="K637" s="390"/>
      <c r="L637" s="390"/>
      <c r="M637" s="390"/>
      <c r="N637" s="390"/>
      <c r="O637" s="390"/>
      <c r="P637" s="390"/>
      <c r="Q637" s="390"/>
      <c r="R637" s="390"/>
      <c r="S637" s="390"/>
      <c r="T637" s="390"/>
      <c r="U637" s="391"/>
      <c r="V637" s="390"/>
      <c r="W637" s="390"/>
      <c r="X637" s="390"/>
      <c r="Y637" s="391"/>
      <c r="Z637" s="391"/>
      <c r="AA637" s="390"/>
      <c r="AB637" s="390"/>
      <c r="AC637" s="390"/>
      <c r="AD637" s="390"/>
      <c r="AE637" s="390"/>
      <c r="AF637" s="390"/>
      <c r="AG637" s="390"/>
      <c r="AH637" s="390"/>
      <c r="AI637" s="390"/>
      <c r="AJ637" s="390"/>
      <c r="AK637" s="390"/>
      <c r="AL637" s="390"/>
      <c r="AM637" s="390"/>
      <c r="AN637" s="391"/>
      <c r="AO637" s="390"/>
      <c r="AP637" s="390"/>
      <c r="AQ637" s="390"/>
      <c r="AR637" s="391"/>
      <c r="AS637" s="391"/>
      <c r="AT637" s="390"/>
      <c r="AU637" s="390"/>
      <c r="AV637" s="390"/>
      <c r="AW637" s="390"/>
      <c r="AX637" s="390"/>
      <c r="AY637" s="390"/>
      <c r="AZ637" s="390"/>
      <c r="BA637" s="390"/>
      <c r="BB637" s="390"/>
      <c r="BC637" s="390"/>
      <c r="BD637" s="390"/>
      <c r="BE637" s="390"/>
      <c r="BF637" s="390"/>
      <c r="BG637" s="391"/>
      <c r="BH637" s="390"/>
      <c r="BI637" s="390"/>
    </row>
    <row r="638" spans="1:61" s="46" customFormat="1" x14ac:dyDescent="0.3">
      <c r="A638" s="317"/>
      <c r="B638" s="312"/>
      <c r="C638" s="428"/>
      <c r="D638" s="372"/>
      <c r="E638" s="390"/>
      <c r="F638" s="391"/>
      <c r="G638" s="391"/>
      <c r="H638" s="390"/>
      <c r="I638" s="390"/>
      <c r="J638" s="390"/>
      <c r="K638" s="390"/>
      <c r="L638" s="390"/>
      <c r="M638" s="390"/>
      <c r="N638" s="390"/>
      <c r="O638" s="390"/>
      <c r="P638" s="390"/>
      <c r="Q638" s="390"/>
      <c r="R638" s="390"/>
      <c r="S638" s="390"/>
      <c r="T638" s="390"/>
      <c r="U638" s="391"/>
      <c r="V638" s="390"/>
      <c r="W638" s="390"/>
      <c r="X638" s="390"/>
      <c r="Y638" s="391"/>
      <c r="Z638" s="391"/>
      <c r="AA638" s="390"/>
      <c r="AB638" s="390"/>
      <c r="AC638" s="390"/>
      <c r="AD638" s="390"/>
      <c r="AE638" s="390"/>
      <c r="AF638" s="390"/>
      <c r="AG638" s="390"/>
      <c r="AH638" s="390"/>
      <c r="AI638" s="390"/>
      <c r="AJ638" s="390"/>
      <c r="AK638" s="390"/>
      <c r="AL638" s="390"/>
      <c r="AM638" s="390"/>
      <c r="AN638" s="391"/>
      <c r="AO638" s="390"/>
      <c r="AP638" s="390"/>
      <c r="AQ638" s="390"/>
      <c r="AR638" s="391"/>
      <c r="AS638" s="391"/>
      <c r="AT638" s="390"/>
      <c r="AU638" s="390"/>
      <c r="AV638" s="390"/>
      <c r="AW638" s="390"/>
      <c r="AX638" s="390"/>
      <c r="AY638" s="390"/>
      <c r="AZ638" s="390"/>
      <c r="BA638" s="390"/>
      <c r="BB638" s="390"/>
      <c r="BC638" s="390"/>
      <c r="BD638" s="390"/>
      <c r="BE638" s="390"/>
      <c r="BF638" s="390"/>
      <c r="BG638" s="391"/>
      <c r="BH638" s="390"/>
      <c r="BI638" s="390"/>
    </row>
    <row r="639" spans="1:61" s="46" customFormat="1" x14ac:dyDescent="0.3">
      <c r="A639" s="317"/>
      <c r="B639" s="312"/>
      <c r="C639" s="428"/>
      <c r="D639" s="372"/>
      <c r="E639" s="390"/>
      <c r="F639" s="391"/>
      <c r="G639" s="391"/>
      <c r="H639" s="390"/>
      <c r="I639" s="390"/>
      <c r="J639" s="390"/>
      <c r="K639" s="390"/>
      <c r="L639" s="390"/>
      <c r="M639" s="390"/>
      <c r="N639" s="390"/>
      <c r="O639" s="390"/>
      <c r="P639" s="390"/>
      <c r="Q639" s="390"/>
      <c r="R639" s="390"/>
      <c r="S639" s="390"/>
      <c r="T639" s="390"/>
      <c r="U639" s="391"/>
      <c r="V639" s="390"/>
      <c r="W639" s="390"/>
      <c r="X639" s="390"/>
      <c r="Y639" s="391"/>
      <c r="Z639" s="391"/>
      <c r="AA639" s="390"/>
      <c r="AB639" s="390"/>
      <c r="AC639" s="390"/>
      <c r="AD639" s="390"/>
      <c r="AE639" s="390"/>
      <c r="AF639" s="390"/>
      <c r="AG639" s="390"/>
      <c r="AH639" s="390"/>
      <c r="AI639" s="390"/>
      <c r="AJ639" s="390"/>
      <c r="AK639" s="390"/>
      <c r="AL639" s="390"/>
      <c r="AM639" s="390"/>
      <c r="AN639" s="391"/>
      <c r="AO639" s="390"/>
      <c r="AP639" s="390"/>
      <c r="AQ639" s="390"/>
      <c r="AR639" s="391"/>
      <c r="AS639" s="391"/>
      <c r="AT639" s="390"/>
      <c r="AU639" s="390"/>
      <c r="AV639" s="390"/>
      <c r="AW639" s="390"/>
      <c r="AX639" s="390"/>
      <c r="AY639" s="390"/>
      <c r="AZ639" s="390"/>
      <c r="BA639" s="390"/>
      <c r="BB639" s="390"/>
      <c r="BC639" s="390"/>
      <c r="BD639" s="390"/>
      <c r="BE639" s="390"/>
      <c r="BF639" s="390"/>
      <c r="BG639" s="391"/>
      <c r="BH639" s="390"/>
      <c r="BI639" s="390"/>
    </row>
    <row r="640" spans="1:61" s="46" customFormat="1" x14ac:dyDescent="0.3">
      <c r="A640" s="317"/>
      <c r="B640" s="312"/>
      <c r="C640" s="428"/>
      <c r="D640" s="372"/>
      <c r="E640" s="390"/>
      <c r="F640" s="391"/>
      <c r="G640" s="391"/>
      <c r="H640" s="390"/>
      <c r="I640" s="390"/>
      <c r="J640" s="390"/>
      <c r="K640" s="390"/>
      <c r="L640" s="390"/>
      <c r="M640" s="390"/>
      <c r="N640" s="390"/>
      <c r="O640" s="390"/>
      <c r="P640" s="390"/>
      <c r="Q640" s="390"/>
      <c r="R640" s="390"/>
      <c r="S640" s="390"/>
      <c r="T640" s="390"/>
      <c r="U640" s="391"/>
      <c r="V640" s="390"/>
      <c r="W640" s="390"/>
      <c r="X640" s="390"/>
      <c r="Y640" s="391"/>
      <c r="Z640" s="391"/>
      <c r="AA640" s="390"/>
      <c r="AB640" s="390"/>
      <c r="AC640" s="390"/>
      <c r="AD640" s="390"/>
      <c r="AE640" s="390"/>
      <c r="AF640" s="390"/>
      <c r="AG640" s="390"/>
      <c r="AH640" s="390"/>
      <c r="AI640" s="390"/>
      <c r="AJ640" s="390"/>
      <c r="AK640" s="390"/>
      <c r="AL640" s="390"/>
      <c r="AM640" s="390"/>
      <c r="AN640" s="391"/>
      <c r="AO640" s="390"/>
      <c r="AP640" s="390"/>
      <c r="AQ640" s="390"/>
      <c r="AR640" s="391"/>
      <c r="AS640" s="391"/>
      <c r="AT640" s="390"/>
      <c r="AU640" s="390"/>
      <c r="AV640" s="390"/>
      <c r="AW640" s="390"/>
      <c r="AX640" s="390"/>
      <c r="AY640" s="390"/>
      <c r="AZ640" s="390"/>
      <c r="BA640" s="390"/>
      <c r="BB640" s="390"/>
      <c r="BC640" s="390"/>
      <c r="BD640" s="390"/>
      <c r="BE640" s="390"/>
      <c r="BF640" s="390"/>
      <c r="BG640" s="391"/>
      <c r="BH640" s="390"/>
      <c r="BI640" s="390"/>
    </row>
    <row r="641" spans="1:61" s="46" customFormat="1" x14ac:dyDescent="0.3">
      <c r="A641" s="317"/>
      <c r="B641" s="312"/>
      <c r="C641" s="428"/>
      <c r="D641" s="372"/>
      <c r="E641" s="390"/>
      <c r="F641" s="391"/>
      <c r="G641" s="391"/>
      <c r="H641" s="390"/>
      <c r="I641" s="390"/>
      <c r="J641" s="390"/>
      <c r="K641" s="390"/>
      <c r="L641" s="390"/>
      <c r="M641" s="390"/>
      <c r="N641" s="390"/>
      <c r="O641" s="390"/>
      <c r="P641" s="390"/>
      <c r="Q641" s="390"/>
      <c r="R641" s="390"/>
      <c r="S641" s="390"/>
      <c r="T641" s="390"/>
      <c r="U641" s="391"/>
      <c r="V641" s="390"/>
      <c r="W641" s="390"/>
      <c r="X641" s="390"/>
      <c r="Y641" s="391"/>
      <c r="Z641" s="391"/>
      <c r="AA641" s="390"/>
      <c r="AB641" s="390"/>
      <c r="AC641" s="390"/>
      <c r="AD641" s="390"/>
      <c r="AE641" s="390"/>
      <c r="AF641" s="390"/>
      <c r="AG641" s="390"/>
      <c r="AH641" s="390"/>
      <c r="AI641" s="390"/>
      <c r="AJ641" s="390"/>
      <c r="AK641" s="390"/>
      <c r="AL641" s="390"/>
      <c r="AM641" s="390"/>
      <c r="AN641" s="391"/>
      <c r="AO641" s="390"/>
      <c r="AP641" s="390"/>
      <c r="AQ641" s="390"/>
      <c r="AR641" s="391"/>
      <c r="AS641" s="391"/>
      <c r="AT641" s="390"/>
      <c r="AU641" s="390"/>
      <c r="AV641" s="390"/>
      <c r="AW641" s="390"/>
      <c r="AX641" s="390"/>
      <c r="AY641" s="390"/>
      <c r="AZ641" s="390"/>
      <c r="BA641" s="390"/>
      <c r="BB641" s="390"/>
      <c r="BC641" s="390"/>
      <c r="BD641" s="390"/>
      <c r="BE641" s="390"/>
      <c r="BF641" s="390"/>
      <c r="BG641" s="391"/>
      <c r="BH641" s="390"/>
      <c r="BI641" s="390"/>
    </row>
    <row r="642" spans="1:61" s="46" customFormat="1" x14ac:dyDescent="0.3">
      <c r="A642" s="317"/>
      <c r="B642" s="312"/>
      <c r="C642" s="428"/>
      <c r="D642" s="372"/>
      <c r="E642" s="390"/>
      <c r="F642" s="391"/>
      <c r="G642" s="391"/>
      <c r="H642" s="390"/>
      <c r="I642" s="390"/>
      <c r="J642" s="390"/>
      <c r="K642" s="390"/>
      <c r="L642" s="390"/>
      <c r="M642" s="390"/>
      <c r="N642" s="390"/>
      <c r="O642" s="390"/>
      <c r="P642" s="390"/>
      <c r="Q642" s="390"/>
      <c r="R642" s="390"/>
      <c r="S642" s="390"/>
      <c r="T642" s="390"/>
      <c r="U642" s="391"/>
      <c r="V642" s="390"/>
      <c r="W642" s="390"/>
      <c r="X642" s="390"/>
      <c r="Y642" s="391"/>
      <c r="Z642" s="391"/>
      <c r="AA642" s="390"/>
      <c r="AB642" s="390"/>
      <c r="AC642" s="390"/>
      <c r="AD642" s="390"/>
      <c r="AE642" s="390"/>
      <c r="AF642" s="390"/>
      <c r="AG642" s="390"/>
      <c r="AH642" s="390"/>
      <c r="AI642" s="390"/>
      <c r="AJ642" s="390"/>
      <c r="AK642" s="390"/>
      <c r="AL642" s="390"/>
      <c r="AM642" s="390"/>
      <c r="AN642" s="391"/>
      <c r="AO642" s="390"/>
      <c r="AP642" s="390"/>
      <c r="AQ642" s="390"/>
      <c r="AR642" s="391"/>
      <c r="AS642" s="391"/>
      <c r="AT642" s="390"/>
      <c r="AU642" s="390"/>
      <c r="AV642" s="390"/>
      <c r="AW642" s="390"/>
      <c r="AX642" s="390"/>
      <c r="AY642" s="390"/>
      <c r="AZ642" s="390"/>
      <c r="BA642" s="390"/>
      <c r="BB642" s="390"/>
      <c r="BC642" s="390"/>
      <c r="BD642" s="390"/>
      <c r="BE642" s="390"/>
      <c r="BF642" s="390"/>
      <c r="BG642" s="391"/>
      <c r="BH642" s="390"/>
      <c r="BI642" s="390"/>
    </row>
    <row r="643" spans="1:61" s="46" customFormat="1" x14ac:dyDescent="0.3">
      <c r="A643" s="317"/>
      <c r="B643" s="312"/>
      <c r="C643" s="428"/>
      <c r="D643" s="372"/>
      <c r="E643" s="390"/>
      <c r="F643" s="391"/>
      <c r="G643" s="391"/>
      <c r="H643" s="390"/>
      <c r="I643" s="390"/>
      <c r="J643" s="390"/>
      <c r="K643" s="390"/>
      <c r="L643" s="390"/>
      <c r="M643" s="390"/>
      <c r="N643" s="390"/>
      <c r="O643" s="390"/>
      <c r="P643" s="390"/>
      <c r="Q643" s="390"/>
      <c r="R643" s="390"/>
      <c r="S643" s="390"/>
      <c r="T643" s="390"/>
      <c r="U643" s="391"/>
      <c r="V643" s="390"/>
      <c r="W643" s="390"/>
      <c r="X643" s="390"/>
      <c r="Y643" s="391"/>
      <c r="Z643" s="391"/>
      <c r="AA643" s="390"/>
      <c r="AB643" s="390"/>
      <c r="AC643" s="390"/>
      <c r="AD643" s="390"/>
      <c r="AE643" s="390"/>
      <c r="AF643" s="390"/>
      <c r="AG643" s="390"/>
      <c r="AH643" s="390"/>
      <c r="AI643" s="390"/>
      <c r="AJ643" s="390"/>
      <c r="AK643" s="390"/>
      <c r="AL643" s="390"/>
      <c r="AM643" s="390"/>
      <c r="AN643" s="391"/>
      <c r="AO643" s="390"/>
      <c r="AP643" s="390"/>
      <c r="AQ643" s="390"/>
      <c r="AR643" s="391"/>
      <c r="AS643" s="391"/>
      <c r="AT643" s="390"/>
      <c r="AU643" s="390"/>
      <c r="AV643" s="390"/>
      <c r="AW643" s="390"/>
      <c r="AX643" s="390"/>
      <c r="AY643" s="390"/>
      <c r="AZ643" s="390"/>
      <c r="BA643" s="390"/>
      <c r="BB643" s="390"/>
      <c r="BC643" s="390"/>
      <c r="BD643" s="390"/>
      <c r="BE643" s="390"/>
      <c r="BF643" s="390"/>
      <c r="BG643" s="391"/>
      <c r="BH643" s="390"/>
      <c r="BI643" s="390"/>
    </row>
    <row r="644" spans="1:61" s="46" customFormat="1" x14ac:dyDescent="0.3">
      <c r="A644" s="317"/>
      <c r="B644" s="312"/>
      <c r="C644" s="428"/>
      <c r="D644" s="372"/>
      <c r="E644" s="390"/>
      <c r="F644" s="391"/>
      <c r="G644" s="391"/>
      <c r="H644" s="390"/>
      <c r="I644" s="390"/>
      <c r="J644" s="390"/>
      <c r="K644" s="390"/>
      <c r="L644" s="390"/>
      <c r="M644" s="390"/>
      <c r="N644" s="390"/>
      <c r="O644" s="390"/>
      <c r="P644" s="390"/>
      <c r="Q644" s="390"/>
      <c r="R644" s="390"/>
      <c r="S644" s="390"/>
      <c r="T644" s="390"/>
      <c r="U644" s="391"/>
      <c r="V644" s="390"/>
      <c r="W644" s="390"/>
      <c r="X644" s="390"/>
      <c r="Y644" s="391"/>
      <c r="Z644" s="391"/>
      <c r="AA644" s="390"/>
      <c r="AB644" s="390"/>
      <c r="AC644" s="390"/>
      <c r="AD644" s="390"/>
      <c r="AE644" s="390"/>
      <c r="AF644" s="390"/>
      <c r="AG644" s="390"/>
      <c r="AH644" s="390"/>
      <c r="AI644" s="390"/>
      <c r="AJ644" s="390"/>
      <c r="AK644" s="390"/>
      <c r="AL644" s="390"/>
      <c r="AM644" s="390"/>
      <c r="AN644" s="391"/>
      <c r="AO644" s="390"/>
      <c r="AP644" s="390"/>
      <c r="AQ644" s="390"/>
      <c r="AR644" s="391"/>
      <c r="AS644" s="391"/>
      <c r="AT644" s="390"/>
      <c r="AU644" s="390"/>
      <c r="AV644" s="390"/>
      <c r="AW644" s="390"/>
      <c r="AX644" s="390"/>
      <c r="AY644" s="390"/>
      <c r="AZ644" s="390"/>
      <c r="BA644" s="390"/>
      <c r="BB644" s="390"/>
      <c r="BC644" s="390"/>
      <c r="BD644" s="390"/>
      <c r="BE644" s="390"/>
      <c r="BF644" s="390"/>
      <c r="BG644" s="391"/>
      <c r="BH644" s="390"/>
      <c r="BI644" s="390"/>
    </row>
    <row r="645" spans="1:61" s="46" customFormat="1" x14ac:dyDescent="0.3">
      <c r="A645" s="317"/>
      <c r="B645" s="312"/>
      <c r="C645" s="428"/>
      <c r="D645" s="372"/>
      <c r="E645" s="390"/>
      <c r="F645" s="391"/>
      <c r="G645" s="391"/>
      <c r="H645" s="390"/>
      <c r="I645" s="390"/>
      <c r="J645" s="390"/>
      <c r="K645" s="390"/>
      <c r="L645" s="390"/>
      <c r="M645" s="390"/>
      <c r="N645" s="390"/>
      <c r="O645" s="390"/>
      <c r="P645" s="390"/>
      <c r="Q645" s="390"/>
      <c r="R645" s="390"/>
      <c r="S645" s="390"/>
      <c r="T645" s="390"/>
      <c r="U645" s="391"/>
      <c r="V645" s="390"/>
      <c r="W645" s="390"/>
      <c r="X645" s="390"/>
      <c r="Y645" s="391"/>
      <c r="Z645" s="391"/>
      <c r="AA645" s="390"/>
      <c r="AB645" s="390"/>
      <c r="AC645" s="390"/>
      <c r="AD645" s="390"/>
      <c r="AE645" s="390"/>
      <c r="AF645" s="390"/>
      <c r="AG645" s="390"/>
      <c r="AH645" s="390"/>
      <c r="AI645" s="390"/>
      <c r="AJ645" s="390"/>
      <c r="AK645" s="390"/>
      <c r="AL645" s="390"/>
      <c r="AM645" s="390"/>
      <c r="AN645" s="391"/>
      <c r="AO645" s="390"/>
      <c r="AP645" s="390"/>
      <c r="AQ645" s="390"/>
      <c r="AR645" s="391"/>
      <c r="AS645" s="391"/>
      <c r="AT645" s="390"/>
      <c r="AU645" s="390"/>
      <c r="AV645" s="390"/>
      <c r="AW645" s="390"/>
      <c r="AX645" s="390"/>
      <c r="AY645" s="390"/>
      <c r="AZ645" s="390"/>
      <c r="BA645" s="390"/>
      <c r="BB645" s="390"/>
      <c r="BC645" s="390"/>
      <c r="BD645" s="390"/>
      <c r="BE645" s="390"/>
      <c r="BF645" s="390"/>
      <c r="BG645" s="391"/>
      <c r="BH645" s="390"/>
      <c r="BI645" s="390"/>
    </row>
    <row r="646" spans="1:61" s="46" customFormat="1" x14ac:dyDescent="0.3">
      <c r="A646" s="317"/>
      <c r="B646" s="312"/>
      <c r="C646" s="428"/>
      <c r="D646" s="372"/>
      <c r="E646" s="390"/>
      <c r="F646" s="391"/>
      <c r="G646" s="391"/>
      <c r="H646" s="390"/>
      <c r="I646" s="390"/>
      <c r="J646" s="390"/>
      <c r="K646" s="390"/>
      <c r="L646" s="390"/>
      <c r="M646" s="390"/>
      <c r="N646" s="390"/>
      <c r="O646" s="390"/>
      <c r="P646" s="390"/>
      <c r="Q646" s="390"/>
      <c r="R646" s="390"/>
      <c r="S646" s="390"/>
      <c r="T646" s="390"/>
      <c r="U646" s="391"/>
      <c r="V646" s="390"/>
      <c r="W646" s="390"/>
      <c r="X646" s="390"/>
      <c r="Y646" s="391"/>
      <c r="Z646" s="391"/>
      <c r="AA646" s="390"/>
      <c r="AB646" s="390"/>
      <c r="AC646" s="390"/>
      <c r="AD646" s="390"/>
      <c r="AE646" s="390"/>
      <c r="AF646" s="390"/>
      <c r="AG646" s="390"/>
      <c r="AH646" s="390"/>
      <c r="AI646" s="390"/>
      <c r="AJ646" s="390"/>
      <c r="AK646" s="390"/>
      <c r="AL646" s="390"/>
      <c r="AM646" s="390"/>
      <c r="AN646" s="391"/>
      <c r="AO646" s="390"/>
      <c r="AP646" s="390"/>
      <c r="AQ646" s="390"/>
      <c r="AR646" s="391"/>
      <c r="AS646" s="391"/>
      <c r="AT646" s="390"/>
      <c r="AU646" s="390"/>
      <c r="AV646" s="390"/>
      <c r="AW646" s="390"/>
      <c r="AX646" s="390"/>
      <c r="AY646" s="390"/>
      <c r="AZ646" s="390"/>
      <c r="BA646" s="390"/>
      <c r="BB646" s="390"/>
      <c r="BC646" s="390"/>
      <c r="BD646" s="390"/>
      <c r="BE646" s="390"/>
      <c r="BF646" s="390"/>
      <c r="BG646" s="391"/>
      <c r="BH646" s="390"/>
      <c r="BI646" s="390"/>
    </row>
    <row r="647" spans="1:61" s="46" customFormat="1" x14ac:dyDescent="0.3">
      <c r="A647" s="317"/>
      <c r="B647" s="312"/>
      <c r="C647" s="428"/>
      <c r="D647" s="372"/>
      <c r="E647" s="390"/>
      <c r="F647" s="391"/>
      <c r="G647" s="391"/>
      <c r="H647" s="390"/>
      <c r="I647" s="390"/>
      <c r="J647" s="390"/>
      <c r="K647" s="390"/>
      <c r="L647" s="390"/>
      <c r="M647" s="390"/>
      <c r="N647" s="390"/>
      <c r="O647" s="390"/>
      <c r="P647" s="390"/>
      <c r="Q647" s="390"/>
      <c r="R647" s="390"/>
      <c r="S647" s="390"/>
      <c r="T647" s="390"/>
      <c r="U647" s="391"/>
      <c r="V647" s="390"/>
      <c r="W647" s="390"/>
      <c r="X647" s="390"/>
      <c r="Y647" s="391"/>
      <c r="Z647" s="391"/>
      <c r="AA647" s="390"/>
      <c r="AB647" s="390"/>
      <c r="AC647" s="390"/>
      <c r="AD647" s="390"/>
      <c r="AE647" s="390"/>
      <c r="AF647" s="390"/>
      <c r="AG647" s="390"/>
      <c r="AH647" s="390"/>
      <c r="AI647" s="390"/>
      <c r="AJ647" s="390"/>
      <c r="AK647" s="390"/>
      <c r="AL647" s="390"/>
      <c r="AM647" s="390"/>
      <c r="AN647" s="391"/>
      <c r="AO647" s="390"/>
      <c r="AP647" s="390"/>
      <c r="AQ647" s="390"/>
      <c r="AR647" s="391"/>
      <c r="AS647" s="391"/>
      <c r="AT647" s="390"/>
      <c r="AU647" s="390"/>
      <c r="AV647" s="390"/>
      <c r="AW647" s="390"/>
      <c r="AX647" s="390"/>
      <c r="AY647" s="390"/>
      <c r="AZ647" s="390"/>
      <c r="BA647" s="390"/>
      <c r="BB647" s="390"/>
      <c r="BC647" s="390"/>
      <c r="BD647" s="390"/>
      <c r="BE647" s="390"/>
      <c r="BF647" s="390"/>
      <c r="BG647" s="391"/>
      <c r="BH647" s="390"/>
      <c r="BI647" s="390"/>
    </row>
    <row r="648" spans="1:61" s="46" customFormat="1" x14ac:dyDescent="0.3">
      <c r="A648" s="317"/>
      <c r="B648" s="312"/>
      <c r="C648" s="428"/>
      <c r="D648" s="372"/>
      <c r="E648" s="390"/>
      <c r="F648" s="391"/>
      <c r="G648" s="391"/>
      <c r="H648" s="390"/>
      <c r="I648" s="390"/>
      <c r="J648" s="390"/>
      <c r="K648" s="390"/>
      <c r="L648" s="390"/>
      <c r="M648" s="390"/>
      <c r="N648" s="390"/>
      <c r="O648" s="390"/>
      <c r="P648" s="390"/>
      <c r="Q648" s="390"/>
      <c r="R648" s="390"/>
      <c r="S648" s="390"/>
      <c r="T648" s="390"/>
      <c r="U648" s="391"/>
      <c r="V648" s="390"/>
      <c r="W648" s="390"/>
      <c r="X648" s="390"/>
      <c r="Y648" s="391"/>
      <c r="Z648" s="391"/>
      <c r="AA648" s="390"/>
      <c r="AB648" s="390"/>
      <c r="AC648" s="390"/>
      <c r="AD648" s="390"/>
      <c r="AE648" s="390"/>
      <c r="AF648" s="390"/>
      <c r="AG648" s="390"/>
      <c r="AH648" s="390"/>
      <c r="AI648" s="390"/>
      <c r="AJ648" s="390"/>
      <c r="AK648" s="390"/>
      <c r="AL648" s="390"/>
      <c r="AM648" s="390"/>
      <c r="AN648" s="391"/>
      <c r="AO648" s="390"/>
      <c r="AP648" s="390"/>
      <c r="AQ648" s="390"/>
      <c r="AR648" s="391"/>
      <c r="AS648" s="391"/>
      <c r="AT648" s="390"/>
      <c r="AU648" s="390"/>
      <c r="AV648" s="390"/>
      <c r="AW648" s="390"/>
      <c r="AX648" s="390"/>
      <c r="AY648" s="390"/>
      <c r="AZ648" s="390"/>
      <c r="BA648" s="390"/>
      <c r="BB648" s="390"/>
      <c r="BC648" s="390"/>
      <c r="BD648" s="390"/>
      <c r="BE648" s="390"/>
      <c r="BF648" s="390"/>
      <c r="BG648" s="391"/>
      <c r="BH648" s="390"/>
      <c r="BI648" s="390"/>
    </row>
    <row r="649" spans="1:61" s="46" customFormat="1" x14ac:dyDescent="0.3">
      <c r="A649" s="317"/>
      <c r="B649" s="312"/>
      <c r="C649" s="428"/>
      <c r="D649" s="372"/>
      <c r="E649" s="390"/>
      <c r="F649" s="391"/>
      <c r="G649" s="391"/>
      <c r="H649" s="390"/>
      <c r="I649" s="390"/>
      <c r="J649" s="390"/>
      <c r="K649" s="390"/>
      <c r="L649" s="390"/>
      <c r="M649" s="390"/>
      <c r="N649" s="390"/>
      <c r="O649" s="390"/>
      <c r="P649" s="390"/>
      <c r="Q649" s="390"/>
      <c r="R649" s="390"/>
      <c r="S649" s="390"/>
      <c r="T649" s="390"/>
      <c r="U649" s="391"/>
      <c r="V649" s="390"/>
      <c r="W649" s="390"/>
      <c r="X649" s="390"/>
      <c r="Y649" s="391"/>
      <c r="Z649" s="391"/>
      <c r="AA649" s="390"/>
      <c r="AB649" s="390"/>
      <c r="AC649" s="390"/>
      <c r="AD649" s="390"/>
      <c r="AE649" s="390"/>
      <c r="AF649" s="390"/>
      <c r="AG649" s="390"/>
      <c r="AH649" s="390"/>
      <c r="AI649" s="390"/>
      <c r="AJ649" s="390"/>
      <c r="AK649" s="390"/>
      <c r="AL649" s="390"/>
      <c r="AM649" s="390"/>
      <c r="AN649" s="391"/>
      <c r="AO649" s="390"/>
      <c r="AP649" s="390"/>
      <c r="AQ649" s="390"/>
      <c r="AR649" s="391"/>
      <c r="AS649" s="391"/>
      <c r="AT649" s="390"/>
      <c r="AU649" s="390"/>
      <c r="AV649" s="390"/>
      <c r="AW649" s="390"/>
      <c r="AX649" s="390"/>
      <c r="AY649" s="390"/>
      <c r="AZ649" s="390"/>
      <c r="BA649" s="390"/>
      <c r="BB649" s="390"/>
      <c r="BC649" s="390"/>
      <c r="BD649" s="390"/>
      <c r="BE649" s="390"/>
      <c r="BF649" s="390"/>
      <c r="BG649" s="391"/>
      <c r="BH649" s="390"/>
      <c r="BI649" s="390"/>
    </row>
    <row r="650" spans="1:61" s="46" customFormat="1" x14ac:dyDescent="0.3">
      <c r="A650" s="317"/>
      <c r="B650" s="312"/>
      <c r="C650" s="428"/>
      <c r="D650" s="372"/>
      <c r="E650" s="390"/>
      <c r="F650" s="391"/>
      <c r="G650" s="391"/>
      <c r="H650" s="390"/>
      <c r="I650" s="390"/>
      <c r="J650" s="390"/>
      <c r="K650" s="390"/>
      <c r="L650" s="390"/>
      <c r="M650" s="390"/>
      <c r="N650" s="390"/>
      <c r="O650" s="390"/>
      <c r="P650" s="390"/>
      <c r="Q650" s="390"/>
      <c r="R650" s="390"/>
      <c r="S650" s="390"/>
      <c r="T650" s="390"/>
      <c r="U650" s="391"/>
      <c r="V650" s="390"/>
      <c r="W650" s="390"/>
      <c r="X650" s="390"/>
      <c r="Y650" s="391"/>
      <c r="Z650" s="391"/>
      <c r="AA650" s="390"/>
      <c r="AB650" s="390"/>
      <c r="AC650" s="390"/>
      <c r="AD650" s="390"/>
      <c r="AE650" s="390"/>
      <c r="AF650" s="390"/>
      <c r="AG650" s="390"/>
      <c r="AH650" s="390"/>
      <c r="AI650" s="390"/>
      <c r="AJ650" s="390"/>
      <c r="AK650" s="390"/>
      <c r="AL650" s="390"/>
      <c r="AM650" s="390"/>
      <c r="AN650" s="391"/>
      <c r="AO650" s="390"/>
      <c r="AP650" s="390"/>
      <c r="AQ650" s="390"/>
      <c r="AR650" s="391"/>
      <c r="AS650" s="391"/>
      <c r="AT650" s="390"/>
      <c r="AU650" s="390"/>
      <c r="AV650" s="390"/>
      <c r="AW650" s="390"/>
      <c r="AX650" s="390"/>
      <c r="AY650" s="390"/>
      <c r="AZ650" s="390"/>
      <c r="BA650" s="390"/>
      <c r="BB650" s="390"/>
      <c r="BC650" s="390"/>
      <c r="BD650" s="390"/>
      <c r="BE650" s="390"/>
      <c r="BF650" s="390"/>
      <c r="BG650" s="391"/>
      <c r="BH650" s="390"/>
      <c r="BI650" s="390"/>
    </row>
    <row r="651" spans="1:61" s="46" customFormat="1" x14ac:dyDescent="0.3">
      <c r="A651" s="317"/>
      <c r="B651" s="312"/>
      <c r="C651" s="428"/>
      <c r="D651" s="372"/>
      <c r="E651" s="390"/>
      <c r="F651" s="391"/>
      <c r="G651" s="391"/>
      <c r="H651" s="390"/>
      <c r="I651" s="390"/>
      <c r="J651" s="390"/>
      <c r="K651" s="390"/>
      <c r="L651" s="390"/>
      <c r="M651" s="390"/>
      <c r="N651" s="390"/>
      <c r="O651" s="390"/>
      <c r="P651" s="390"/>
      <c r="Q651" s="390"/>
      <c r="R651" s="390"/>
      <c r="S651" s="390"/>
      <c r="T651" s="390"/>
      <c r="U651" s="391"/>
      <c r="V651" s="390"/>
      <c r="W651" s="390"/>
      <c r="X651" s="390"/>
      <c r="Y651" s="391"/>
      <c r="Z651" s="391"/>
      <c r="AA651" s="390"/>
      <c r="AB651" s="390"/>
      <c r="AC651" s="390"/>
      <c r="AD651" s="390"/>
      <c r="AE651" s="390"/>
      <c r="AF651" s="390"/>
      <c r="AG651" s="390"/>
      <c r="AH651" s="390"/>
      <c r="AI651" s="390"/>
      <c r="AJ651" s="390"/>
      <c r="AK651" s="390"/>
      <c r="AL651" s="390"/>
      <c r="AM651" s="390"/>
      <c r="AN651" s="391"/>
      <c r="AO651" s="390"/>
      <c r="AP651" s="390"/>
      <c r="AQ651" s="390"/>
      <c r="AR651" s="391"/>
      <c r="AS651" s="391"/>
      <c r="AT651" s="390"/>
      <c r="AU651" s="390"/>
      <c r="AV651" s="390"/>
      <c r="AW651" s="390"/>
      <c r="AX651" s="390"/>
      <c r="AY651" s="390"/>
      <c r="AZ651" s="390"/>
      <c r="BA651" s="390"/>
      <c r="BB651" s="390"/>
      <c r="BC651" s="390"/>
      <c r="BD651" s="390"/>
      <c r="BE651" s="390"/>
      <c r="BF651" s="390"/>
      <c r="BG651" s="391"/>
      <c r="BH651" s="390"/>
      <c r="BI651" s="390"/>
    </row>
    <row r="652" spans="1:61" s="46" customFormat="1" x14ac:dyDescent="0.3">
      <c r="A652" s="317"/>
      <c r="B652" s="312"/>
      <c r="C652" s="428"/>
      <c r="D652" s="372"/>
      <c r="E652" s="390"/>
      <c r="F652" s="391"/>
      <c r="G652" s="391"/>
      <c r="H652" s="390"/>
      <c r="I652" s="390"/>
      <c r="J652" s="390"/>
      <c r="K652" s="390"/>
      <c r="L652" s="390"/>
      <c r="M652" s="390"/>
      <c r="N652" s="390"/>
      <c r="O652" s="390"/>
      <c r="P652" s="390"/>
      <c r="Q652" s="390"/>
      <c r="R652" s="390"/>
      <c r="S652" s="390"/>
      <c r="T652" s="390"/>
      <c r="U652" s="391"/>
      <c r="V652" s="390"/>
      <c r="W652" s="390"/>
      <c r="X652" s="390"/>
      <c r="Y652" s="391"/>
      <c r="Z652" s="391"/>
      <c r="AA652" s="390"/>
      <c r="AB652" s="390"/>
      <c r="AC652" s="390"/>
      <c r="AD652" s="390"/>
      <c r="AE652" s="390"/>
      <c r="AF652" s="390"/>
      <c r="AG652" s="390"/>
      <c r="AH652" s="390"/>
      <c r="AI652" s="390"/>
      <c r="AJ652" s="390"/>
      <c r="AK652" s="390"/>
      <c r="AL652" s="390"/>
      <c r="AM652" s="390"/>
      <c r="AN652" s="391"/>
      <c r="AO652" s="390"/>
      <c r="AP652" s="390"/>
      <c r="AQ652" s="390"/>
      <c r="AR652" s="391"/>
      <c r="AS652" s="391"/>
      <c r="AT652" s="390"/>
      <c r="AU652" s="390"/>
      <c r="AV652" s="390"/>
      <c r="AW652" s="390"/>
      <c r="AX652" s="390"/>
      <c r="AY652" s="390"/>
      <c r="AZ652" s="390"/>
      <c r="BA652" s="390"/>
      <c r="BB652" s="390"/>
      <c r="BC652" s="390"/>
      <c r="BD652" s="390"/>
      <c r="BE652" s="390"/>
      <c r="BF652" s="390"/>
      <c r="BG652" s="391"/>
      <c r="BH652" s="390"/>
      <c r="BI652" s="390"/>
    </row>
    <row r="653" spans="1:61" s="46" customFormat="1" x14ac:dyDescent="0.3">
      <c r="A653" s="317"/>
      <c r="B653" s="312"/>
      <c r="C653" s="428"/>
      <c r="D653" s="372"/>
      <c r="E653" s="390"/>
      <c r="F653" s="391"/>
      <c r="G653" s="391"/>
      <c r="H653" s="390"/>
      <c r="I653" s="390"/>
      <c r="J653" s="390"/>
      <c r="K653" s="390"/>
      <c r="L653" s="390"/>
      <c r="M653" s="390"/>
      <c r="N653" s="390"/>
      <c r="O653" s="390"/>
      <c r="P653" s="390"/>
      <c r="Q653" s="390"/>
      <c r="R653" s="390"/>
      <c r="S653" s="390"/>
      <c r="T653" s="390"/>
      <c r="U653" s="391"/>
      <c r="V653" s="390"/>
      <c r="W653" s="390"/>
      <c r="X653" s="390"/>
      <c r="Y653" s="391"/>
      <c r="Z653" s="391"/>
      <c r="AA653" s="390"/>
      <c r="AB653" s="390"/>
      <c r="AC653" s="390"/>
      <c r="AD653" s="390"/>
      <c r="AE653" s="390"/>
      <c r="AF653" s="390"/>
      <c r="AG653" s="390"/>
      <c r="AH653" s="390"/>
      <c r="AI653" s="390"/>
      <c r="AJ653" s="390"/>
      <c r="AK653" s="390"/>
      <c r="AL653" s="390"/>
      <c r="AM653" s="390"/>
      <c r="AN653" s="391"/>
      <c r="AO653" s="390"/>
      <c r="AP653" s="390"/>
      <c r="AQ653" s="390"/>
      <c r="AR653" s="391"/>
      <c r="AS653" s="391"/>
      <c r="AT653" s="390"/>
      <c r="AU653" s="390"/>
      <c r="AV653" s="390"/>
      <c r="AW653" s="390"/>
      <c r="AX653" s="390"/>
      <c r="AY653" s="390"/>
      <c r="AZ653" s="390"/>
      <c r="BA653" s="390"/>
      <c r="BB653" s="390"/>
      <c r="BC653" s="390"/>
      <c r="BD653" s="390"/>
      <c r="BE653" s="390"/>
      <c r="BF653" s="390"/>
      <c r="BG653" s="391"/>
      <c r="BH653" s="390"/>
      <c r="BI653" s="390"/>
    </row>
    <row r="654" spans="1:61" s="46" customFormat="1" x14ac:dyDescent="0.3">
      <c r="A654" s="317"/>
      <c r="B654" s="312"/>
      <c r="C654" s="428"/>
      <c r="D654" s="372"/>
      <c r="E654" s="390"/>
      <c r="F654" s="391"/>
      <c r="G654" s="391"/>
      <c r="H654" s="390"/>
      <c r="I654" s="390"/>
      <c r="J654" s="390"/>
      <c r="K654" s="390"/>
      <c r="L654" s="390"/>
      <c r="M654" s="390"/>
      <c r="N654" s="390"/>
      <c r="O654" s="390"/>
      <c r="P654" s="390"/>
      <c r="Q654" s="390"/>
      <c r="R654" s="390"/>
      <c r="S654" s="390"/>
      <c r="T654" s="390"/>
      <c r="U654" s="391"/>
      <c r="V654" s="390"/>
      <c r="W654" s="390"/>
      <c r="X654" s="390"/>
      <c r="Y654" s="391"/>
      <c r="Z654" s="391"/>
      <c r="AA654" s="390"/>
      <c r="AB654" s="390"/>
      <c r="AC654" s="390"/>
      <c r="AD654" s="390"/>
      <c r="AE654" s="390"/>
      <c r="AF654" s="390"/>
      <c r="AG654" s="390"/>
      <c r="AH654" s="390"/>
      <c r="AI654" s="390"/>
      <c r="AJ654" s="390"/>
      <c r="AK654" s="390"/>
      <c r="AL654" s="390"/>
      <c r="AM654" s="390"/>
      <c r="AN654" s="391"/>
      <c r="AO654" s="390"/>
      <c r="AP654" s="390"/>
      <c r="AQ654" s="390"/>
      <c r="AR654" s="391"/>
      <c r="AS654" s="391"/>
      <c r="AT654" s="390"/>
      <c r="AU654" s="390"/>
      <c r="AV654" s="390"/>
      <c r="AW654" s="390"/>
      <c r="AX654" s="390"/>
      <c r="AY654" s="390"/>
      <c r="AZ654" s="390"/>
      <c r="BA654" s="390"/>
      <c r="BB654" s="390"/>
      <c r="BC654" s="390"/>
      <c r="BD654" s="390"/>
      <c r="BE654" s="390"/>
      <c r="BF654" s="390"/>
      <c r="BG654" s="391"/>
      <c r="BH654" s="390"/>
      <c r="BI654" s="390"/>
    </row>
    <row r="655" spans="1:61" s="46" customFormat="1" x14ac:dyDescent="0.3">
      <c r="A655" s="317"/>
      <c r="B655" s="312"/>
      <c r="C655" s="428"/>
      <c r="D655" s="372"/>
      <c r="E655" s="390"/>
      <c r="F655" s="391"/>
      <c r="G655" s="391"/>
      <c r="H655" s="390"/>
      <c r="I655" s="390"/>
      <c r="J655" s="390"/>
      <c r="K655" s="390"/>
      <c r="L655" s="390"/>
      <c r="M655" s="390"/>
      <c r="N655" s="390"/>
      <c r="O655" s="390"/>
      <c r="P655" s="390"/>
      <c r="Q655" s="390"/>
      <c r="R655" s="390"/>
      <c r="S655" s="390"/>
      <c r="T655" s="390"/>
      <c r="U655" s="391"/>
      <c r="V655" s="390"/>
      <c r="W655" s="390"/>
      <c r="X655" s="390"/>
      <c r="Y655" s="391"/>
      <c r="Z655" s="391"/>
      <c r="AA655" s="390"/>
      <c r="AB655" s="390"/>
      <c r="AC655" s="390"/>
      <c r="AD655" s="390"/>
      <c r="AE655" s="390"/>
      <c r="AF655" s="390"/>
      <c r="AG655" s="390"/>
      <c r="AH655" s="390"/>
      <c r="AI655" s="390"/>
      <c r="AJ655" s="390"/>
      <c r="AK655" s="390"/>
      <c r="AL655" s="390"/>
      <c r="AM655" s="390"/>
      <c r="AN655" s="391"/>
      <c r="AO655" s="390"/>
      <c r="AP655" s="390"/>
      <c r="AQ655" s="390"/>
      <c r="AR655" s="391"/>
      <c r="AS655" s="391"/>
      <c r="AT655" s="390"/>
      <c r="AU655" s="390"/>
      <c r="AV655" s="390"/>
      <c r="AW655" s="390"/>
      <c r="AX655" s="390"/>
      <c r="AY655" s="390"/>
      <c r="AZ655" s="390"/>
      <c r="BA655" s="390"/>
      <c r="BB655" s="390"/>
      <c r="BC655" s="390"/>
      <c r="BD655" s="390"/>
      <c r="BE655" s="390"/>
      <c r="BF655" s="390"/>
      <c r="BG655" s="391"/>
      <c r="BH655" s="390"/>
      <c r="BI655" s="390"/>
    </row>
    <row r="656" spans="1:61" s="46" customFormat="1" x14ac:dyDescent="0.3">
      <c r="A656" s="317"/>
      <c r="B656" s="312"/>
      <c r="C656" s="428"/>
      <c r="D656" s="372"/>
      <c r="E656" s="390"/>
      <c r="F656" s="391"/>
      <c r="G656" s="391"/>
      <c r="H656" s="390"/>
      <c r="I656" s="390"/>
      <c r="J656" s="390"/>
      <c r="K656" s="390"/>
      <c r="L656" s="390"/>
      <c r="M656" s="390"/>
      <c r="N656" s="390"/>
      <c r="O656" s="390"/>
      <c r="P656" s="390"/>
      <c r="Q656" s="390"/>
      <c r="R656" s="390"/>
      <c r="S656" s="390"/>
      <c r="T656" s="390"/>
      <c r="U656" s="391"/>
      <c r="V656" s="390"/>
      <c r="W656" s="390"/>
      <c r="X656" s="390"/>
      <c r="Y656" s="391"/>
      <c r="Z656" s="391"/>
      <c r="AA656" s="390"/>
      <c r="AB656" s="390"/>
      <c r="AC656" s="390"/>
      <c r="AD656" s="390"/>
      <c r="AE656" s="390"/>
      <c r="AF656" s="390"/>
      <c r="AG656" s="390"/>
      <c r="AH656" s="390"/>
      <c r="AI656" s="390"/>
      <c r="AJ656" s="390"/>
      <c r="AK656" s="390"/>
      <c r="AL656" s="390"/>
      <c r="AM656" s="390"/>
      <c r="AN656" s="391"/>
      <c r="AO656" s="390"/>
      <c r="AP656" s="390"/>
      <c r="AQ656" s="390"/>
      <c r="AR656" s="391"/>
      <c r="AS656" s="391"/>
      <c r="AT656" s="390"/>
      <c r="AU656" s="390"/>
      <c r="AV656" s="390"/>
      <c r="AW656" s="390"/>
      <c r="AX656" s="390"/>
      <c r="AY656" s="390"/>
      <c r="AZ656" s="390"/>
      <c r="BA656" s="390"/>
      <c r="BB656" s="390"/>
      <c r="BC656" s="390"/>
      <c r="BD656" s="390"/>
      <c r="BE656" s="390"/>
      <c r="BF656" s="390"/>
      <c r="BG656" s="391"/>
      <c r="BH656" s="390"/>
      <c r="BI656" s="390"/>
    </row>
    <row r="657" spans="1:61" s="46" customFormat="1" x14ac:dyDescent="0.3">
      <c r="A657" s="317"/>
      <c r="B657" s="312"/>
      <c r="C657" s="428"/>
      <c r="D657" s="372"/>
      <c r="E657" s="390"/>
      <c r="F657" s="391"/>
      <c r="G657" s="391"/>
      <c r="H657" s="390"/>
      <c r="I657" s="390"/>
      <c r="J657" s="390"/>
      <c r="K657" s="390"/>
      <c r="L657" s="390"/>
      <c r="M657" s="390"/>
      <c r="N657" s="390"/>
      <c r="O657" s="390"/>
      <c r="P657" s="390"/>
      <c r="Q657" s="390"/>
      <c r="R657" s="390"/>
      <c r="S657" s="390"/>
      <c r="T657" s="390"/>
      <c r="U657" s="391"/>
      <c r="V657" s="390"/>
      <c r="W657" s="390"/>
      <c r="X657" s="390"/>
      <c r="Y657" s="391"/>
      <c r="Z657" s="391"/>
      <c r="AA657" s="390"/>
      <c r="AB657" s="390"/>
      <c r="AC657" s="390"/>
      <c r="AD657" s="390"/>
      <c r="AE657" s="390"/>
      <c r="AF657" s="390"/>
      <c r="AG657" s="390"/>
      <c r="AH657" s="390"/>
      <c r="AI657" s="390"/>
      <c r="AJ657" s="390"/>
      <c r="AK657" s="390"/>
      <c r="AL657" s="390"/>
      <c r="AM657" s="390"/>
      <c r="AN657" s="391"/>
      <c r="AO657" s="390"/>
      <c r="AP657" s="390"/>
      <c r="AQ657" s="390"/>
      <c r="AR657" s="391"/>
      <c r="AS657" s="391"/>
      <c r="AT657" s="390"/>
      <c r="AU657" s="390"/>
      <c r="AV657" s="390"/>
      <c r="AW657" s="390"/>
      <c r="AX657" s="390"/>
      <c r="AY657" s="390"/>
      <c r="AZ657" s="390"/>
      <c r="BA657" s="390"/>
      <c r="BB657" s="390"/>
      <c r="BC657" s="390"/>
      <c r="BD657" s="390"/>
      <c r="BE657" s="390"/>
      <c r="BF657" s="390"/>
      <c r="BG657" s="391"/>
      <c r="BH657" s="390"/>
      <c r="BI657" s="390"/>
    </row>
    <row r="658" spans="1:61" s="46" customFormat="1" x14ac:dyDescent="0.3">
      <c r="A658" s="317"/>
      <c r="B658" s="312"/>
      <c r="C658" s="428"/>
      <c r="D658" s="372"/>
      <c r="E658" s="390"/>
      <c r="F658" s="391"/>
      <c r="G658" s="391"/>
      <c r="H658" s="390"/>
      <c r="I658" s="390"/>
      <c r="J658" s="390"/>
      <c r="K658" s="390"/>
      <c r="L658" s="390"/>
      <c r="M658" s="390"/>
      <c r="N658" s="390"/>
      <c r="O658" s="390"/>
      <c r="P658" s="390"/>
      <c r="Q658" s="390"/>
      <c r="R658" s="390"/>
      <c r="S658" s="390"/>
      <c r="T658" s="390"/>
      <c r="U658" s="391"/>
      <c r="V658" s="390"/>
      <c r="W658" s="390"/>
      <c r="X658" s="390"/>
      <c r="Y658" s="391"/>
      <c r="Z658" s="391"/>
      <c r="AA658" s="390"/>
      <c r="AB658" s="390"/>
      <c r="AC658" s="390"/>
      <c r="AD658" s="390"/>
      <c r="AE658" s="390"/>
      <c r="AF658" s="390"/>
      <c r="AG658" s="390"/>
      <c r="AH658" s="390"/>
      <c r="AI658" s="390"/>
      <c r="AJ658" s="390"/>
      <c r="AK658" s="390"/>
      <c r="AL658" s="390"/>
      <c r="AM658" s="390"/>
      <c r="AN658" s="391"/>
      <c r="AO658" s="390"/>
      <c r="AP658" s="390"/>
      <c r="AQ658" s="390"/>
      <c r="AR658" s="391"/>
      <c r="AS658" s="391"/>
      <c r="AT658" s="390"/>
      <c r="AU658" s="390"/>
      <c r="AV658" s="390"/>
      <c r="AW658" s="390"/>
      <c r="AX658" s="390"/>
      <c r="AY658" s="390"/>
      <c r="AZ658" s="390"/>
      <c r="BA658" s="390"/>
      <c r="BB658" s="390"/>
      <c r="BC658" s="390"/>
      <c r="BD658" s="390"/>
      <c r="BE658" s="390"/>
      <c r="BF658" s="390"/>
      <c r="BG658" s="391"/>
      <c r="BH658" s="390"/>
      <c r="BI658" s="390"/>
    </row>
    <row r="659" spans="1:61" s="46" customFormat="1" x14ac:dyDescent="0.3">
      <c r="A659" s="317"/>
      <c r="B659" s="312"/>
      <c r="C659" s="428"/>
      <c r="D659" s="372"/>
      <c r="E659" s="390"/>
      <c r="F659" s="391"/>
      <c r="G659" s="391"/>
      <c r="H659" s="390"/>
      <c r="I659" s="390"/>
      <c r="J659" s="390"/>
      <c r="K659" s="390"/>
      <c r="L659" s="390"/>
      <c r="M659" s="390"/>
      <c r="N659" s="390"/>
      <c r="O659" s="390"/>
      <c r="P659" s="390"/>
      <c r="Q659" s="390"/>
      <c r="R659" s="390"/>
      <c r="S659" s="390"/>
      <c r="T659" s="390"/>
      <c r="U659" s="391"/>
      <c r="V659" s="390"/>
      <c r="W659" s="390"/>
      <c r="X659" s="390"/>
      <c r="Y659" s="391"/>
      <c r="Z659" s="391"/>
      <c r="AA659" s="390"/>
      <c r="AB659" s="390"/>
      <c r="AC659" s="390"/>
      <c r="AD659" s="390"/>
      <c r="AE659" s="390"/>
      <c r="AF659" s="390"/>
      <c r="AG659" s="390"/>
      <c r="AH659" s="390"/>
      <c r="AI659" s="390"/>
      <c r="AJ659" s="390"/>
      <c r="AK659" s="390"/>
      <c r="AL659" s="390"/>
      <c r="AM659" s="390"/>
      <c r="AN659" s="391"/>
      <c r="AO659" s="390"/>
      <c r="AP659" s="390"/>
      <c r="AQ659" s="390"/>
      <c r="AR659" s="391"/>
      <c r="AS659" s="391"/>
      <c r="AT659" s="390"/>
      <c r="AU659" s="390"/>
      <c r="AV659" s="390"/>
      <c r="AW659" s="390"/>
      <c r="AX659" s="390"/>
      <c r="AY659" s="390"/>
      <c r="AZ659" s="390"/>
      <c r="BA659" s="390"/>
      <c r="BB659" s="390"/>
      <c r="BC659" s="390"/>
      <c r="BD659" s="390"/>
      <c r="BE659" s="390"/>
      <c r="BF659" s="390"/>
      <c r="BG659" s="391"/>
      <c r="BH659" s="390"/>
      <c r="BI659" s="390"/>
    </row>
    <row r="660" spans="1:61" s="46" customFormat="1" x14ac:dyDescent="0.3">
      <c r="A660" s="317"/>
      <c r="B660" s="312"/>
      <c r="C660" s="428"/>
      <c r="D660" s="372"/>
      <c r="E660" s="390"/>
      <c r="F660" s="391"/>
      <c r="G660" s="391"/>
      <c r="H660" s="390"/>
      <c r="I660" s="390"/>
      <c r="J660" s="390"/>
      <c r="K660" s="390"/>
      <c r="L660" s="390"/>
      <c r="M660" s="390"/>
      <c r="N660" s="390"/>
      <c r="O660" s="390"/>
      <c r="P660" s="390"/>
      <c r="Q660" s="390"/>
      <c r="R660" s="390"/>
      <c r="S660" s="390"/>
      <c r="T660" s="390"/>
      <c r="U660" s="391"/>
      <c r="V660" s="390"/>
      <c r="W660" s="390"/>
      <c r="X660" s="390"/>
      <c r="Y660" s="391"/>
      <c r="Z660" s="391"/>
      <c r="AA660" s="390"/>
      <c r="AB660" s="390"/>
      <c r="AC660" s="390"/>
      <c r="AD660" s="390"/>
      <c r="AE660" s="390"/>
      <c r="AF660" s="390"/>
      <c r="AG660" s="390"/>
      <c r="AH660" s="390"/>
      <c r="AI660" s="390"/>
      <c r="AJ660" s="390"/>
      <c r="AK660" s="390"/>
      <c r="AL660" s="390"/>
      <c r="AM660" s="390"/>
      <c r="AN660" s="391"/>
      <c r="AO660" s="390"/>
      <c r="AP660" s="390"/>
      <c r="AQ660" s="390"/>
      <c r="AR660" s="391"/>
      <c r="AS660" s="391"/>
      <c r="AT660" s="390"/>
      <c r="AU660" s="390"/>
      <c r="AV660" s="390"/>
      <c r="AW660" s="390"/>
      <c r="AX660" s="390"/>
      <c r="AY660" s="390"/>
      <c r="AZ660" s="390"/>
      <c r="BA660" s="390"/>
      <c r="BB660" s="390"/>
      <c r="BC660" s="390"/>
      <c r="BD660" s="390"/>
      <c r="BE660" s="390"/>
      <c r="BF660" s="390"/>
      <c r="BG660" s="391"/>
      <c r="BH660" s="390"/>
      <c r="BI660" s="390"/>
    </row>
    <row r="661" spans="1:61" s="46" customFormat="1" x14ac:dyDescent="0.3">
      <c r="A661" s="317"/>
      <c r="B661" s="312"/>
      <c r="C661" s="428"/>
      <c r="D661" s="372"/>
      <c r="E661" s="390"/>
      <c r="F661" s="391"/>
      <c r="G661" s="391"/>
      <c r="H661" s="390"/>
      <c r="I661" s="390"/>
      <c r="J661" s="390"/>
      <c r="K661" s="390"/>
      <c r="L661" s="390"/>
      <c r="M661" s="390"/>
      <c r="N661" s="390"/>
      <c r="O661" s="390"/>
      <c r="P661" s="390"/>
      <c r="Q661" s="390"/>
      <c r="R661" s="390"/>
      <c r="S661" s="390"/>
      <c r="T661" s="390"/>
      <c r="U661" s="391"/>
      <c r="V661" s="390"/>
      <c r="W661" s="390"/>
      <c r="X661" s="390"/>
      <c r="Y661" s="391"/>
      <c r="Z661" s="391"/>
      <c r="AA661" s="390"/>
      <c r="AB661" s="390"/>
      <c r="AC661" s="390"/>
      <c r="AD661" s="390"/>
      <c r="AE661" s="390"/>
      <c r="AF661" s="390"/>
      <c r="AG661" s="390"/>
      <c r="AH661" s="390"/>
      <c r="AI661" s="390"/>
      <c r="AJ661" s="390"/>
      <c r="AK661" s="390"/>
      <c r="AL661" s="390"/>
      <c r="AM661" s="390"/>
      <c r="AN661" s="391"/>
      <c r="AO661" s="390"/>
      <c r="AP661" s="390"/>
      <c r="AQ661" s="390"/>
      <c r="AR661" s="391"/>
      <c r="AS661" s="391"/>
      <c r="AT661" s="390"/>
      <c r="AU661" s="390"/>
      <c r="AV661" s="390"/>
      <c r="AW661" s="390"/>
      <c r="AX661" s="390"/>
      <c r="AY661" s="390"/>
      <c r="AZ661" s="390"/>
      <c r="BA661" s="390"/>
      <c r="BB661" s="390"/>
      <c r="BC661" s="390"/>
      <c r="BD661" s="390"/>
      <c r="BE661" s="390"/>
      <c r="BF661" s="390"/>
      <c r="BG661" s="391"/>
      <c r="BH661" s="390"/>
      <c r="BI661" s="390"/>
    </row>
    <row r="662" spans="1:61" s="46" customFormat="1" x14ac:dyDescent="0.3">
      <c r="A662" s="317"/>
      <c r="B662" s="312"/>
      <c r="C662" s="428"/>
      <c r="D662" s="372"/>
      <c r="E662" s="390"/>
      <c r="F662" s="391"/>
      <c r="G662" s="391"/>
      <c r="H662" s="390"/>
      <c r="I662" s="390"/>
      <c r="J662" s="390"/>
      <c r="K662" s="390"/>
      <c r="L662" s="390"/>
      <c r="M662" s="390"/>
      <c r="N662" s="390"/>
      <c r="O662" s="390"/>
      <c r="P662" s="390"/>
      <c r="Q662" s="390"/>
      <c r="R662" s="390"/>
      <c r="S662" s="390"/>
      <c r="T662" s="390"/>
      <c r="U662" s="391"/>
      <c r="V662" s="390"/>
      <c r="W662" s="390"/>
      <c r="X662" s="390"/>
      <c r="Y662" s="391"/>
      <c r="Z662" s="391"/>
      <c r="AA662" s="390"/>
      <c r="AB662" s="390"/>
      <c r="AC662" s="390"/>
      <c r="AD662" s="390"/>
      <c r="AE662" s="390"/>
      <c r="AF662" s="390"/>
      <c r="AG662" s="390"/>
      <c r="AH662" s="390"/>
      <c r="AI662" s="390"/>
      <c r="AJ662" s="390"/>
      <c r="AK662" s="390"/>
      <c r="AL662" s="390"/>
      <c r="AM662" s="390"/>
      <c r="AN662" s="391"/>
      <c r="AO662" s="390"/>
      <c r="AP662" s="390"/>
      <c r="AQ662" s="390"/>
      <c r="AR662" s="391"/>
      <c r="AS662" s="391"/>
      <c r="AT662" s="390"/>
      <c r="AU662" s="390"/>
      <c r="AV662" s="390"/>
      <c r="AW662" s="390"/>
      <c r="AX662" s="390"/>
      <c r="AY662" s="390"/>
      <c r="AZ662" s="390"/>
      <c r="BA662" s="390"/>
      <c r="BB662" s="390"/>
      <c r="BC662" s="390"/>
      <c r="BD662" s="390"/>
      <c r="BE662" s="390"/>
      <c r="BF662" s="390"/>
      <c r="BG662" s="391"/>
      <c r="BH662" s="390"/>
      <c r="BI662" s="390"/>
    </row>
    <row r="663" spans="1:61" s="46" customFormat="1" x14ac:dyDescent="0.3">
      <c r="A663" s="317"/>
      <c r="B663" s="312"/>
      <c r="C663" s="428"/>
      <c r="D663" s="372"/>
      <c r="E663" s="390"/>
      <c r="F663" s="391"/>
      <c r="G663" s="391"/>
      <c r="H663" s="390"/>
      <c r="I663" s="390"/>
      <c r="J663" s="390"/>
      <c r="K663" s="390"/>
      <c r="L663" s="390"/>
      <c r="M663" s="390"/>
      <c r="N663" s="390"/>
      <c r="O663" s="390"/>
      <c r="P663" s="390"/>
      <c r="Q663" s="390"/>
      <c r="R663" s="390"/>
      <c r="S663" s="390"/>
      <c r="T663" s="390"/>
      <c r="U663" s="391"/>
      <c r="V663" s="390"/>
      <c r="W663" s="390"/>
      <c r="X663" s="390"/>
      <c r="Y663" s="391"/>
      <c r="Z663" s="391"/>
      <c r="AA663" s="390"/>
      <c r="AB663" s="390"/>
      <c r="AC663" s="390"/>
      <c r="AD663" s="390"/>
      <c r="AE663" s="390"/>
      <c r="AF663" s="390"/>
      <c r="AG663" s="390"/>
      <c r="AH663" s="390"/>
      <c r="AI663" s="390"/>
      <c r="AJ663" s="390"/>
      <c r="AK663" s="390"/>
      <c r="AL663" s="390"/>
      <c r="AM663" s="390"/>
      <c r="AN663" s="391"/>
      <c r="AO663" s="390"/>
      <c r="AP663" s="390"/>
      <c r="AQ663" s="390"/>
      <c r="AR663" s="391"/>
      <c r="AS663" s="391"/>
      <c r="AT663" s="390"/>
      <c r="AU663" s="390"/>
      <c r="AV663" s="390"/>
      <c r="AW663" s="390"/>
      <c r="AX663" s="390"/>
      <c r="AY663" s="390"/>
      <c r="AZ663" s="390"/>
      <c r="BA663" s="390"/>
      <c r="BB663" s="390"/>
      <c r="BC663" s="390"/>
      <c r="BD663" s="390"/>
      <c r="BE663" s="390"/>
      <c r="BF663" s="390"/>
      <c r="BG663" s="391"/>
      <c r="BH663" s="390"/>
      <c r="BI663" s="390"/>
    </row>
    <row r="664" spans="1:61" s="46" customFormat="1" x14ac:dyDescent="0.3">
      <c r="A664" s="317"/>
      <c r="B664" s="312"/>
      <c r="C664" s="428"/>
      <c r="D664" s="372"/>
      <c r="E664" s="390"/>
      <c r="F664" s="391"/>
      <c r="G664" s="391"/>
      <c r="H664" s="390"/>
      <c r="I664" s="390"/>
      <c r="J664" s="390"/>
      <c r="K664" s="390"/>
      <c r="L664" s="390"/>
      <c r="M664" s="390"/>
      <c r="N664" s="390"/>
      <c r="O664" s="390"/>
      <c r="P664" s="390"/>
      <c r="Q664" s="390"/>
      <c r="R664" s="390"/>
      <c r="S664" s="390"/>
      <c r="T664" s="390"/>
      <c r="U664" s="391"/>
      <c r="V664" s="390"/>
      <c r="W664" s="390"/>
      <c r="X664" s="390"/>
      <c r="Y664" s="391"/>
      <c r="Z664" s="391"/>
      <c r="AA664" s="390"/>
      <c r="AB664" s="390"/>
      <c r="AC664" s="390"/>
      <c r="AD664" s="390"/>
      <c r="AE664" s="390"/>
      <c r="AF664" s="390"/>
      <c r="AG664" s="390"/>
      <c r="AH664" s="390"/>
      <c r="AI664" s="390"/>
      <c r="AJ664" s="390"/>
      <c r="AK664" s="390"/>
      <c r="AL664" s="390"/>
      <c r="AM664" s="390"/>
      <c r="AN664" s="391"/>
      <c r="AO664" s="390"/>
      <c r="AP664" s="390"/>
      <c r="AQ664" s="390"/>
      <c r="AR664" s="391"/>
      <c r="AS664" s="391"/>
      <c r="AT664" s="390"/>
      <c r="AU664" s="390"/>
      <c r="AV664" s="390"/>
      <c r="AW664" s="390"/>
      <c r="AX664" s="390"/>
      <c r="AY664" s="390"/>
      <c r="AZ664" s="390"/>
      <c r="BA664" s="390"/>
      <c r="BB664" s="390"/>
      <c r="BC664" s="390"/>
      <c r="BD664" s="390"/>
      <c r="BE664" s="390"/>
      <c r="BF664" s="390"/>
      <c r="BG664" s="391"/>
      <c r="BH664" s="390"/>
      <c r="BI664" s="390"/>
    </row>
    <row r="665" spans="1:61" s="46" customFormat="1" x14ac:dyDescent="0.3">
      <c r="A665" s="317"/>
      <c r="B665" s="312"/>
      <c r="C665" s="428"/>
      <c r="D665" s="372"/>
      <c r="E665" s="390"/>
      <c r="F665" s="391"/>
      <c r="G665" s="391"/>
      <c r="H665" s="390"/>
      <c r="I665" s="390"/>
      <c r="J665" s="390"/>
      <c r="K665" s="390"/>
      <c r="L665" s="390"/>
      <c r="M665" s="390"/>
      <c r="N665" s="390"/>
      <c r="O665" s="390"/>
      <c r="P665" s="390"/>
      <c r="Q665" s="390"/>
      <c r="R665" s="390"/>
      <c r="S665" s="390"/>
      <c r="T665" s="390"/>
      <c r="U665" s="391"/>
      <c r="V665" s="390"/>
      <c r="W665" s="390"/>
      <c r="X665" s="390"/>
      <c r="Y665" s="391"/>
      <c r="Z665" s="391"/>
      <c r="AA665" s="390"/>
      <c r="AB665" s="390"/>
      <c r="AC665" s="390"/>
      <c r="AD665" s="390"/>
      <c r="AE665" s="390"/>
      <c r="AF665" s="390"/>
      <c r="AG665" s="390"/>
      <c r="AH665" s="390"/>
      <c r="AI665" s="390"/>
      <c r="AJ665" s="390"/>
      <c r="AK665" s="390"/>
      <c r="AL665" s="390"/>
      <c r="AM665" s="390"/>
      <c r="AN665" s="391"/>
      <c r="AO665" s="390"/>
      <c r="AP665" s="390"/>
      <c r="AQ665" s="390"/>
      <c r="AR665" s="391"/>
      <c r="AS665" s="391"/>
      <c r="AT665" s="390"/>
      <c r="AU665" s="390"/>
      <c r="AV665" s="390"/>
      <c r="AW665" s="390"/>
      <c r="AX665" s="390"/>
      <c r="AY665" s="390"/>
      <c r="AZ665" s="390"/>
      <c r="BA665" s="390"/>
      <c r="BB665" s="390"/>
      <c r="BC665" s="390"/>
      <c r="BD665" s="390"/>
      <c r="BE665" s="390"/>
      <c r="BF665" s="390"/>
      <c r="BG665" s="391"/>
      <c r="BH665" s="390"/>
      <c r="BI665" s="390"/>
    </row>
    <row r="666" spans="1:61" s="46" customFormat="1" x14ac:dyDescent="0.3">
      <c r="A666" s="317"/>
      <c r="B666" s="312"/>
      <c r="C666" s="428"/>
      <c r="D666" s="372"/>
      <c r="E666" s="390"/>
      <c r="F666" s="391"/>
      <c r="G666" s="391"/>
      <c r="H666" s="390"/>
      <c r="I666" s="390"/>
      <c r="J666" s="390"/>
      <c r="K666" s="390"/>
      <c r="L666" s="390"/>
      <c r="M666" s="390"/>
      <c r="N666" s="390"/>
      <c r="O666" s="390"/>
      <c r="P666" s="390"/>
      <c r="Q666" s="390"/>
      <c r="R666" s="390"/>
      <c r="S666" s="390"/>
      <c r="T666" s="390"/>
      <c r="U666" s="391"/>
      <c r="V666" s="390"/>
      <c r="W666" s="390"/>
      <c r="X666" s="390"/>
      <c r="Y666" s="391"/>
      <c r="Z666" s="391"/>
      <c r="AA666" s="390"/>
      <c r="AB666" s="390"/>
      <c r="AC666" s="390"/>
      <c r="AD666" s="390"/>
      <c r="AE666" s="390"/>
      <c r="AF666" s="390"/>
      <c r="AG666" s="390"/>
      <c r="AH666" s="390"/>
      <c r="AI666" s="390"/>
      <c r="AJ666" s="390"/>
      <c r="AK666" s="390"/>
      <c r="AL666" s="390"/>
      <c r="AM666" s="390"/>
      <c r="AN666" s="391"/>
      <c r="AO666" s="390"/>
      <c r="AP666" s="390"/>
      <c r="AQ666" s="390"/>
      <c r="AR666" s="391"/>
      <c r="AS666" s="391"/>
      <c r="AT666" s="390"/>
      <c r="AU666" s="390"/>
      <c r="AV666" s="390"/>
      <c r="AW666" s="390"/>
      <c r="AX666" s="390"/>
      <c r="AY666" s="390"/>
      <c r="AZ666" s="390"/>
      <c r="BA666" s="390"/>
      <c r="BB666" s="390"/>
      <c r="BC666" s="390"/>
      <c r="BD666" s="390"/>
      <c r="BE666" s="390"/>
      <c r="BF666" s="390"/>
      <c r="BG666" s="391"/>
      <c r="BH666" s="390"/>
      <c r="BI666" s="390"/>
    </row>
    <row r="667" spans="1:61" s="46" customFormat="1" x14ac:dyDescent="0.3">
      <c r="A667" s="317"/>
      <c r="B667" s="312"/>
      <c r="C667" s="428"/>
      <c r="D667" s="372"/>
      <c r="E667" s="390"/>
      <c r="F667" s="391"/>
      <c r="G667" s="391"/>
      <c r="H667" s="390"/>
      <c r="I667" s="390"/>
      <c r="J667" s="390"/>
      <c r="K667" s="390"/>
      <c r="L667" s="390"/>
      <c r="M667" s="390"/>
      <c r="N667" s="390"/>
      <c r="O667" s="390"/>
      <c r="P667" s="390"/>
      <c r="Q667" s="390"/>
      <c r="R667" s="390"/>
      <c r="S667" s="390"/>
      <c r="T667" s="390"/>
      <c r="U667" s="391"/>
      <c r="V667" s="390"/>
      <c r="W667" s="390"/>
      <c r="X667" s="390"/>
      <c r="Y667" s="391"/>
      <c r="Z667" s="391"/>
      <c r="AA667" s="390"/>
      <c r="AB667" s="390"/>
      <c r="AC667" s="390"/>
      <c r="AD667" s="390"/>
      <c r="AE667" s="390"/>
      <c r="AF667" s="390"/>
      <c r="AG667" s="390"/>
      <c r="AH667" s="390"/>
      <c r="AI667" s="390"/>
      <c r="AJ667" s="390"/>
      <c r="AK667" s="390"/>
      <c r="AL667" s="390"/>
      <c r="AM667" s="390"/>
      <c r="AN667" s="391"/>
      <c r="AO667" s="390"/>
      <c r="AP667" s="390"/>
      <c r="AQ667" s="390"/>
      <c r="AR667" s="391"/>
      <c r="AS667" s="391"/>
      <c r="AT667" s="390"/>
      <c r="AU667" s="390"/>
      <c r="AV667" s="390"/>
      <c r="AW667" s="390"/>
      <c r="AX667" s="390"/>
      <c r="AY667" s="390"/>
      <c r="AZ667" s="390"/>
      <c r="BA667" s="390"/>
      <c r="BB667" s="390"/>
      <c r="BC667" s="390"/>
      <c r="BD667" s="390"/>
      <c r="BE667" s="390"/>
      <c r="BF667" s="390"/>
      <c r="BG667" s="391"/>
      <c r="BH667" s="390"/>
      <c r="BI667" s="390"/>
    </row>
    <row r="668" spans="1:61" s="46" customFormat="1" x14ac:dyDescent="0.3">
      <c r="A668" s="317"/>
      <c r="B668" s="312"/>
      <c r="C668" s="428"/>
      <c r="D668" s="372"/>
      <c r="E668" s="390"/>
      <c r="F668" s="391"/>
      <c r="G668" s="391"/>
      <c r="H668" s="390"/>
      <c r="I668" s="390"/>
      <c r="J668" s="390"/>
      <c r="K668" s="390"/>
      <c r="L668" s="390"/>
      <c r="M668" s="390"/>
      <c r="N668" s="390"/>
      <c r="O668" s="390"/>
      <c r="P668" s="390"/>
      <c r="Q668" s="390"/>
      <c r="R668" s="390"/>
      <c r="S668" s="390"/>
      <c r="T668" s="390"/>
      <c r="U668" s="391"/>
      <c r="V668" s="390"/>
      <c r="W668" s="390"/>
      <c r="X668" s="390"/>
      <c r="Y668" s="391"/>
      <c r="Z668" s="391"/>
      <c r="AA668" s="390"/>
      <c r="AB668" s="390"/>
      <c r="AC668" s="390"/>
      <c r="AD668" s="390"/>
      <c r="AE668" s="390"/>
      <c r="AF668" s="390"/>
      <c r="AG668" s="390"/>
      <c r="AH668" s="390"/>
      <c r="AI668" s="390"/>
      <c r="AJ668" s="390"/>
      <c r="AK668" s="390"/>
      <c r="AL668" s="390"/>
      <c r="AM668" s="390"/>
      <c r="AN668" s="391"/>
      <c r="AO668" s="390"/>
      <c r="AP668" s="390"/>
      <c r="AQ668" s="390"/>
      <c r="AR668" s="391"/>
      <c r="AS668" s="391"/>
      <c r="AT668" s="390"/>
      <c r="AU668" s="390"/>
      <c r="AV668" s="390"/>
      <c r="AW668" s="390"/>
      <c r="AX668" s="390"/>
      <c r="AY668" s="390"/>
      <c r="AZ668" s="390"/>
      <c r="BA668" s="390"/>
      <c r="BB668" s="390"/>
      <c r="BC668" s="390"/>
      <c r="BD668" s="390"/>
      <c r="BE668" s="390"/>
      <c r="BF668" s="390"/>
      <c r="BG668" s="391"/>
      <c r="BH668" s="390"/>
      <c r="BI668" s="390"/>
    </row>
    <row r="669" spans="1:61" s="46" customFormat="1" x14ac:dyDescent="0.3">
      <c r="A669" s="317"/>
      <c r="B669" s="312"/>
      <c r="C669" s="428"/>
      <c r="D669" s="372"/>
      <c r="E669" s="390"/>
      <c r="F669" s="391"/>
      <c r="G669" s="391"/>
      <c r="H669" s="390"/>
      <c r="I669" s="390"/>
      <c r="J669" s="390"/>
      <c r="K669" s="390"/>
      <c r="L669" s="390"/>
      <c r="M669" s="390"/>
      <c r="N669" s="390"/>
      <c r="O669" s="390"/>
      <c r="P669" s="390"/>
      <c r="Q669" s="390"/>
      <c r="R669" s="390"/>
      <c r="S669" s="390"/>
      <c r="T669" s="390"/>
      <c r="U669" s="391"/>
      <c r="V669" s="390"/>
      <c r="W669" s="390"/>
      <c r="X669" s="390"/>
      <c r="Y669" s="391"/>
      <c r="Z669" s="391"/>
      <c r="AA669" s="390"/>
      <c r="AB669" s="390"/>
      <c r="AC669" s="390"/>
      <c r="AD669" s="390"/>
      <c r="AE669" s="390"/>
      <c r="AF669" s="390"/>
      <c r="AG669" s="390"/>
      <c r="AH669" s="390"/>
      <c r="AI669" s="390"/>
      <c r="AJ669" s="390"/>
      <c r="AK669" s="390"/>
      <c r="AL669" s="390"/>
      <c r="AM669" s="390"/>
      <c r="AN669" s="391"/>
      <c r="AO669" s="390"/>
      <c r="AP669" s="390"/>
      <c r="AQ669" s="390"/>
      <c r="AR669" s="391"/>
      <c r="AS669" s="391"/>
      <c r="AT669" s="390"/>
      <c r="AU669" s="390"/>
      <c r="AV669" s="390"/>
      <c r="AW669" s="390"/>
      <c r="AX669" s="390"/>
      <c r="AY669" s="390"/>
      <c r="AZ669" s="390"/>
      <c r="BA669" s="390"/>
      <c r="BB669" s="390"/>
      <c r="BC669" s="390"/>
      <c r="BD669" s="390"/>
      <c r="BE669" s="390"/>
      <c r="BF669" s="390"/>
      <c r="BG669" s="391"/>
      <c r="BH669" s="390"/>
      <c r="BI669" s="390"/>
    </row>
    <row r="670" spans="1:61" s="46" customFormat="1" x14ac:dyDescent="0.3">
      <c r="A670" s="317"/>
      <c r="B670" s="312"/>
      <c r="C670" s="428"/>
      <c r="D670" s="372"/>
      <c r="E670" s="390"/>
      <c r="F670" s="391"/>
      <c r="G670" s="391"/>
      <c r="H670" s="390"/>
      <c r="I670" s="390"/>
      <c r="J670" s="390"/>
      <c r="K670" s="390"/>
      <c r="L670" s="390"/>
      <c r="M670" s="390"/>
      <c r="N670" s="390"/>
      <c r="O670" s="390"/>
      <c r="P670" s="390"/>
      <c r="Q670" s="390"/>
      <c r="R670" s="390"/>
      <c r="S670" s="390"/>
      <c r="T670" s="390"/>
      <c r="U670" s="391"/>
      <c r="V670" s="390"/>
      <c r="W670" s="390"/>
      <c r="X670" s="390"/>
      <c r="Y670" s="391"/>
      <c r="Z670" s="391"/>
      <c r="AA670" s="390"/>
      <c r="AB670" s="390"/>
      <c r="AC670" s="390"/>
      <c r="AD670" s="390"/>
      <c r="AE670" s="390"/>
      <c r="AF670" s="390"/>
      <c r="AG670" s="390"/>
      <c r="AH670" s="390"/>
      <c r="AI670" s="390"/>
      <c r="AJ670" s="390"/>
      <c r="AK670" s="390"/>
      <c r="AL670" s="390"/>
      <c r="AM670" s="390"/>
      <c r="AN670" s="391"/>
      <c r="AO670" s="390"/>
      <c r="AP670" s="390"/>
      <c r="AQ670" s="390"/>
      <c r="AR670" s="391"/>
      <c r="AS670" s="391"/>
      <c r="AT670" s="390"/>
      <c r="AU670" s="390"/>
      <c r="AV670" s="390"/>
      <c r="AW670" s="390"/>
      <c r="AX670" s="390"/>
      <c r="AY670" s="390"/>
      <c r="AZ670" s="390"/>
      <c r="BA670" s="390"/>
      <c r="BB670" s="390"/>
      <c r="BC670" s="390"/>
      <c r="BD670" s="390"/>
      <c r="BE670" s="390"/>
      <c r="BF670" s="390"/>
      <c r="BG670" s="391"/>
      <c r="BH670" s="390"/>
      <c r="BI670" s="390"/>
    </row>
    <row r="671" spans="1:61" s="46" customFormat="1" x14ac:dyDescent="0.3">
      <c r="A671" s="317"/>
      <c r="B671" s="312"/>
      <c r="C671" s="428"/>
      <c r="D671" s="372"/>
      <c r="E671" s="390"/>
      <c r="F671" s="391"/>
      <c r="G671" s="391"/>
      <c r="H671" s="390"/>
      <c r="I671" s="390"/>
      <c r="J671" s="390"/>
      <c r="K671" s="390"/>
      <c r="L671" s="390"/>
      <c r="M671" s="390"/>
      <c r="N671" s="390"/>
      <c r="O671" s="390"/>
      <c r="P671" s="390"/>
      <c r="Q671" s="390"/>
      <c r="R671" s="390"/>
      <c r="S671" s="390"/>
      <c r="T671" s="390"/>
      <c r="U671" s="391"/>
      <c r="V671" s="390"/>
      <c r="W671" s="390"/>
      <c r="X671" s="390"/>
      <c r="Y671" s="391"/>
      <c r="Z671" s="391"/>
      <c r="AA671" s="390"/>
      <c r="AB671" s="390"/>
      <c r="AC671" s="390"/>
      <c r="AD671" s="390"/>
      <c r="AE671" s="390"/>
      <c r="AF671" s="390"/>
      <c r="AG671" s="390"/>
      <c r="AH671" s="390"/>
      <c r="AI671" s="390"/>
      <c r="AJ671" s="390"/>
      <c r="AK671" s="390"/>
      <c r="AL671" s="390"/>
      <c r="AM671" s="390"/>
      <c r="AN671" s="391"/>
      <c r="AO671" s="390"/>
      <c r="AP671" s="390"/>
      <c r="AQ671" s="390"/>
      <c r="AR671" s="391"/>
      <c r="AS671" s="391"/>
      <c r="AT671" s="390"/>
      <c r="AU671" s="390"/>
      <c r="AV671" s="390"/>
      <c r="AW671" s="390"/>
      <c r="AX671" s="390"/>
      <c r="AY671" s="390"/>
      <c r="AZ671" s="390"/>
      <c r="BA671" s="390"/>
      <c r="BB671" s="390"/>
      <c r="BC671" s="390"/>
      <c r="BD671" s="390"/>
      <c r="BE671" s="390"/>
      <c r="BF671" s="390"/>
      <c r="BG671" s="391"/>
      <c r="BH671" s="390"/>
      <c r="BI671" s="390"/>
    </row>
    <row r="672" spans="1:61" s="46" customFormat="1" x14ac:dyDescent="0.3">
      <c r="A672" s="317"/>
      <c r="B672" s="312"/>
      <c r="C672" s="428"/>
      <c r="D672" s="372"/>
      <c r="E672" s="390"/>
      <c r="F672" s="391"/>
      <c r="G672" s="391"/>
      <c r="H672" s="390"/>
      <c r="I672" s="390"/>
      <c r="J672" s="390"/>
      <c r="K672" s="390"/>
      <c r="L672" s="390"/>
      <c r="M672" s="390"/>
      <c r="N672" s="390"/>
      <c r="O672" s="390"/>
      <c r="P672" s="390"/>
      <c r="Q672" s="390"/>
      <c r="R672" s="390"/>
      <c r="S672" s="390"/>
      <c r="T672" s="390"/>
      <c r="U672" s="391"/>
      <c r="V672" s="390"/>
      <c r="W672" s="390"/>
      <c r="X672" s="390"/>
      <c r="Y672" s="391"/>
      <c r="Z672" s="391"/>
      <c r="AA672" s="390"/>
      <c r="AB672" s="390"/>
      <c r="AC672" s="390"/>
      <c r="AD672" s="390"/>
      <c r="AE672" s="390"/>
      <c r="AF672" s="390"/>
      <c r="AG672" s="390"/>
      <c r="AH672" s="390"/>
      <c r="AI672" s="390"/>
      <c r="AJ672" s="390"/>
      <c r="AK672" s="390"/>
      <c r="AL672" s="390"/>
      <c r="AM672" s="390"/>
      <c r="AN672" s="391"/>
      <c r="AO672" s="390"/>
      <c r="AP672" s="390"/>
      <c r="AQ672" s="390"/>
      <c r="AR672" s="391"/>
      <c r="AS672" s="391"/>
      <c r="AT672" s="390"/>
      <c r="AU672" s="390"/>
      <c r="AV672" s="390"/>
      <c r="AW672" s="390"/>
      <c r="AX672" s="390"/>
      <c r="AY672" s="390"/>
      <c r="AZ672" s="390"/>
      <c r="BA672" s="390"/>
      <c r="BB672" s="390"/>
      <c r="BC672" s="390"/>
      <c r="BD672" s="390"/>
      <c r="BE672" s="390"/>
      <c r="BF672" s="390"/>
      <c r="BG672" s="391"/>
      <c r="BH672" s="390"/>
      <c r="BI672" s="390"/>
    </row>
    <row r="673" spans="1:61" s="46" customFormat="1" x14ac:dyDescent="0.3">
      <c r="A673" s="317"/>
      <c r="B673" s="312"/>
      <c r="C673" s="428"/>
      <c r="D673" s="372"/>
      <c r="E673" s="390"/>
      <c r="F673" s="391"/>
      <c r="G673" s="391"/>
      <c r="H673" s="390"/>
      <c r="I673" s="390"/>
      <c r="J673" s="390"/>
      <c r="K673" s="390"/>
      <c r="L673" s="390"/>
      <c r="M673" s="390"/>
      <c r="N673" s="390"/>
      <c r="O673" s="390"/>
      <c r="P673" s="390"/>
      <c r="Q673" s="390"/>
      <c r="R673" s="390"/>
      <c r="S673" s="390"/>
      <c r="T673" s="390"/>
      <c r="U673" s="391"/>
      <c r="V673" s="390"/>
      <c r="W673" s="390"/>
      <c r="X673" s="390"/>
      <c r="Y673" s="391"/>
      <c r="Z673" s="391"/>
      <c r="AA673" s="390"/>
      <c r="AB673" s="390"/>
      <c r="AC673" s="390"/>
      <c r="AD673" s="390"/>
      <c r="AE673" s="390"/>
      <c r="AF673" s="390"/>
      <c r="AG673" s="390"/>
      <c r="AH673" s="390"/>
      <c r="AI673" s="390"/>
      <c r="AJ673" s="390"/>
      <c r="AK673" s="390"/>
      <c r="AL673" s="390"/>
      <c r="AM673" s="390"/>
      <c r="AN673" s="391"/>
      <c r="AO673" s="390"/>
      <c r="AP673" s="390"/>
      <c r="AQ673" s="390"/>
      <c r="AR673" s="391"/>
      <c r="AS673" s="391"/>
      <c r="AT673" s="390"/>
      <c r="AU673" s="390"/>
      <c r="AV673" s="390"/>
      <c r="AW673" s="390"/>
      <c r="AX673" s="390"/>
      <c r="AY673" s="390"/>
      <c r="AZ673" s="390"/>
      <c r="BA673" s="390"/>
      <c r="BB673" s="390"/>
      <c r="BC673" s="390"/>
      <c r="BD673" s="390"/>
      <c r="BE673" s="390"/>
      <c r="BF673" s="390"/>
      <c r="BG673" s="391"/>
      <c r="BH673" s="390"/>
      <c r="BI673" s="390"/>
    </row>
    <row r="674" spans="1:61" s="46" customFormat="1" x14ac:dyDescent="0.3">
      <c r="A674" s="317"/>
      <c r="B674" s="312"/>
      <c r="C674" s="428"/>
      <c r="D674" s="372"/>
      <c r="E674" s="390"/>
      <c r="F674" s="391"/>
      <c r="G674" s="391"/>
      <c r="H674" s="390"/>
      <c r="I674" s="390"/>
      <c r="J674" s="390"/>
      <c r="K674" s="390"/>
      <c r="L674" s="390"/>
      <c r="M674" s="390"/>
      <c r="N674" s="390"/>
      <c r="O674" s="390"/>
      <c r="P674" s="390"/>
      <c r="Q674" s="390"/>
      <c r="R674" s="390"/>
      <c r="S674" s="390"/>
      <c r="T674" s="390"/>
      <c r="U674" s="391"/>
      <c r="V674" s="390"/>
      <c r="W674" s="390"/>
      <c r="X674" s="390"/>
      <c r="Y674" s="391"/>
      <c r="Z674" s="391"/>
      <c r="AA674" s="390"/>
      <c r="AB674" s="390"/>
      <c r="AC674" s="390"/>
      <c r="AD674" s="390"/>
      <c r="AE674" s="390"/>
      <c r="AF674" s="390"/>
      <c r="AG674" s="390"/>
      <c r="AH674" s="390"/>
      <c r="AI674" s="390"/>
      <c r="AJ674" s="390"/>
      <c r="AK674" s="390"/>
      <c r="AL674" s="390"/>
      <c r="AM674" s="390"/>
      <c r="AN674" s="391"/>
      <c r="AO674" s="390"/>
      <c r="AP674" s="390"/>
      <c r="AQ674" s="390"/>
      <c r="AR674" s="391"/>
      <c r="AS674" s="391"/>
      <c r="AT674" s="390"/>
      <c r="AU674" s="390"/>
      <c r="AV674" s="390"/>
      <c r="AW674" s="390"/>
      <c r="AX674" s="390"/>
      <c r="AY674" s="390"/>
      <c r="AZ674" s="390"/>
      <c r="BA674" s="390"/>
      <c r="BB674" s="390"/>
      <c r="BC674" s="390"/>
      <c r="BD674" s="390"/>
      <c r="BE674" s="390"/>
      <c r="BF674" s="390"/>
      <c r="BG674" s="391"/>
      <c r="BH674" s="390"/>
      <c r="BI674" s="390"/>
    </row>
    <row r="675" spans="1:61" s="46" customFormat="1" x14ac:dyDescent="0.3">
      <c r="A675" s="317"/>
      <c r="B675" s="312"/>
      <c r="C675" s="428"/>
      <c r="D675" s="372"/>
      <c r="E675" s="390"/>
      <c r="F675" s="391"/>
      <c r="G675" s="391"/>
      <c r="H675" s="390"/>
      <c r="I675" s="390"/>
      <c r="J675" s="390"/>
      <c r="K675" s="390"/>
      <c r="L675" s="390"/>
      <c r="M675" s="390"/>
      <c r="N675" s="390"/>
      <c r="O675" s="390"/>
      <c r="P675" s="390"/>
      <c r="Q675" s="390"/>
      <c r="R675" s="390"/>
      <c r="S675" s="390"/>
      <c r="T675" s="390"/>
      <c r="U675" s="391"/>
      <c r="V675" s="390"/>
      <c r="W675" s="390"/>
      <c r="X675" s="390"/>
      <c r="Y675" s="391"/>
      <c r="Z675" s="391"/>
      <c r="AA675" s="390"/>
      <c r="AB675" s="390"/>
      <c r="AC675" s="390"/>
      <c r="AD675" s="390"/>
      <c r="AE675" s="390"/>
      <c r="AF675" s="390"/>
      <c r="AG675" s="390"/>
      <c r="AH675" s="390"/>
      <c r="AI675" s="390"/>
      <c r="AJ675" s="390"/>
      <c r="AK675" s="390"/>
      <c r="AL675" s="390"/>
      <c r="AM675" s="390"/>
      <c r="AN675" s="391"/>
      <c r="AO675" s="390"/>
      <c r="AP675" s="390"/>
      <c r="AQ675" s="390"/>
      <c r="AR675" s="391"/>
      <c r="AS675" s="391"/>
      <c r="AT675" s="390"/>
      <c r="AU675" s="390"/>
      <c r="AV675" s="390"/>
      <c r="AW675" s="390"/>
      <c r="AX675" s="390"/>
      <c r="AY675" s="390"/>
      <c r="AZ675" s="390"/>
      <c r="BA675" s="390"/>
      <c r="BB675" s="390"/>
      <c r="BC675" s="390"/>
      <c r="BD675" s="390"/>
      <c r="BE675" s="390"/>
      <c r="BF675" s="390"/>
      <c r="BG675" s="391"/>
      <c r="BH675" s="390"/>
      <c r="BI675" s="390"/>
    </row>
    <row r="676" spans="1:61" s="46" customFormat="1" x14ac:dyDescent="0.3">
      <c r="A676" s="317"/>
      <c r="B676" s="312"/>
      <c r="C676" s="428"/>
      <c r="D676" s="372"/>
      <c r="E676" s="390"/>
      <c r="F676" s="391"/>
      <c r="G676" s="391"/>
      <c r="H676" s="390"/>
      <c r="I676" s="390"/>
      <c r="J676" s="390"/>
      <c r="K676" s="390"/>
      <c r="L676" s="390"/>
      <c r="M676" s="390"/>
      <c r="N676" s="390"/>
      <c r="O676" s="390"/>
      <c r="P676" s="390"/>
      <c r="Q676" s="390"/>
      <c r="R676" s="390"/>
      <c r="S676" s="390"/>
      <c r="T676" s="390"/>
      <c r="U676" s="391"/>
      <c r="V676" s="390"/>
      <c r="W676" s="390"/>
      <c r="X676" s="390"/>
      <c r="Y676" s="391"/>
      <c r="Z676" s="391"/>
      <c r="AA676" s="390"/>
      <c r="AB676" s="390"/>
      <c r="AC676" s="390"/>
      <c r="AD676" s="390"/>
      <c r="AE676" s="390"/>
      <c r="AF676" s="390"/>
      <c r="AG676" s="390"/>
      <c r="AH676" s="390"/>
      <c r="AI676" s="390"/>
      <c r="AJ676" s="390"/>
      <c r="AK676" s="390"/>
      <c r="AL676" s="390"/>
      <c r="AM676" s="390"/>
      <c r="AN676" s="391"/>
      <c r="AO676" s="390"/>
      <c r="AP676" s="390"/>
      <c r="AQ676" s="390"/>
      <c r="AR676" s="391"/>
      <c r="AS676" s="391"/>
      <c r="AT676" s="390"/>
      <c r="AU676" s="390"/>
      <c r="AV676" s="390"/>
      <c r="AW676" s="390"/>
      <c r="AX676" s="390"/>
      <c r="AY676" s="390"/>
      <c r="AZ676" s="390"/>
      <c r="BA676" s="390"/>
      <c r="BB676" s="390"/>
      <c r="BC676" s="390"/>
      <c r="BD676" s="390"/>
      <c r="BE676" s="390"/>
      <c r="BF676" s="390"/>
      <c r="BG676" s="391"/>
      <c r="BH676" s="390"/>
      <c r="BI676" s="390"/>
    </row>
    <row r="677" spans="1:61" s="46" customFormat="1" x14ac:dyDescent="0.3">
      <c r="A677" s="317"/>
      <c r="B677" s="312"/>
      <c r="C677" s="428"/>
      <c r="D677" s="372"/>
      <c r="E677" s="390"/>
      <c r="F677" s="391"/>
      <c r="G677" s="391"/>
      <c r="H677" s="390"/>
      <c r="I677" s="390"/>
      <c r="J677" s="390"/>
      <c r="K677" s="390"/>
      <c r="L677" s="390"/>
      <c r="M677" s="390"/>
      <c r="N677" s="390"/>
      <c r="O677" s="390"/>
      <c r="P677" s="390"/>
      <c r="Q677" s="390"/>
      <c r="R677" s="390"/>
      <c r="S677" s="390"/>
      <c r="T677" s="390"/>
      <c r="U677" s="391"/>
      <c r="V677" s="390"/>
      <c r="W677" s="390"/>
      <c r="X677" s="390"/>
      <c r="Y677" s="391"/>
      <c r="Z677" s="391"/>
      <c r="AA677" s="390"/>
      <c r="AB677" s="390"/>
      <c r="AC677" s="390"/>
      <c r="AD677" s="390"/>
      <c r="AE677" s="390"/>
      <c r="AF677" s="390"/>
      <c r="AG677" s="390"/>
      <c r="AH677" s="390"/>
      <c r="AI677" s="390"/>
      <c r="AJ677" s="390"/>
      <c r="AK677" s="390"/>
      <c r="AL677" s="390"/>
      <c r="AM677" s="390"/>
      <c r="AN677" s="391"/>
      <c r="AO677" s="390"/>
      <c r="AP677" s="390"/>
      <c r="AQ677" s="390"/>
      <c r="AR677" s="391"/>
      <c r="AS677" s="391"/>
      <c r="AT677" s="390"/>
      <c r="AU677" s="390"/>
      <c r="AV677" s="390"/>
      <c r="AW677" s="390"/>
      <c r="AX677" s="390"/>
      <c r="AY677" s="390"/>
      <c r="AZ677" s="390"/>
      <c r="BA677" s="390"/>
      <c r="BB677" s="390"/>
      <c r="BC677" s="390"/>
      <c r="BD677" s="390"/>
      <c r="BE677" s="390"/>
      <c r="BF677" s="390"/>
      <c r="BG677" s="391"/>
      <c r="BH677" s="390"/>
      <c r="BI677" s="390"/>
    </row>
    <row r="678" spans="1:61" s="46" customFormat="1" x14ac:dyDescent="0.3">
      <c r="A678" s="317"/>
      <c r="B678" s="312"/>
      <c r="C678" s="428"/>
      <c r="D678" s="372"/>
      <c r="E678" s="390"/>
      <c r="F678" s="391"/>
      <c r="G678" s="391"/>
      <c r="H678" s="390"/>
      <c r="I678" s="390"/>
      <c r="J678" s="390"/>
      <c r="K678" s="390"/>
      <c r="L678" s="390"/>
      <c r="M678" s="390"/>
      <c r="N678" s="390"/>
      <c r="O678" s="390"/>
      <c r="P678" s="390"/>
      <c r="Q678" s="390"/>
      <c r="R678" s="390"/>
      <c r="S678" s="390"/>
      <c r="T678" s="390"/>
      <c r="U678" s="391"/>
      <c r="V678" s="390"/>
      <c r="W678" s="390"/>
      <c r="X678" s="390"/>
      <c r="Y678" s="391"/>
      <c r="Z678" s="391"/>
      <c r="AA678" s="390"/>
      <c r="AB678" s="390"/>
      <c r="AC678" s="390"/>
      <c r="AD678" s="390"/>
      <c r="AE678" s="390"/>
      <c r="AF678" s="390"/>
      <c r="AG678" s="390"/>
      <c r="AH678" s="390"/>
      <c r="AI678" s="390"/>
      <c r="AJ678" s="390"/>
      <c r="AK678" s="390"/>
      <c r="AL678" s="390"/>
      <c r="AM678" s="390"/>
      <c r="AN678" s="391"/>
      <c r="AO678" s="390"/>
      <c r="AP678" s="390"/>
      <c r="AQ678" s="390"/>
      <c r="AR678" s="391"/>
      <c r="AS678" s="391"/>
      <c r="AT678" s="390"/>
      <c r="AU678" s="390"/>
      <c r="AV678" s="390"/>
      <c r="AW678" s="390"/>
      <c r="AX678" s="390"/>
      <c r="AY678" s="390"/>
      <c r="AZ678" s="390"/>
      <c r="BA678" s="390"/>
      <c r="BB678" s="390"/>
      <c r="BC678" s="390"/>
      <c r="BD678" s="390"/>
      <c r="BE678" s="390"/>
      <c r="BF678" s="390"/>
      <c r="BG678" s="391"/>
      <c r="BH678" s="390"/>
      <c r="BI678" s="390"/>
    </row>
    <row r="679" spans="1:61" s="46" customFormat="1" x14ac:dyDescent="0.3">
      <c r="A679" s="317"/>
      <c r="B679" s="312"/>
      <c r="C679" s="428"/>
      <c r="D679" s="372"/>
      <c r="E679" s="390"/>
      <c r="F679" s="391"/>
      <c r="G679" s="391"/>
      <c r="H679" s="390"/>
      <c r="I679" s="390"/>
      <c r="J679" s="390"/>
      <c r="K679" s="390"/>
      <c r="L679" s="390"/>
      <c r="M679" s="390"/>
      <c r="N679" s="390"/>
      <c r="O679" s="390"/>
      <c r="P679" s="390"/>
      <c r="Q679" s="390"/>
      <c r="R679" s="390"/>
      <c r="S679" s="390"/>
      <c r="T679" s="390"/>
      <c r="U679" s="391"/>
      <c r="V679" s="390"/>
      <c r="W679" s="390"/>
      <c r="X679" s="390"/>
      <c r="Y679" s="391"/>
      <c r="Z679" s="391"/>
      <c r="AA679" s="390"/>
      <c r="AB679" s="390"/>
      <c r="AC679" s="390"/>
      <c r="AD679" s="390"/>
      <c r="AE679" s="390"/>
      <c r="AF679" s="390"/>
      <c r="AG679" s="390"/>
      <c r="AH679" s="390"/>
      <c r="AI679" s="390"/>
      <c r="AJ679" s="390"/>
      <c r="AK679" s="390"/>
      <c r="AL679" s="390"/>
      <c r="AM679" s="390"/>
      <c r="AN679" s="391"/>
      <c r="AO679" s="390"/>
      <c r="AP679" s="390"/>
      <c r="AQ679" s="390"/>
      <c r="AR679" s="391"/>
      <c r="AS679" s="391"/>
      <c r="AT679" s="390"/>
      <c r="AU679" s="390"/>
      <c r="AV679" s="390"/>
      <c r="AW679" s="390"/>
      <c r="AX679" s="390"/>
      <c r="AY679" s="390"/>
      <c r="AZ679" s="390"/>
      <c r="BA679" s="390"/>
      <c r="BB679" s="390"/>
      <c r="BC679" s="390"/>
      <c r="BD679" s="390"/>
      <c r="BE679" s="390"/>
      <c r="BF679" s="390"/>
      <c r="BG679" s="391"/>
      <c r="BH679" s="390"/>
      <c r="BI679" s="390"/>
    </row>
    <row r="680" spans="1:61" s="46" customFormat="1" x14ac:dyDescent="0.3">
      <c r="A680" s="317"/>
      <c r="B680" s="312"/>
      <c r="C680" s="428"/>
      <c r="D680" s="372"/>
      <c r="E680" s="390"/>
      <c r="F680" s="391"/>
      <c r="G680" s="391"/>
      <c r="H680" s="390"/>
      <c r="I680" s="390"/>
      <c r="J680" s="390"/>
      <c r="K680" s="390"/>
      <c r="L680" s="390"/>
      <c r="M680" s="390"/>
      <c r="N680" s="390"/>
      <c r="O680" s="390"/>
      <c r="P680" s="390"/>
      <c r="Q680" s="390"/>
      <c r="R680" s="390"/>
      <c r="S680" s="390"/>
      <c r="T680" s="390"/>
      <c r="U680" s="391"/>
      <c r="V680" s="390"/>
      <c r="W680" s="390"/>
      <c r="X680" s="390"/>
      <c r="Y680" s="391"/>
      <c r="Z680" s="391"/>
      <c r="AA680" s="390"/>
      <c r="AB680" s="390"/>
      <c r="AC680" s="390"/>
      <c r="AD680" s="390"/>
      <c r="AE680" s="390"/>
      <c r="AF680" s="390"/>
      <c r="AG680" s="390"/>
      <c r="AH680" s="390"/>
      <c r="AI680" s="390"/>
      <c r="AJ680" s="390"/>
      <c r="AK680" s="390"/>
      <c r="AL680" s="390"/>
      <c r="AM680" s="390"/>
      <c r="AN680" s="391"/>
      <c r="AO680" s="390"/>
      <c r="AP680" s="390"/>
      <c r="AQ680" s="390"/>
      <c r="AR680" s="391"/>
      <c r="AS680" s="391"/>
      <c r="AT680" s="390"/>
      <c r="AU680" s="390"/>
      <c r="AV680" s="390"/>
      <c r="AW680" s="390"/>
      <c r="AX680" s="390"/>
      <c r="AY680" s="390"/>
      <c r="AZ680" s="390"/>
      <c r="BA680" s="390"/>
      <c r="BB680" s="390"/>
      <c r="BC680" s="390"/>
      <c r="BD680" s="390"/>
      <c r="BE680" s="390"/>
      <c r="BF680" s="390"/>
      <c r="BG680" s="391"/>
      <c r="BH680" s="390"/>
      <c r="BI680" s="390"/>
    </row>
    <row r="681" spans="1:61" s="46" customFormat="1" x14ac:dyDescent="0.3">
      <c r="A681" s="317"/>
      <c r="B681" s="312"/>
      <c r="C681" s="428"/>
      <c r="D681" s="372"/>
      <c r="E681" s="390"/>
      <c r="F681" s="391"/>
      <c r="G681" s="391"/>
      <c r="H681" s="390"/>
      <c r="I681" s="390"/>
      <c r="J681" s="390"/>
      <c r="K681" s="390"/>
      <c r="L681" s="390"/>
      <c r="M681" s="390"/>
      <c r="N681" s="390"/>
      <c r="O681" s="390"/>
      <c r="P681" s="390"/>
      <c r="Q681" s="390"/>
      <c r="R681" s="390"/>
      <c r="S681" s="390"/>
      <c r="T681" s="390"/>
      <c r="U681" s="391"/>
      <c r="V681" s="390"/>
      <c r="W681" s="390"/>
      <c r="X681" s="390"/>
      <c r="Y681" s="391"/>
      <c r="Z681" s="391"/>
      <c r="AA681" s="390"/>
      <c r="AB681" s="390"/>
      <c r="AC681" s="390"/>
      <c r="AD681" s="390"/>
      <c r="AE681" s="390"/>
      <c r="AF681" s="390"/>
      <c r="AG681" s="390"/>
      <c r="AH681" s="390"/>
      <c r="AI681" s="390"/>
      <c r="AJ681" s="390"/>
      <c r="AK681" s="390"/>
      <c r="AL681" s="390"/>
      <c r="AM681" s="390"/>
      <c r="AN681" s="391"/>
      <c r="AO681" s="390"/>
      <c r="AP681" s="390"/>
      <c r="AQ681" s="390"/>
      <c r="AR681" s="391"/>
      <c r="AS681" s="391"/>
      <c r="AT681" s="390"/>
      <c r="AU681" s="390"/>
      <c r="AV681" s="390"/>
      <c r="AW681" s="390"/>
      <c r="AX681" s="390"/>
      <c r="AY681" s="390"/>
      <c r="AZ681" s="390"/>
      <c r="BA681" s="390"/>
      <c r="BB681" s="390"/>
      <c r="BC681" s="390"/>
      <c r="BD681" s="390"/>
      <c r="BE681" s="390"/>
      <c r="BF681" s="390"/>
      <c r="BG681" s="391"/>
      <c r="BH681" s="390"/>
      <c r="BI681" s="390"/>
    </row>
    <row r="682" spans="1:61" s="46" customFormat="1" x14ac:dyDescent="0.3">
      <c r="A682" s="317"/>
      <c r="B682" s="312"/>
      <c r="C682" s="428"/>
      <c r="D682" s="372"/>
      <c r="E682" s="390"/>
      <c r="F682" s="391"/>
      <c r="G682" s="391"/>
      <c r="H682" s="390"/>
      <c r="I682" s="390"/>
      <c r="J682" s="390"/>
      <c r="K682" s="390"/>
      <c r="L682" s="390"/>
      <c r="M682" s="390"/>
      <c r="N682" s="390"/>
      <c r="O682" s="390"/>
      <c r="P682" s="390"/>
      <c r="Q682" s="390"/>
      <c r="R682" s="390"/>
      <c r="S682" s="390"/>
      <c r="T682" s="390"/>
      <c r="U682" s="391"/>
      <c r="V682" s="390"/>
      <c r="W682" s="390"/>
      <c r="X682" s="390"/>
      <c r="Y682" s="391"/>
      <c r="Z682" s="391"/>
      <c r="AA682" s="390"/>
      <c r="AB682" s="390"/>
      <c r="AC682" s="390"/>
      <c r="AD682" s="390"/>
      <c r="AE682" s="390"/>
      <c r="AF682" s="390"/>
      <c r="AG682" s="390"/>
      <c r="AH682" s="390"/>
      <c r="AI682" s="390"/>
      <c r="AJ682" s="390"/>
      <c r="AK682" s="390"/>
      <c r="AL682" s="390"/>
      <c r="AM682" s="390"/>
      <c r="AN682" s="391"/>
      <c r="AO682" s="390"/>
      <c r="AP682" s="390"/>
      <c r="AQ682" s="390"/>
      <c r="AR682" s="391"/>
      <c r="AS682" s="391"/>
      <c r="AT682" s="390"/>
      <c r="AU682" s="390"/>
      <c r="AV682" s="390"/>
      <c r="AW682" s="390"/>
      <c r="AX682" s="390"/>
      <c r="AY682" s="390"/>
      <c r="AZ682" s="390"/>
      <c r="BA682" s="390"/>
      <c r="BB682" s="390"/>
      <c r="BC682" s="390"/>
      <c r="BD682" s="390"/>
      <c r="BE682" s="390"/>
      <c r="BF682" s="390"/>
      <c r="BG682" s="391"/>
      <c r="BH682" s="390"/>
      <c r="BI682" s="390"/>
    </row>
    <row r="683" spans="1:61" s="46" customFormat="1" x14ac:dyDescent="0.3">
      <c r="A683" s="317"/>
      <c r="B683" s="312"/>
      <c r="C683" s="428"/>
      <c r="D683" s="372"/>
      <c r="E683" s="390"/>
      <c r="F683" s="391"/>
      <c r="G683" s="391"/>
      <c r="H683" s="390"/>
      <c r="I683" s="390"/>
      <c r="J683" s="390"/>
      <c r="K683" s="390"/>
      <c r="L683" s="390"/>
      <c r="M683" s="390"/>
      <c r="N683" s="390"/>
      <c r="O683" s="390"/>
      <c r="P683" s="390"/>
      <c r="Q683" s="390"/>
      <c r="R683" s="390"/>
      <c r="S683" s="390"/>
      <c r="T683" s="390"/>
      <c r="U683" s="391"/>
      <c r="V683" s="390"/>
      <c r="W683" s="390"/>
      <c r="X683" s="390"/>
      <c r="Y683" s="391"/>
      <c r="Z683" s="391"/>
      <c r="AA683" s="390"/>
      <c r="AB683" s="390"/>
      <c r="AC683" s="390"/>
      <c r="AD683" s="390"/>
      <c r="AE683" s="390"/>
      <c r="AF683" s="390"/>
      <c r="AG683" s="390"/>
      <c r="AH683" s="390"/>
      <c r="AI683" s="390"/>
      <c r="AJ683" s="390"/>
      <c r="AK683" s="390"/>
      <c r="AL683" s="390"/>
      <c r="AM683" s="390"/>
      <c r="AN683" s="391"/>
      <c r="AO683" s="390"/>
      <c r="AP683" s="390"/>
      <c r="AQ683" s="390"/>
      <c r="AR683" s="391"/>
      <c r="AS683" s="391"/>
      <c r="AT683" s="390"/>
      <c r="AU683" s="390"/>
      <c r="AV683" s="390"/>
      <c r="AW683" s="390"/>
      <c r="AX683" s="390"/>
      <c r="AY683" s="390"/>
      <c r="AZ683" s="390"/>
      <c r="BA683" s="390"/>
      <c r="BB683" s="390"/>
      <c r="BC683" s="390"/>
      <c r="BD683" s="390"/>
      <c r="BE683" s="390"/>
      <c r="BF683" s="390"/>
      <c r="BG683" s="391"/>
      <c r="BH683" s="390"/>
      <c r="BI683" s="390"/>
    </row>
    <row r="684" spans="1:61" s="46" customFormat="1" x14ac:dyDescent="0.3">
      <c r="A684" s="317"/>
      <c r="B684" s="312"/>
      <c r="C684" s="428"/>
      <c r="D684" s="372"/>
      <c r="E684" s="390"/>
      <c r="F684" s="391"/>
      <c r="G684" s="391"/>
      <c r="H684" s="390"/>
      <c r="I684" s="390"/>
      <c r="J684" s="390"/>
      <c r="K684" s="390"/>
      <c r="L684" s="390"/>
      <c r="M684" s="390"/>
      <c r="N684" s="390"/>
      <c r="O684" s="390"/>
      <c r="P684" s="390"/>
      <c r="Q684" s="390"/>
      <c r="R684" s="390"/>
      <c r="S684" s="390"/>
      <c r="T684" s="390"/>
      <c r="U684" s="391"/>
      <c r="V684" s="390"/>
      <c r="W684" s="390"/>
      <c r="X684" s="390"/>
      <c r="Y684" s="391"/>
      <c r="Z684" s="391"/>
      <c r="AA684" s="390"/>
      <c r="AB684" s="390"/>
      <c r="AC684" s="390"/>
      <c r="AD684" s="390"/>
      <c r="AE684" s="390"/>
      <c r="AF684" s="390"/>
      <c r="AG684" s="390"/>
      <c r="AH684" s="390"/>
      <c r="AI684" s="390"/>
      <c r="AJ684" s="390"/>
      <c r="AK684" s="390"/>
      <c r="AL684" s="390"/>
      <c r="AM684" s="390"/>
      <c r="AN684" s="391"/>
      <c r="AO684" s="390"/>
      <c r="AP684" s="390"/>
      <c r="AQ684" s="390"/>
      <c r="AR684" s="391"/>
      <c r="AS684" s="391"/>
      <c r="AT684" s="390"/>
      <c r="AU684" s="390"/>
      <c r="AV684" s="390"/>
      <c r="AW684" s="390"/>
      <c r="AX684" s="390"/>
      <c r="AY684" s="390"/>
      <c r="AZ684" s="390"/>
      <c r="BA684" s="390"/>
      <c r="BB684" s="390"/>
      <c r="BC684" s="390"/>
      <c r="BD684" s="390"/>
      <c r="BE684" s="390"/>
      <c r="BF684" s="390"/>
      <c r="BG684" s="391"/>
      <c r="BH684" s="390"/>
      <c r="BI684" s="390"/>
    </row>
    <row r="685" spans="1:61" s="46" customFormat="1" x14ac:dyDescent="0.3">
      <c r="A685" s="317"/>
      <c r="B685" s="312"/>
      <c r="C685" s="428"/>
      <c r="D685" s="372"/>
      <c r="E685" s="390"/>
      <c r="F685" s="391"/>
      <c r="G685" s="391"/>
      <c r="H685" s="390"/>
      <c r="I685" s="390"/>
      <c r="J685" s="390"/>
      <c r="K685" s="390"/>
      <c r="L685" s="390"/>
      <c r="M685" s="390"/>
      <c r="N685" s="390"/>
      <c r="O685" s="390"/>
      <c r="P685" s="390"/>
      <c r="Q685" s="390"/>
      <c r="R685" s="390"/>
      <c r="S685" s="390"/>
      <c r="T685" s="390"/>
      <c r="U685" s="391"/>
      <c r="V685" s="390"/>
      <c r="W685" s="390"/>
      <c r="X685" s="390"/>
      <c r="Y685" s="391"/>
      <c r="Z685" s="391"/>
      <c r="AA685" s="390"/>
      <c r="AB685" s="390"/>
      <c r="AC685" s="390"/>
      <c r="AD685" s="390"/>
      <c r="AE685" s="390"/>
      <c r="AF685" s="390"/>
      <c r="AG685" s="390"/>
      <c r="AH685" s="390"/>
      <c r="AI685" s="390"/>
      <c r="AJ685" s="390"/>
      <c r="AK685" s="390"/>
      <c r="AL685" s="390"/>
      <c r="AM685" s="390"/>
      <c r="AN685" s="391"/>
      <c r="AO685" s="390"/>
      <c r="AP685" s="390"/>
      <c r="AQ685" s="390"/>
      <c r="AR685" s="391"/>
      <c r="AS685" s="391"/>
      <c r="AT685" s="390"/>
      <c r="AU685" s="390"/>
      <c r="AV685" s="390"/>
      <c r="AW685" s="390"/>
      <c r="AX685" s="390"/>
      <c r="AY685" s="390"/>
      <c r="AZ685" s="390"/>
      <c r="BA685" s="390"/>
      <c r="BB685" s="390"/>
      <c r="BC685" s="390"/>
      <c r="BD685" s="390"/>
      <c r="BE685" s="390"/>
      <c r="BF685" s="390"/>
      <c r="BG685" s="391"/>
      <c r="BH685" s="390"/>
      <c r="BI685" s="390"/>
    </row>
    <row r="686" spans="1:61" s="46" customFormat="1" x14ac:dyDescent="0.3">
      <c r="A686" s="317"/>
      <c r="B686" s="312"/>
      <c r="C686" s="428"/>
      <c r="D686" s="372"/>
      <c r="E686" s="390"/>
      <c r="F686" s="391"/>
      <c r="G686" s="391"/>
      <c r="H686" s="390"/>
      <c r="I686" s="390"/>
      <c r="J686" s="390"/>
      <c r="K686" s="390"/>
      <c r="L686" s="390"/>
      <c r="M686" s="390"/>
      <c r="N686" s="390"/>
      <c r="O686" s="390"/>
      <c r="P686" s="390"/>
      <c r="Q686" s="390"/>
      <c r="R686" s="390"/>
      <c r="S686" s="390"/>
      <c r="T686" s="390"/>
      <c r="U686" s="391"/>
      <c r="V686" s="390"/>
      <c r="W686" s="390"/>
      <c r="X686" s="390"/>
      <c r="Y686" s="391"/>
      <c r="Z686" s="391"/>
      <c r="AA686" s="390"/>
      <c r="AB686" s="390"/>
      <c r="AC686" s="390"/>
      <c r="AD686" s="390"/>
      <c r="AE686" s="390"/>
      <c r="AF686" s="390"/>
      <c r="AG686" s="390"/>
      <c r="AH686" s="390"/>
      <c r="AI686" s="390"/>
      <c r="AJ686" s="390"/>
      <c r="AK686" s="390"/>
      <c r="AL686" s="390"/>
      <c r="AM686" s="390"/>
      <c r="AN686" s="391"/>
      <c r="AO686" s="390"/>
      <c r="AP686" s="390"/>
      <c r="AQ686" s="390"/>
      <c r="AR686" s="391"/>
      <c r="AS686" s="391"/>
      <c r="AT686" s="390"/>
      <c r="AU686" s="390"/>
      <c r="AV686" s="390"/>
      <c r="AW686" s="390"/>
      <c r="AX686" s="390"/>
      <c r="AY686" s="390"/>
      <c r="AZ686" s="390"/>
      <c r="BA686" s="390"/>
      <c r="BB686" s="390"/>
      <c r="BC686" s="390"/>
      <c r="BD686" s="390"/>
      <c r="BE686" s="390"/>
      <c r="BF686" s="390"/>
      <c r="BG686" s="391"/>
      <c r="BH686" s="390"/>
      <c r="BI686" s="390"/>
    </row>
    <row r="687" spans="1:61" s="46" customFormat="1" x14ac:dyDescent="0.3">
      <c r="A687" s="317"/>
      <c r="B687" s="312"/>
      <c r="C687" s="428"/>
      <c r="D687" s="372"/>
      <c r="E687" s="390"/>
      <c r="F687" s="391"/>
      <c r="G687" s="391"/>
      <c r="H687" s="390"/>
      <c r="I687" s="390"/>
      <c r="J687" s="390"/>
      <c r="K687" s="390"/>
      <c r="L687" s="390"/>
      <c r="M687" s="390"/>
      <c r="N687" s="390"/>
      <c r="O687" s="390"/>
      <c r="P687" s="390"/>
      <c r="Q687" s="390"/>
      <c r="R687" s="390"/>
      <c r="S687" s="390"/>
      <c r="T687" s="390"/>
      <c r="U687" s="391"/>
      <c r="V687" s="390"/>
      <c r="W687" s="390"/>
      <c r="X687" s="390"/>
      <c r="Y687" s="391"/>
      <c r="Z687" s="391"/>
      <c r="AA687" s="390"/>
      <c r="AB687" s="390"/>
      <c r="AC687" s="390"/>
      <c r="AD687" s="390"/>
      <c r="AE687" s="390"/>
      <c r="AF687" s="390"/>
      <c r="AG687" s="390"/>
      <c r="AH687" s="390"/>
      <c r="AI687" s="390"/>
      <c r="AJ687" s="390"/>
      <c r="AK687" s="390"/>
      <c r="AL687" s="390"/>
      <c r="AM687" s="390"/>
      <c r="AN687" s="391"/>
      <c r="AO687" s="390"/>
      <c r="AP687" s="390"/>
      <c r="AQ687" s="390"/>
      <c r="AR687" s="391"/>
      <c r="AS687" s="391"/>
      <c r="AT687" s="390"/>
      <c r="AU687" s="390"/>
      <c r="AV687" s="390"/>
      <c r="AW687" s="390"/>
      <c r="AX687" s="390"/>
      <c r="AY687" s="390"/>
      <c r="AZ687" s="390"/>
      <c r="BA687" s="390"/>
      <c r="BB687" s="390"/>
      <c r="BC687" s="390"/>
      <c r="BD687" s="390"/>
      <c r="BE687" s="390"/>
      <c r="BF687" s="390"/>
      <c r="BG687" s="391"/>
      <c r="BH687" s="390"/>
      <c r="BI687" s="390"/>
    </row>
    <row r="688" spans="1:61" s="46" customFormat="1" x14ac:dyDescent="0.3">
      <c r="A688" s="317"/>
      <c r="B688" s="312"/>
      <c r="C688" s="428"/>
      <c r="D688" s="372"/>
      <c r="E688" s="390"/>
      <c r="F688" s="391"/>
      <c r="G688" s="391"/>
      <c r="H688" s="390"/>
      <c r="I688" s="390"/>
      <c r="J688" s="390"/>
      <c r="K688" s="390"/>
      <c r="L688" s="390"/>
      <c r="M688" s="390"/>
      <c r="N688" s="390"/>
      <c r="O688" s="390"/>
      <c r="P688" s="390"/>
      <c r="Q688" s="390"/>
      <c r="R688" s="390"/>
      <c r="S688" s="390"/>
      <c r="T688" s="390"/>
      <c r="U688" s="391"/>
      <c r="V688" s="390"/>
      <c r="W688" s="390"/>
      <c r="X688" s="390"/>
      <c r="Y688" s="391"/>
      <c r="Z688" s="391"/>
      <c r="AA688" s="390"/>
      <c r="AB688" s="390"/>
      <c r="AC688" s="390"/>
      <c r="AD688" s="390"/>
      <c r="AE688" s="390"/>
      <c r="AF688" s="390"/>
      <c r="AG688" s="390"/>
      <c r="AH688" s="390"/>
      <c r="AI688" s="390"/>
      <c r="AJ688" s="390"/>
      <c r="AK688" s="390"/>
      <c r="AL688" s="390"/>
      <c r="AM688" s="390"/>
      <c r="AN688" s="391"/>
      <c r="AO688" s="390"/>
      <c r="AP688" s="390"/>
      <c r="AQ688" s="390"/>
      <c r="AR688" s="391"/>
      <c r="AS688" s="391"/>
      <c r="AT688" s="390"/>
      <c r="AU688" s="390"/>
      <c r="AV688" s="390"/>
      <c r="AW688" s="390"/>
      <c r="AX688" s="390"/>
      <c r="AY688" s="390"/>
      <c r="AZ688" s="390"/>
      <c r="BA688" s="390"/>
      <c r="BB688" s="390"/>
      <c r="BC688" s="390"/>
      <c r="BD688" s="390"/>
      <c r="BE688" s="390"/>
      <c r="BF688" s="390"/>
      <c r="BG688" s="391"/>
      <c r="BH688" s="390"/>
      <c r="BI688" s="390"/>
    </row>
    <row r="689" spans="1:61" s="46" customFormat="1" x14ac:dyDescent="0.3">
      <c r="A689" s="317"/>
      <c r="B689" s="312"/>
      <c r="C689" s="428"/>
      <c r="D689" s="372"/>
      <c r="E689" s="390"/>
      <c r="F689" s="391"/>
      <c r="G689" s="391"/>
      <c r="H689" s="390"/>
      <c r="I689" s="390"/>
      <c r="J689" s="390"/>
      <c r="K689" s="390"/>
      <c r="L689" s="390"/>
      <c r="M689" s="390"/>
      <c r="N689" s="390"/>
      <c r="O689" s="390"/>
      <c r="P689" s="390"/>
      <c r="Q689" s="390"/>
      <c r="R689" s="390"/>
      <c r="S689" s="390"/>
      <c r="T689" s="390"/>
      <c r="U689" s="391"/>
      <c r="V689" s="390"/>
      <c r="W689" s="390"/>
      <c r="X689" s="390"/>
      <c r="Y689" s="391"/>
      <c r="Z689" s="391"/>
      <c r="AA689" s="390"/>
      <c r="AB689" s="390"/>
      <c r="AC689" s="390"/>
      <c r="AD689" s="390"/>
      <c r="AE689" s="390"/>
      <c r="AF689" s="390"/>
      <c r="AG689" s="390"/>
      <c r="AH689" s="390"/>
      <c r="AI689" s="390"/>
      <c r="AJ689" s="390"/>
      <c r="AK689" s="390"/>
      <c r="AL689" s="390"/>
      <c r="AM689" s="390"/>
      <c r="AN689" s="391"/>
      <c r="AO689" s="390"/>
      <c r="AP689" s="390"/>
      <c r="AQ689" s="390"/>
      <c r="AR689" s="391"/>
      <c r="AS689" s="391"/>
      <c r="AT689" s="390"/>
      <c r="AU689" s="390"/>
      <c r="AV689" s="390"/>
      <c r="AW689" s="390"/>
      <c r="AX689" s="390"/>
      <c r="AY689" s="390"/>
      <c r="AZ689" s="390"/>
      <c r="BA689" s="390"/>
      <c r="BB689" s="390"/>
      <c r="BC689" s="390"/>
      <c r="BD689" s="390"/>
      <c r="BE689" s="390"/>
      <c r="BF689" s="390"/>
      <c r="BG689" s="391"/>
      <c r="BH689" s="390"/>
      <c r="BI689" s="390"/>
    </row>
    <row r="690" spans="1:61" s="46" customFormat="1" x14ac:dyDescent="0.3">
      <c r="A690" s="317"/>
      <c r="B690" s="312"/>
      <c r="C690" s="428"/>
      <c r="D690" s="372"/>
      <c r="E690" s="390"/>
      <c r="F690" s="391"/>
      <c r="G690" s="391"/>
      <c r="H690" s="390"/>
      <c r="I690" s="390"/>
      <c r="J690" s="390"/>
      <c r="K690" s="390"/>
      <c r="L690" s="390"/>
      <c r="M690" s="390"/>
      <c r="N690" s="390"/>
      <c r="O690" s="390"/>
      <c r="P690" s="390"/>
      <c r="Q690" s="390"/>
      <c r="R690" s="390"/>
      <c r="S690" s="390"/>
      <c r="T690" s="390"/>
      <c r="U690" s="391"/>
      <c r="V690" s="390"/>
      <c r="W690" s="390"/>
      <c r="X690" s="390"/>
      <c r="Y690" s="391"/>
      <c r="Z690" s="391"/>
      <c r="AA690" s="390"/>
      <c r="AB690" s="390"/>
      <c r="AC690" s="390"/>
      <c r="AD690" s="390"/>
      <c r="AE690" s="390"/>
      <c r="AF690" s="390"/>
      <c r="AG690" s="390"/>
      <c r="AH690" s="390"/>
      <c r="AI690" s="390"/>
      <c r="AJ690" s="390"/>
      <c r="AK690" s="390"/>
      <c r="AL690" s="390"/>
      <c r="AM690" s="390"/>
      <c r="AN690" s="391"/>
      <c r="AO690" s="390"/>
      <c r="AP690" s="390"/>
      <c r="AQ690" s="390"/>
      <c r="AR690" s="391"/>
      <c r="AS690" s="391"/>
      <c r="AT690" s="390"/>
      <c r="AU690" s="390"/>
      <c r="AV690" s="390"/>
      <c r="AW690" s="390"/>
      <c r="AX690" s="390"/>
      <c r="AY690" s="390"/>
      <c r="AZ690" s="390"/>
      <c r="BA690" s="390"/>
      <c r="BB690" s="390"/>
      <c r="BC690" s="390"/>
      <c r="BD690" s="390"/>
      <c r="BE690" s="390"/>
      <c r="BF690" s="390"/>
      <c r="BG690" s="391"/>
      <c r="BH690" s="390"/>
      <c r="BI690" s="390"/>
    </row>
    <row r="691" spans="1:61" s="46" customFormat="1" x14ac:dyDescent="0.3">
      <c r="A691" s="317"/>
      <c r="B691" s="312"/>
      <c r="C691" s="428"/>
      <c r="D691" s="372"/>
      <c r="E691" s="390"/>
      <c r="F691" s="391"/>
      <c r="G691" s="391"/>
      <c r="H691" s="390"/>
      <c r="I691" s="390"/>
      <c r="J691" s="390"/>
      <c r="K691" s="390"/>
      <c r="L691" s="390"/>
      <c r="M691" s="390"/>
      <c r="N691" s="390"/>
      <c r="O691" s="390"/>
      <c r="P691" s="390"/>
      <c r="Q691" s="390"/>
      <c r="R691" s="390"/>
      <c r="S691" s="390"/>
      <c r="T691" s="390"/>
      <c r="U691" s="391"/>
      <c r="V691" s="390"/>
      <c r="W691" s="390"/>
      <c r="X691" s="390"/>
      <c r="Y691" s="391"/>
      <c r="Z691" s="391"/>
      <c r="AA691" s="390"/>
      <c r="AB691" s="390"/>
      <c r="AC691" s="390"/>
      <c r="AD691" s="390"/>
      <c r="AE691" s="390"/>
      <c r="AF691" s="390"/>
      <c r="AG691" s="390"/>
      <c r="AH691" s="390"/>
      <c r="AI691" s="390"/>
      <c r="AJ691" s="390"/>
      <c r="AK691" s="390"/>
      <c r="AL691" s="390"/>
      <c r="AM691" s="390"/>
      <c r="AN691" s="391"/>
      <c r="AO691" s="390"/>
      <c r="AP691" s="390"/>
      <c r="AQ691" s="390"/>
      <c r="AR691" s="391"/>
      <c r="AS691" s="391"/>
      <c r="AT691" s="390"/>
      <c r="AU691" s="390"/>
      <c r="AV691" s="390"/>
      <c r="AW691" s="390"/>
      <c r="AX691" s="390"/>
      <c r="AY691" s="390"/>
      <c r="AZ691" s="390"/>
      <c r="BA691" s="390"/>
      <c r="BB691" s="390"/>
      <c r="BC691" s="390"/>
      <c r="BD691" s="390"/>
      <c r="BE691" s="390"/>
      <c r="BF691" s="390"/>
      <c r="BG691" s="391"/>
      <c r="BH691" s="390"/>
      <c r="BI691" s="390"/>
    </row>
    <row r="692" spans="1:61" s="46" customFormat="1" x14ac:dyDescent="0.3">
      <c r="A692" s="317"/>
      <c r="B692" s="312"/>
      <c r="C692" s="428"/>
      <c r="D692" s="372"/>
      <c r="E692" s="390"/>
      <c r="F692" s="391"/>
      <c r="G692" s="391"/>
      <c r="H692" s="390"/>
      <c r="I692" s="390"/>
      <c r="J692" s="390"/>
      <c r="K692" s="390"/>
      <c r="L692" s="390"/>
      <c r="M692" s="390"/>
      <c r="N692" s="390"/>
      <c r="O692" s="390"/>
      <c r="P692" s="390"/>
      <c r="Q692" s="390"/>
      <c r="R692" s="390"/>
      <c r="S692" s="390"/>
      <c r="T692" s="390"/>
      <c r="U692" s="391"/>
      <c r="V692" s="390"/>
      <c r="W692" s="390"/>
      <c r="X692" s="390"/>
      <c r="Y692" s="391"/>
      <c r="Z692" s="391"/>
      <c r="AA692" s="390"/>
      <c r="AB692" s="390"/>
      <c r="AC692" s="390"/>
      <c r="AD692" s="390"/>
      <c r="AE692" s="390"/>
      <c r="AF692" s="390"/>
      <c r="AG692" s="390"/>
      <c r="AH692" s="390"/>
      <c r="AI692" s="390"/>
      <c r="AJ692" s="390"/>
      <c r="AK692" s="390"/>
      <c r="AL692" s="390"/>
      <c r="AM692" s="390"/>
      <c r="AN692" s="391"/>
      <c r="AO692" s="390"/>
      <c r="AP692" s="390"/>
      <c r="AQ692" s="390"/>
      <c r="AR692" s="391"/>
      <c r="AS692" s="391"/>
      <c r="AT692" s="390"/>
      <c r="AU692" s="390"/>
      <c r="AV692" s="390"/>
      <c r="AW692" s="390"/>
      <c r="AX692" s="390"/>
      <c r="AY692" s="390"/>
      <c r="AZ692" s="390"/>
      <c r="BA692" s="390"/>
      <c r="BB692" s="390"/>
      <c r="BC692" s="390"/>
      <c r="BD692" s="390"/>
      <c r="BE692" s="390"/>
      <c r="BF692" s="390"/>
      <c r="BG692" s="391"/>
      <c r="BH692" s="390"/>
      <c r="BI692" s="390"/>
    </row>
    <row r="693" spans="1:61" s="46" customFormat="1" x14ac:dyDescent="0.3">
      <c r="A693" s="317"/>
      <c r="B693" s="312"/>
      <c r="C693" s="428"/>
      <c r="D693" s="372"/>
      <c r="E693" s="390"/>
      <c r="F693" s="391"/>
      <c r="G693" s="391"/>
      <c r="H693" s="390"/>
      <c r="I693" s="390"/>
      <c r="J693" s="390"/>
      <c r="K693" s="390"/>
      <c r="L693" s="390"/>
      <c r="M693" s="390"/>
      <c r="N693" s="390"/>
      <c r="O693" s="390"/>
      <c r="P693" s="390"/>
      <c r="Q693" s="390"/>
      <c r="R693" s="390"/>
      <c r="S693" s="390"/>
      <c r="T693" s="390"/>
      <c r="U693" s="391"/>
      <c r="V693" s="390"/>
      <c r="W693" s="390"/>
      <c r="X693" s="390"/>
      <c r="Y693" s="391"/>
      <c r="Z693" s="391"/>
      <c r="AA693" s="390"/>
      <c r="AB693" s="390"/>
      <c r="AC693" s="390"/>
      <c r="AD693" s="390"/>
      <c r="AE693" s="390"/>
      <c r="AF693" s="390"/>
      <c r="AG693" s="390"/>
      <c r="AH693" s="390"/>
      <c r="AI693" s="390"/>
      <c r="AJ693" s="390"/>
      <c r="AK693" s="390"/>
      <c r="AL693" s="390"/>
      <c r="AM693" s="390"/>
      <c r="AN693" s="391"/>
      <c r="AO693" s="390"/>
      <c r="AP693" s="390"/>
      <c r="AQ693" s="390"/>
      <c r="AR693" s="391"/>
      <c r="AS693" s="391"/>
      <c r="AT693" s="390"/>
      <c r="AU693" s="390"/>
      <c r="AV693" s="390"/>
      <c r="AW693" s="390"/>
      <c r="AX693" s="390"/>
      <c r="AY693" s="390"/>
      <c r="AZ693" s="390"/>
      <c r="BA693" s="390"/>
      <c r="BB693" s="390"/>
      <c r="BC693" s="390"/>
      <c r="BD693" s="390"/>
      <c r="BE693" s="390"/>
      <c r="BF693" s="390"/>
      <c r="BG693" s="391"/>
      <c r="BH693" s="390"/>
      <c r="BI693" s="390"/>
    </row>
    <row r="694" spans="1:61" s="46" customFormat="1" x14ac:dyDescent="0.3">
      <c r="A694" s="317"/>
      <c r="B694" s="312"/>
      <c r="C694" s="428"/>
      <c r="D694" s="372"/>
      <c r="E694" s="390"/>
      <c r="F694" s="391"/>
      <c r="G694" s="391"/>
      <c r="H694" s="390"/>
      <c r="I694" s="390"/>
      <c r="J694" s="390"/>
      <c r="K694" s="390"/>
      <c r="L694" s="390"/>
      <c r="M694" s="390"/>
      <c r="N694" s="390"/>
      <c r="O694" s="390"/>
      <c r="P694" s="390"/>
      <c r="Q694" s="390"/>
      <c r="R694" s="390"/>
      <c r="S694" s="390"/>
      <c r="T694" s="390"/>
      <c r="U694" s="391"/>
      <c r="V694" s="390"/>
      <c r="W694" s="390"/>
      <c r="X694" s="390"/>
      <c r="Y694" s="391"/>
      <c r="Z694" s="391"/>
      <c r="AA694" s="390"/>
      <c r="AB694" s="390"/>
      <c r="AC694" s="390"/>
      <c r="AD694" s="390"/>
      <c r="AE694" s="390"/>
      <c r="AF694" s="390"/>
      <c r="AG694" s="390"/>
      <c r="AH694" s="390"/>
      <c r="AI694" s="390"/>
      <c r="AJ694" s="390"/>
      <c r="AK694" s="390"/>
      <c r="AL694" s="390"/>
      <c r="AM694" s="390"/>
      <c r="AN694" s="391"/>
      <c r="AO694" s="390"/>
      <c r="AP694" s="390"/>
      <c r="AQ694" s="390"/>
      <c r="AR694" s="391"/>
      <c r="AS694" s="391"/>
      <c r="AT694" s="390"/>
      <c r="AU694" s="390"/>
      <c r="AV694" s="390"/>
      <c r="AW694" s="390"/>
      <c r="AX694" s="390"/>
      <c r="AY694" s="390"/>
      <c r="AZ694" s="390"/>
      <c r="BA694" s="390"/>
      <c r="BB694" s="390"/>
      <c r="BC694" s="390"/>
      <c r="BD694" s="390"/>
      <c r="BE694" s="390"/>
      <c r="BF694" s="390"/>
      <c r="BG694" s="391"/>
      <c r="BH694" s="390"/>
      <c r="BI694" s="390"/>
    </row>
    <row r="695" spans="1:61" s="46" customFormat="1" x14ac:dyDescent="0.3">
      <c r="A695" s="317"/>
      <c r="B695" s="312"/>
      <c r="C695" s="428"/>
      <c r="D695" s="372"/>
      <c r="E695" s="390"/>
      <c r="F695" s="391"/>
      <c r="G695" s="391"/>
      <c r="H695" s="390"/>
      <c r="I695" s="390"/>
      <c r="J695" s="390"/>
      <c r="K695" s="390"/>
      <c r="L695" s="390"/>
      <c r="M695" s="390"/>
      <c r="N695" s="390"/>
      <c r="O695" s="390"/>
      <c r="P695" s="390"/>
      <c r="Q695" s="390"/>
      <c r="R695" s="390"/>
      <c r="S695" s="390"/>
      <c r="T695" s="390"/>
      <c r="U695" s="391"/>
      <c r="V695" s="390"/>
      <c r="W695" s="390"/>
      <c r="X695" s="390"/>
      <c r="Y695" s="391"/>
      <c r="Z695" s="391"/>
      <c r="AA695" s="390"/>
      <c r="AB695" s="390"/>
      <c r="AC695" s="390"/>
      <c r="AD695" s="390"/>
      <c r="AE695" s="390"/>
      <c r="AF695" s="390"/>
      <c r="AG695" s="390"/>
      <c r="AH695" s="390"/>
      <c r="AI695" s="390"/>
      <c r="AJ695" s="390"/>
      <c r="AK695" s="390"/>
      <c r="AL695" s="390"/>
      <c r="AM695" s="390"/>
      <c r="AN695" s="391"/>
      <c r="AO695" s="390"/>
      <c r="AP695" s="390"/>
      <c r="AQ695" s="390"/>
      <c r="AR695" s="391"/>
      <c r="AS695" s="391"/>
      <c r="AT695" s="390"/>
      <c r="AU695" s="390"/>
      <c r="AV695" s="390"/>
      <c r="AW695" s="390"/>
      <c r="AX695" s="390"/>
      <c r="AY695" s="390"/>
      <c r="AZ695" s="390"/>
      <c r="BA695" s="390"/>
      <c r="BB695" s="390"/>
      <c r="BC695" s="390"/>
      <c r="BD695" s="390"/>
      <c r="BE695" s="390"/>
      <c r="BF695" s="390"/>
      <c r="BG695" s="391"/>
      <c r="BH695" s="390"/>
      <c r="BI695" s="390"/>
    </row>
    <row r="696" spans="1:61" s="46" customFormat="1" x14ac:dyDescent="0.3">
      <c r="A696" s="317"/>
      <c r="B696" s="312"/>
      <c r="C696" s="428"/>
      <c r="D696" s="372"/>
      <c r="E696" s="390"/>
      <c r="F696" s="391"/>
      <c r="G696" s="391"/>
      <c r="H696" s="390"/>
      <c r="I696" s="390"/>
      <c r="J696" s="390"/>
      <c r="K696" s="390"/>
      <c r="L696" s="390"/>
      <c r="M696" s="390"/>
      <c r="N696" s="390"/>
      <c r="O696" s="390"/>
      <c r="P696" s="390"/>
      <c r="Q696" s="390"/>
      <c r="R696" s="390"/>
      <c r="S696" s="390"/>
      <c r="T696" s="390"/>
      <c r="U696" s="391"/>
      <c r="V696" s="390"/>
      <c r="W696" s="390"/>
      <c r="X696" s="390"/>
      <c r="Y696" s="391"/>
      <c r="Z696" s="391"/>
      <c r="AA696" s="390"/>
      <c r="AB696" s="390"/>
      <c r="AC696" s="390"/>
      <c r="AD696" s="390"/>
      <c r="AE696" s="390"/>
      <c r="AF696" s="390"/>
      <c r="AG696" s="390"/>
      <c r="AH696" s="390"/>
      <c r="AI696" s="390"/>
      <c r="AJ696" s="390"/>
      <c r="AK696" s="390"/>
      <c r="AL696" s="390"/>
      <c r="AM696" s="390"/>
      <c r="AN696" s="391"/>
      <c r="AO696" s="390"/>
      <c r="AP696" s="390"/>
      <c r="AQ696" s="390"/>
      <c r="AR696" s="391"/>
      <c r="AS696" s="391"/>
      <c r="AT696" s="390"/>
      <c r="AU696" s="390"/>
      <c r="AV696" s="390"/>
      <c r="AW696" s="390"/>
      <c r="AX696" s="390"/>
      <c r="AY696" s="390"/>
      <c r="AZ696" s="390"/>
      <c r="BA696" s="390"/>
      <c r="BB696" s="390"/>
      <c r="BC696" s="390"/>
      <c r="BD696" s="390"/>
      <c r="BE696" s="390"/>
      <c r="BF696" s="390"/>
      <c r="BG696" s="391"/>
      <c r="BH696" s="390"/>
      <c r="BI696" s="390"/>
    </row>
    <row r="697" spans="1:61" s="46" customFormat="1" x14ac:dyDescent="0.3">
      <c r="A697" s="317"/>
      <c r="B697" s="312"/>
      <c r="C697" s="428"/>
      <c r="D697" s="372"/>
      <c r="E697" s="390"/>
      <c r="F697" s="391"/>
      <c r="G697" s="391"/>
      <c r="H697" s="390"/>
      <c r="I697" s="390"/>
      <c r="J697" s="390"/>
      <c r="K697" s="390"/>
      <c r="L697" s="390"/>
      <c r="M697" s="390"/>
      <c r="N697" s="390"/>
      <c r="O697" s="390"/>
      <c r="P697" s="390"/>
      <c r="Q697" s="390"/>
      <c r="R697" s="390"/>
      <c r="S697" s="390"/>
      <c r="T697" s="390"/>
      <c r="U697" s="391"/>
      <c r="V697" s="390"/>
      <c r="W697" s="390"/>
      <c r="X697" s="390"/>
      <c r="Y697" s="391"/>
      <c r="Z697" s="391"/>
      <c r="AA697" s="390"/>
      <c r="AB697" s="390"/>
      <c r="AC697" s="390"/>
      <c r="AD697" s="390"/>
      <c r="AE697" s="390"/>
      <c r="AF697" s="390"/>
      <c r="AG697" s="390"/>
      <c r="AH697" s="390"/>
      <c r="AI697" s="390"/>
      <c r="AJ697" s="390"/>
      <c r="AK697" s="390"/>
      <c r="AL697" s="390"/>
      <c r="AM697" s="390"/>
      <c r="AN697" s="391"/>
      <c r="AO697" s="390"/>
      <c r="AP697" s="390"/>
      <c r="AQ697" s="390"/>
      <c r="AR697" s="391"/>
      <c r="AS697" s="391"/>
      <c r="AT697" s="390"/>
      <c r="AU697" s="390"/>
      <c r="AV697" s="390"/>
      <c r="AW697" s="390"/>
      <c r="AX697" s="390"/>
      <c r="AY697" s="390"/>
      <c r="AZ697" s="390"/>
      <c r="BA697" s="390"/>
      <c r="BB697" s="390"/>
      <c r="BC697" s="390"/>
      <c r="BD697" s="390"/>
      <c r="BE697" s="390"/>
      <c r="BF697" s="390"/>
      <c r="BG697" s="391"/>
      <c r="BH697" s="390"/>
      <c r="BI697" s="390"/>
    </row>
    <row r="698" spans="1:61" s="46" customFormat="1" x14ac:dyDescent="0.3">
      <c r="A698" s="317"/>
      <c r="B698" s="312"/>
      <c r="C698" s="428"/>
      <c r="D698" s="372"/>
      <c r="E698" s="390"/>
      <c r="F698" s="391"/>
      <c r="G698" s="391"/>
      <c r="H698" s="390"/>
      <c r="I698" s="390"/>
      <c r="J698" s="390"/>
      <c r="K698" s="390"/>
      <c r="L698" s="390"/>
      <c r="M698" s="390"/>
      <c r="N698" s="390"/>
      <c r="O698" s="390"/>
      <c r="P698" s="390"/>
      <c r="Q698" s="390"/>
      <c r="R698" s="390"/>
      <c r="S698" s="390"/>
      <c r="T698" s="390"/>
      <c r="U698" s="391"/>
      <c r="V698" s="390"/>
      <c r="W698" s="390"/>
      <c r="X698" s="390"/>
      <c r="Y698" s="391"/>
      <c r="Z698" s="391"/>
      <c r="AA698" s="390"/>
      <c r="AB698" s="390"/>
      <c r="AC698" s="390"/>
      <c r="AD698" s="390"/>
      <c r="AE698" s="390"/>
      <c r="AF698" s="390"/>
      <c r="AG698" s="390"/>
      <c r="AH698" s="390"/>
      <c r="AI698" s="390"/>
      <c r="AJ698" s="390"/>
      <c r="AK698" s="390"/>
      <c r="AL698" s="390"/>
      <c r="AM698" s="390"/>
      <c r="AN698" s="391"/>
      <c r="AO698" s="390"/>
      <c r="AP698" s="390"/>
      <c r="AQ698" s="390"/>
      <c r="AR698" s="391"/>
      <c r="AS698" s="391"/>
      <c r="AT698" s="390"/>
      <c r="AU698" s="390"/>
      <c r="AV698" s="390"/>
      <c r="AW698" s="390"/>
      <c r="AX698" s="390"/>
      <c r="AY698" s="390"/>
      <c r="AZ698" s="390"/>
      <c r="BA698" s="390"/>
      <c r="BB698" s="390"/>
      <c r="BC698" s="390"/>
      <c r="BD698" s="390"/>
      <c r="BE698" s="390"/>
      <c r="BF698" s="390"/>
      <c r="BG698" s="391"/>
      <c r="BH698" s="390"/>
      <c r="BI698" s="390"/>
    </row>
    <row r="699" spans="1:61" s="46" customFormat="1" x14ac:dyDescent="0.3">
      <c r="A699" s="317"/>
      <c r="B699" s="312"/>
      <c r="C699" s="428"/>
      <c r="D699" s="372"/>
      <c r="E699" s="390"/>
      <c r="F699" s="391"/>
      <c r="G699" s="391"/>
      <c r="H699" s="390"/>
      <c r="I699" s="390"/>
      <c r="J699" s="390"/>
      <c r="K699" s="390"/>
      <c r="L699" s="390"/>
      <c r="M699" s="390"/>
      <c r="N699" s="390"/>
      <c r="O699" s="390"/>
      <c r="P699" s="390"/>
      <c r="Q699" s="390"/>
      <c r="R699" s="390"/>
      <c r="S699" s="390"/>
      <c r="T699" s="390"/>
      <c r="U699" s="391"/>
      <c r="V699" s="390"/>
      <c r="W699" s="390"/>
      <c r="X699" s="390"/>
      <c r="Y699" s="391"/>
      <c r="Z699" s="391"/>
      <c r="AA699" s="390"/>
      <c r="AB699" s="390"/>
      <c r="AC699" s="390"/>
      <c r="AD699" s="390"/>
      <c r="AE699" s="390"/>
      <c r="AF699" s="390"/>
      <c r="AG699" s="390"/>
      <c r="AH699" s="390"/>
      <c r="AI699" s="390"/>
      <c r="AJ699" s="390"/>
      <c r="AK699" s="390"/>
      <c r="AL699" s="390"/>
      <c r="AM699" s="390"/>
      <c r="AN699" s="391"/>
      <c r="AO699" s="390"/>
      <c r="AP699" s="390"/>
      <c r="AQ699" s="390"/>
      <c r="AR699" s="391"/>
      <c r="AS699" s="391"/>
      <c r="AT699" s="390"/>
      <c r="AU699" s="390"/>
      <c r="AV699" s="390"/>
      <c r="AW699" s="390"/>
      <c r="AX699" s="390"/>
      <c r="AY699" s="390"/>
      <c r="AZ699" s="390"/>
      <c r="BA699" s="390"/>
      <c r="BB699" s="390"/>
      <c r="BC699" s="390"/>
      <c r="BD699" s="390"/>
      <c r="BE699" s="390"/>
      <c r="BF699" s="390"/>
      <c r="BG699" s="391"/>
      <c r="BH699" s="390"/>
      <c r="BI699" s="390"/>
    </row>
    <row r="700" spans="1:61" s="46" customFormat="1" x14ac:dyDescent="0.3">
      <c r="A700" s="317"/>
      <c r="B700" s="312"/>
      <c r="C700" s="428"/>
      <c r="D700" s="372"/>
      <c r="E700" s="390"/>
      <c r="F700" s="391"/>
      <c r="G700" s="391"/>
      <c r="H700" s="390"/>
      <c r="I700" s="390"/>
      <c r="J700" s="390"/>
      <c r="K700" s="390"/>
      <c r="L700" s="390"/>
      <c r="M700" s="390"/>
      <c r="N700" s="390"/>
      <c r="O700" s="390"/>
      <c r="P700" s="390"/>
      <c r="Q700" s="390"/>
      <c r="R700" s="390"/>
      <c r="S700" s="390"/>
      <c r="T700" s="390"/>
      <c r="U700" s="391"/>
      <c r="V700" s="390"/>
      <c r="W700" s="390"/>
      <c r="X700" s="390"/>
      <c r="Y700" s="391"/>
      <c r="Z700" s="391"/>
      <c r="AA700" s="390"/>
      <c r="AB700" s="390"/>
      <c r="AC700" s="390"/>
      <c r="AD700" s="390"/>
      <c r="AE700" s="390"/>
      <c r="AF700" s="390"/>
      <c r="AG700" s="390"/>
      <c r="AH700" s="390"/>
      <c r="AI700" s="390"/>
      <c r="AJ700" s="390"/>
      <c r="AK700" s="390"/>
      <c r="AL700" s="390"/>
      <c r="AM700" s="390"/>
      <c r="AN700" s="391"/>
      <c r="AO700" s="390"/>
      <c r="AP700" s="390"/>
      <c r="AQ700" s="390"/>
      <c r="AR700" s="391"/>
      <c r="AS700" s="391"/>
      <c r="AT700" s="390"/>
      <c r="AU700" s="390"/>
      <c r="AV700" s="390"/>
      <c r="AW700" s="390"/>
      <c r="AX700" s="390"/>
      <c r="AY700" s="390"/>
      <c r="AZ700" s="390"/>
      <c r="BA700" s="390"/>
      <c r="BB700" s="390"/>
      <c r="BC700" s="390"/>
      <c r="BD700" s="390"/>
      <c r="BE700" s="390"/>
      <c r="BF700" s="390"/>
      <c r="BG700" s="391"/>
      <c r="BH700" s="390"/>
      <c r="BI700" s="390"/>
    </row>
    <row r="701" spans="1:61" s="46" customFormat="1" x14ac:dyDescent="0.3">
      <c r="A701" s="317"/>
      <c r="B701" s="312"/>
      <c r="C701" s="428"/>
      <c r="D701" s="372"/>
      <c r="E701" s="390"/>
      <c r="F701" s="391"/>
      <c r="G701" s="391"/>
      <c r="H701" s="390"/>
      <c r="I701" s="390"/>
      <c r="J701" s="390"/>
      <c r="K701" s="390"/>
      <c r="L701" s="390"/>
      <c r="M701" s="390"/>
      <c r="N701" s="390"/>
      <c r="O701" s="390"/>
      <c r="P701" s="390"/>
      <c r="Q701" s="390"/>
      <c r="R701" s="390"/>
      <c r="S701" s="390"/>
      <c r="T701" s="390"/>
      <c r="U701" s="391"/>
      <c r="V701" s="390"/>
      <c r="W701" s="390"/>
      <c r="X701" s="390"/>
      <c r="Y701" s="391"/>
      <c r="Z701" s="391"/>
      <c r="AA701" s="390"/>
      <c r="AB701" s="390"/>
      <c r="AC701" s="390"/>
      <c r="AD701" s="390"/>
      <c r="AE701" s="390"/>
      <c r="AF701" s="390"/>
      <c r="AG701" s="390"/>
      <c r="AH701" s="390"/>
      <c r="AI701" s="390"/>
      <c r="AJ701" s="390"/>
      <c r="AK701" s="390"/>
      <c r="AL701" s="390"/>
      <c r="AM701" s="390"/>
      <c r="AN701" s="391"/>
      <c r="AO701" s="390"/>
      <c r="AP701" s="390"/>
      <c r="AQ701" s="390"/>
      <c r="AR701" s="391"/>
      <c r="AS701" s="391"/>
      <c r="AT701" s="390"/>
      <c r="AU701" s="390"/>
      <c r="AV701" s="390"/>
      <c r="AW701" s="390"/>
      <c r="AX701" s="390"/>
      <c r="AY701" s="390"/>
      <c r="AZ701" s="390"/>
      <c r="BA701" s="390"/>
      <c r="BB701" s="390"/>
      <c r="BC701" s="390"/>
      <c r="BD701" s="390"/>
      <c r="BE701" s="390"/>
      <c r="BF701" s="390"/>
      <c r="BG701" s="391"/>
      <c r="BH701" s="390"/>
      <c r="BI701" s="390"/>
    </row>
    <row r="702" spans="1:61" s="46" customFormat="1" x14ac:dyDescent="0.3">
      <c r="A702" s="317"/>
      <c r="B702" s="312"/>
      <c r="C702" s="428"/>
      <c r="D702" s="372"/>
      <c r="E702" s="390"/>
      <c r="F702" s="391"/>
      <c r="G702" s="391"/>
      <c r="H702" s="390"/>
      <c r="I702" s="390"/>
      <c r="J702" s="390"/>
      <c r="K702" s="390"/>
      <c r="L702" s="390"/>
      <c r="M702" s="390"/>
      <c r="N702" s="390"/>
      <c r="O702" s="390"/>
      <c r="P702" s="390"/>
      <c r="Q702" s="390"/>
      <c r="R702" s="390"/>
      <c r="S702" s="390"/>
      <c r="T702" s="390"/>
      <c r="U702" s="391"/>
      <c r="V702" s="390"/>
      <c r="W702" s="390"/>
      <c r="X702" s="390"/>
      <c r="Y702" s="391"/>
      <c r="Z702" s="391"/>
      <c r="AA702" s="390"/>
      <c r="AB702" s="390"/>
      <c r="AC702" s="390"/>
      <c r="AD702" s="390"/>
      <c r="AE702" s="390"/>
      <c r="AF702" s="390"/>
      <c r="AG702" s="390"/>
      <c r="AH702" s="390"/>
      <c r="AI702" s="390"/>
      <c r="AJ702" s="390"/>
      <c r="AK702" s="390"/>
      <c r="AL702" s="390"/>
      <c r="AM702" s="390"/>
      <c r="AN702" s="391"/>
      <c r="AO702" s="390"/>
      <c r="AP702" s="390"/>
      <c r="AQ702" s="390"/>
      <c r="AR702" s="391"/>
      <c r="AS702" s="391"/>
      <c r="AT702" s="390"/>
      <c r="AU702" s="390"/>
      <c r="AV702" s="390"/>
      <c r="AW702" s="390"/>
      <c r="AX702" s="390"/>
      <c r="AY702" s="390"/>
      <c r="AZ702" s="390"/>
      <c r="BA702" s="390"/>
      <c r="BB702" s="390"/>
      <c r="BC702" s="390"/>
      <c r="BD702" s="390"/>
      <c r="BE702" s="390"/>
      <c r="BF702" s="390"/>
      <c r="BG702" s="391"/>
      <c r="BH702" s="390"/>
      <c r="BI702" s="390"/>
    </row>
    <row r="703" spans="1:61" s="46" customFormat="1" x14ac:dyDescent="0.3">
      <c r="A703" s="317"/>
      <c r="B703" s="312"/>
      <c r="C703" s="428"/>
      <c r="D703" s="372"/>
      <c r="E703" s="390"/>
      <c r="F703" s="391"/>
      <c r="G703" s="391"/>
      <c r="H703" s="390"/>
      <c r="I703" s="390"/>
      <c r="J703" s="390"/>
      <c r="K703" s="390"/>
      <c r="L703" s="390"/>
      <c r="M703" s="390"/>
      <c r="N703" s="390"/>
      <c r="O703" s="390"/>
      <c r="P703" s="390"/>
      <c r="Q703" s="390"/>
      <c r="R703" s="390"/>
      <c r="S703" s="390"/>
      <c r="T703" s="390"/>
      <c r="U703" s="391"/>
      <c r="V703" s="390"/>
      <c r="W703" s="390"/>
      <c r="X703" s="390"/>
      <c r="Y703" s="391"/>
      <c r="Z703" s="391"/>
      <c r="AA703" s="390"/>
      <c r="AB703" s="390"/>
      <c r="AC703" s="390"/>
      <c r="AD703" s="390"/>
      <c r="AE703" s="390"/>
      <c r="AF703" s="390"/>
      <c r="AG703" s="390"/>
      <c r="AH703" s="390"/>
      <c r="AI703" s="390"/>
      <c r="AJ703" s="390"/>
      <c r="AK703" s="390"/>
      <c r="AL703" s="390"/>
      <c r="AM703" s="390"/>
      <c r="AN703" s="391"/>
      <c r="AO703" s="390"/>
      <c r="AP703" s="390"/>
      <c r="AQ703" s="390"/>
      <c r="AR703" s="391"/>
      <c r="AS703" s="391"/>
      <c r="AT703" s="390"/>
      <c r="AU703" s="390"/>
      <c r="AV703" s="390"/>
      <c r="AW703" s="390"/>
      <c r="AX703" s="390"/>
      <c r="AY703" s="390"/>
      <c r="AZ703" s="390"/>
      <c r="BA703" s="390"/>
      <c r="BB703" s="390"/>
      <c r="BC703" s="390"/>
      <c r="BD703" s="390"/>
      <c r="BE703" s="390"/>
      <c r="BF703" s="390"/>
      <c r="BG703" s="391"/>
      <c r="BH703" s="390"/>
      <c r="BI703" s="390"/>
    </row>
    <row r="704" spans="1:61" s="46" customFormat="1" x14ac:dyDescent="0.3">
      <c r="A704" s="317"/>
      <c r="B704" s="312"/>
      <c r="C704" s="428"/>
      <c r="D704" s="372"/>
      <c r="E704" s="390"/>
      <c r="F704" s="391"/>
      <c r="G704" s="391"/>
      <c r="H704" s="390"/>
      <c r="I704" s="390"/>
      <c r="J704" s="390"/>
      <c r="K704" s="390"/>
      <c r="L704" s="390"/>
      <c r="M704" s="390"/>
      <c r="N704" s="390"/>
      <c r="O704" s="390"/>
      <c r="P704" s="390"/>
      <c r="Q704" s="390"/>
      <c r="R704" s="390"/>
      <c r="S704" s="390"/>
      <c r="T704" s="390"/>
      <c r="U704" s="391"/>
      <c r="V704" s="390"/>
      <c r="W704" s="390"/>
      <c r="X704" s="390"/>
      <c r="Y704" s="391"/>
      <c r="Z704" s="391"/>
      <c r="AA704" s="390"/>
      <c r="AB704" s="390"/>
      <c r="AC704" s="390"/>
      <c r="AD704" s="390"/>
      <c r="AE704" s="390"/>
      <c r="AF704" s="390"/>
      <c r="AG704" s="390"/>
      <c r="AH704" s="390"/>
      <c r="AI704" s="390"/>
      <c r="AJ704" s="390"/>
      <c r="AK704" s="390"/>
      <c r="AL704" s="390"/>
      <c r="AM704" s="390"/>
      <c r="AN704" s="391"/>
      <c r="AO704" s="390"/>
      <c r="AP704" s="390"/>
      <c r="AQ704" s="390"/>
      <c r="AR704" s="391"/>
      <c r="AS704" s="391"/>
      <c r="AT704" s="390"/>
      <c r="AU704" s="390"/>
      <c r="AV704" s="390"/>
      <c r="AW704" s="390"/>
      <c r="AX704" s="390"/>
      <c r="AY704" s="390"/>
      <c r="AZ704" s="390"/>
      <c r="BA704" s="390"/>
      <c r="BB704" s="390"/>
      <c r="BC704" s="390"/>
      <c r="BD704" s="390"/>
      <c r="BE704" s="390"/>
      <c r="BF704" s="390"/>
      <c r="BG704" s="391"/>
      <c r="BH704" s="390"/>
      <c r="BI704" s="390"/>
    </row>
    <row r="705" spans="1:61" s="46" customFormat="1" x14ac:dyDescent="0.3">
      <c r="A705" s="317"/>
      <c r="B705" s="312"/>
      <c r="C705" s="428"/>
      <c r="D705" s="372"/>
      <c r="E705" s="390"/>
      <c r="F705" s="391"/>
      <c r="G705" s="391"/>
      <c r="H705" s="390"/>
      <c r="I705" s="390"/>
      <c r="J705" s="390"/>
      <c r="K705" s="390"/>
      <c r="L705" s="390"/>
      <c r="M705" s="390"/>
      <c r="N705" s="390"/>
      <c r="O705" s="390"/>
      <c r="P705" s="390"/>
      <c r="Q705" s="390"/>
      <c r="R705" s="390"/>
      <c r="S705" s="390"/>
      <c r="T705" s="390"/>
      <c r="U705" s="391"/>
      <c r="V705" s="390"/>
      <c r="W705" s="390"/>
      <c r="X705" s="390"/>
      <c r="Y705" s="391"/>
      <c r="Z705" s="391"/>
      <c r="AA705" s="390"/>
      <c r="AB705" s="390"/>
      <c r="AC705" s="390"/>
      <c r="AD705" s="390"/>
      <c r="AE705" s="390"/>
      <c r="AF705" s="390"/>
      <c r="AG705" s="390"/>
      <c r="AH705" s="390"/>
      <c r="AI705" s="390"/>
      <c r="AJ705" s="390"/>
      <c r="AK705" s="390"/>
      <c r="AL705" s="390"/>
      <c r="AM705" s="390"/>
      <c r="AN705" s="391"/>
      <c r="AO705" s="390"/>
      <c r="AP705" s="390"/>
      <c r="AQ705" s="390"/>
      <c r="AR705" s="391"/>
      <c r="AS705" s="391"/>
      <c r="AT705" s="390"/>
      <c r="AU705" s="390"/>
      <c r="AV705" s="390"/>
      <c r="AW705" s="390"/>
      <c r="AX705" s="390"/>
      <c r="AY705" s="390"/>
      <c r="AZ705" s="390"/>
      <c r="BA705" s="390"/>
      <c r="BB705" s="390"/>
      <c r="BC705" s="390"/>
      <c r="BD705" s="390"/>
      <c r="BE705" s="390"/>
      <c r="BF705" s="390"/>
      <c r="BG705" s="391"/>
      <c r="BH705" s="390"/>
      <c r="BI705" s="390"/>
    </row>
    <row r="706" spans="1:61" s="46" customFormat="1" x14ac:dyDescent="0.3">
      <c r="A706" s="317"/>
      <c r="B706" s="312"/>
      <c r="C706" s="428"/>
      <c r="D706" s="372"/>
      <c r="E706" s="390"/>
      <c r="F706" s="391"/>
      <c r="G706" s="391"/>
      <c r="H706" s="390"/>
      <c r="I706" s="390"/>
      <c r="J706" s="390"/>
      <c r="K706" s="390"/>
      <c r="L706" s="390"/>
      <c r="M706" s="390"/>
      <c r="N706" s="390"/>
      <c r="O706" s="390"/>
      <c r="P706" s="390"/>
      <c r="Q706" s="390"/>
      <c r="R706" s="390"/>
      <c r="S706" s="390"/>
      <c r="T706" s="390"/>
      <c r="U706" s="391"/>
      <c r="V706" s="390"/>
      <c r="W706" s="390"/>
      <c r="X706" s="390"/>
      <c r="Y706" s="391"/>
      <c r="Z706" s="391"/>
      <c r="AA706" s="390"/>
      <c r="AB706" s="390"/>
      <c r="AC706" s="390"/>
      <c r="AD706" s="390"/>
      <c r="AE706" s="390"/>
      <c r="AF706" s="390"/>
      <c r="AG706" s="390"/>
      <c r="AH706" s="390"/>
      <c r="AI706" s="390"/>
      <c r="AJ706" s="390"/>
      <c r="AK706" s="390"/>
      <c r="AL706" s="390"/>
      <c r="AM706" s="390"/>
      <c r="AN706" s="391"/>
      <c r="AO706" s="390"/>
      <c r="AP706" s="390"/>
      <c r="AQ706" s="390"/>
      <c r="AR706" s="391"/>
      <c r="AS706" s="391"/>
      <c r="AT706" s="390"/>
      <c r="AU706" s="390"/>
      <c r="AV706" s="390"/>
      <c r="AW706" s="390"/>
      <c r="AX706" s="390"/>
      <c r="AY706" s="390"/>
      <c r="AZ706" s="390"/>
      <c r="BA706" s="390"/>
      <c r="BB706" s="390"/>
      <c r="BC706" s="390"/>
      <c r="BD706" s="390"/>
      <c r="BE706" s="390"/>
      <c r="BF706" s="390"/>
      <c r="BG706" s="391"/>
      <c r="BH706" s="390"/>
      <c r="BI706" s="390"/>
    </row>
    <row r="707" spans="1:61" s="46" customFormat="1" x14ac:dyDescent="0.3">
      <c r="A707" s="317"/>
      <c r="B707" s="312"/>
      <c r="C707" s="428"/>
      <c r="D707" s="372"/>
      <c r="E707" s="390"/>
      <c r="F707" s="391"/>
      <c r="G707" s="391"/>
      <c r="H707" s="390"/>
      <c r="I707" s="390"/>
      <c r="J707" s="390"/>
      <c r="K707" s="390"/>
      <c r="L707" s="390"/>
      <c r="M707" s="390"/>
      <c r="N707" s="390"/>
      <c r="O707" s="390"/>
      <c r="P707" s="390"/>
      <c r="Q707" s="390"/>
      <c r="R707" s="390"/>
      <c r="S707" s="390"/>
      <c r="T707" s="390"/>
      <c r="U707" s="391"/>
      <c r="V707" s="390"/>
      <c r="W707" s="390"/>
      <c r="X707" s="390"/>
      <c r="Y707" s="391"/>
      <c r="Z707" s="391"/>
      <c r="AA707" s="390"/>
      <c r="AB707" s="390"/>
      <c r="AC707" s="390"/>
      <c r="AD707" s="390"/>
      <c r="AE707" s="390"/>
      <c r="AF707" s="390"/>
      <c r="AG707" s="390"/>
      <c r="AH707" s="390"/>
      <c r="AI707" s="390"/>
      <c r="AJ707" s="390"/>
      <c r="AK707" s="390"/>
      <c r="AL707" s="390"/>
      <c r="AM707" s="390"/>
      <c r="AN707" s="391"/>
      <c r="AO707" s="390"/>
      <c r="AP707" s="390"/>
      <c r="AQ707" s="390"/>
      <c r="AR707" s="391"/>
      <c r="AS707" s="391"/>
      <c r="AT707" s="390"/>
      <c r="AU707" s="390"/>
      <c r="AV707" s="390"/>
      <c r="AW707" s="390"/>
      <c r="AX707" s="390"/>
      <c r="AY707" s="390"/>
      <c r="AZ707" s="390"/>
      <c r="BA707" s="390"/>
      <c r="BB707" s="390"/>
      <c r="BC707" s="390"/>
      <c r="BD707" s="390"/>
      <c r="BE707" s="390"/>
      <c r="BF707" s="390"/>
      <c r="BG707" s="391"/>
      <c r="BH707" s="390"/>
      <c r="BI707" s="390"/>
    </row>
    <row r="708" spans="1:61" s="46" customFormat="1" x14ac:dyDescent="0.3">
      <c r="A708" s="317"/>
      <c r="B708" s="312"/>
      <c r="C708" s="428"/>
      <c r="D708" s="372"/>
      <c r="E708" s="390"/>
      <c r="F708" s="391"/>
      <c r="G708" s="391"/>
      <c r="H708" s="390"/>
      <c r="I708" s="390"/>
      <c r="J708" s="390"/>
      <c r="K708" s="390"/>
      <c r="L708" s="390"/>
      <c r="M708" s="390"/>
      <c r="N708" s="390"/>
      <c r="O708" s="390"/>
      <c r="P708" s="390"/>
      <c r="Q708" s="390"/>
      <c r="R708" s="390"/>
      <c r="S708" s="390"/>
      <c r="T708" s="390"/>
      <c r="U708" s="391"/>
      <c r="V708" s="390"/>
      <c r="W708" s="390"/>
      <c r="X708" s="390"/>
      <c r="Y708" s="391"/>
      <c r="Z708" s="391"/>
      <c r="AA708" s="390"/>
      <c r="AB708" s="390"/>
      <c r="AC708" s="390"/>
      <c r="AD708" s="390"/>
      <c r="AE708" s="390"/>
      <c r="AF708" s="390"/>
      <c r="AG708" s="390"/>
      <c r="AH708" s="390"/>
      <c r="AI708" s="390"/>
      <c r="AJ708" s="390"/>
      <c r="AK708" s="390"/>
      <c r="AL708" s="390"/>
      <c r="AM708" s="390"/>
      <c r="AN708" s="391"/>
      <c r="AO708" s="390"/>
      <c r="AP708" s="390"/>
      <c r="AQ708" s="390"/>
      <c r="AR708" s="391"/>
      <c r="AS708" s="391"/>
      <c r="AT708" s="390"/>
      <c r="AU708" s="390"/>
      <c r="AV708" s="390"/>
      <c r="AW708" s="390"/>
      <c r="AX708" s="390"/>
      <c r="AY708" s="390"/>
      <c r="AZ708" s="390"/>
      <c r="BA708" s="390"/>
      <c r="BB708" s="390"/>
      <c r="BC708" s="390"/>
      <c r="BD708" s="390"/>
      <c r="BE708" s="390"/>
      <c r="BF708" s="390"/>
      <c r="BG708" s="391"/>
      <c r="BH708" s="390"/>
      <c r="BI708" s="390"/>
    </row>
    <row r="709" spans="1:61" s="46" customFormat="1" x14ac:dyDescent="0.3">
      <c r="A709" s="317"/>
      <c r="B709" s="312"/>
      <c r="C709" s="428"/>
      <c r="D709" s="372"/>
      <c r="E709" s="390"/>
      <c r="F709" s="391"/>
      <c r="G709" s="391"/>
      <c r="H709" s="390"/>
      <c r="I709" s="390"/>
      <c r="J709" s="390"/>
      <c r="K709" s="390"/>
      <c r="L709" s="390"/>
      <c r="M709" s="390"/>
      <c r="N709" s="390"/>
      <c r="O709" s="390"/>
      <c r="P709" s="390"/>
      <c r="Q709" s="390"/>
      <c r="R709" s="390"/>
      <c r="S709" s="390"/>
      <c r="T709" s="390"/>
      <c r="U709" s="391"/>
      <c r="V709" s="390"/>
      <c r="W709" s="390"/>
      <c r="X709" s="390"/>
      <c r="Y709" s="391"/>
      <c r="Z709" s="391"/>
      <c r="AA709" s="390"/>
      <c r="AB709" s="390"/>
      <c r="AC709" s="390"/>
      <c r="AD709" s="390"/>
      <c r="AE709" s="390"/>
      <c r="AF709" s="390"/>
      <c r="AG709" s="390"/>
      <c r="AH709" s="390"/>
      <c r="AI709" s="390"/>
      <c r="AJ709" s="390"/>
      <c r="AK709" s="390"/>
      <c r="AL709" s="390"/>
      <c r="AM709" s="390"/>
      <c r="AN709" s="391"/>
      <c r="AO709" s="390"/>
      <c r="AP709" s="390"/>
      <c r="AQ709" s="390"/>
      <c r="AR709" s="391"/>
      <c r="AS709" s="391"/>
      <c r="AT709" s="390"/>
      <c r="AU709" s="390"/>
      <c r="AV709" s="390"/>
      <c r="AW709" s="390"/>
      <c r="AX709" s="390"/>
      <c r="AY709" s="390"/>
      <c r="AZ709" s="390"/>
      <c r="BA709" s="390"/>
      <c r="BB709" s="390"/>
      <c r="BC709" s="390"/>
      <c r="BD709" s="390"/>
      <c r="BE709" s="390"/>
      <c r="BF709" s="390"/>
      <c r="BG709" s="391"/>
      <c r="BH709" s="390"/>
      <c r="BI709" s="390"/>
    </row>
    <row r="710" spans="1:61" s="46" customFormat="1" x14ac:dyDescent="0.3">
      <c r="A710" s="317"/>
      <c r="B710" s="312"/>
      <c r="C710" s="428"/>
      <c r="D710" s="372"/>
      <c r="E710" s="390"/>
      <c r="F710" s="391"/>
      <c r="G710" s="391"/>
      <c r="H710" s="390"/>
      <c r="I710" s="390"/>
      <c r="J710" s="390"/>
      <c r="K710" s="390"/>
      <c r="L710" s="390"/>
      <c r="M710" s="390"/>
      <c r="N710" s="390"/>
      <c r="O710" s="390"/>
      <c r="P710" s="390"/>
      <c r="Q710" s="390"/>
      <c r="R710" s="390"/>
      <c r="S710" s="390"/>
      <c r="T710" s="390"/>
      <c r="U710" s="391"/>
      <c r="V710" s="390"/>
      <c r="W710" s="390"/>
      <c r="X710" s="390"/>
      <c r="Y710" s="391"/>
      <c r="Z710" s="391"/>
      <c r="AA710" s="390"/>
      <c r="AB710" s="390"/>
      <c r="AC710" s="390"/>
      <c r="AD710" s="390"/>
      <c r="AE710" s="390"/>
      <c r="AF710" s="390"/>
      <c r="AG710" s="390"/>
      <c r="AH710" s="390"/>
      <c r="AI710" s="390"/>
      <c r="AJ710" s="390"/>
      <c r="AK710" s="390"/>
      <c r="AL710" s="390"/>
      <c r="AM710" s="390"/>
      <c r="AN710" s="391"/>
      <c r="AO710" s="390"/>
      <c r="AP710" s="390"/>
      <c r="AQ710" s="390"/>
      <c r="AR710" s="391"/>
      <c r="AS710" s="391"/>
      <c r="AT710" s="390"/>
      <c r="AU710" s="390"/>
      <c r="AV710" s="390"/>
      <c r="AW710" s="390"/>
      <c r="AX710" s="390"/>
      <c r="AY710" s="390"/>
      <c r="AZ710" s="390"/>
      <c r="BA710" s="390"/>
      <c r="BB710" s="390"/>
      <c r="BC710" s="390"/>
      <c r="BD710" s="390"/>
      <c r="BE710" s="390"/>
      <c r="BF710" s="390"/>
      <c r="BG710" s="391"/>
      <c r="BH710" s="390"/>
      <c r="BI710" s="390"/>
    </row>
    <row r="711" spans="1:61" s="46" customFormat="1" x14ac:dyDescent="0.3">
      <c r="A711" s="317"/>
      <c r="B711" s="312"/>
      <c r="C711" s="428"/>
      <c r="D711" s="372"/>
      <c r="E711" s="390"/>
      <c r="F711" s="391"/>
      <c r="G711" s="391"/>
      <c r="H711" s="390"/>
      <c r="I711" s="390"/>
      <c r="J711" s="390"/>
      <c r="K711" s="390"/>
      <c r="L711" s="390"/>
      <c r="M711" s="390"/>
      <c r="N711" s="390"/>
      <c r="O711" s="390"/>
      <c r="P711" s="390"/>
      <c r="Q711" s="390"/>
      <c r="R711" s="390"/>
      <c r="S711" s="390"/>
      <c r="T711" s="390"/>
      <c r="U711" s="391"/>
      <c r="V711" s="390"/>
      <c r="W711" s="390"/>
      <c r="X711" s="390"/>
      <c r="Y711" s="391"/>
      <c r="Z711" s="391"/>
      <c r="AA711" s="390"/>
      <c r="AB711" s="390"/>
      <c r="AC711" s="390"/>
      <c r="AD711" s="390"/>
      <c r="AE711" s="390"/>
      <c r="AF711" s="390"/>
      <c r="AG711" s="390"/>
      <c r="AH711" s="390"/>
      <c r="AI711" s="390"/>
      <c r="AJ711" s="390"/>
      <c r="AK711" s="390"/>
      <c r="AL711" s="390"/>
      <c r="AM711" s="390"/>
      <c r="AN711" s="391"/>
      <c r="AO711" s="390"/>
      <c r="AP711" s="390"/>
      <c r="AQ711" s="390"/>
      <c r="AR711" s="391"/>
      <c r="AS711" s="391"/>
      <c r="AT711" s="390"/>
      <c r="AU711" s="390"/>
      <c r="AV711" s="390"/>
      <c r="AW711" s="390"/>
      <c r="AX711" s="390"/>
      <c r="AY711" s="390"/>
      <c r="AZ711" s="390"/>
      <c r="BA711" s="390"/>
      <c r="BB711" s="390"/>
      <c r="BC711" s="390"/>
      <c r="BD711" s="390"/>
      <c r="BE711" s="390"/>
      <c r="BF711" s="390"/>
      <c r="BG711" s="391"/>
      <c r="BH711" s="390"/>
      <c r="BI711" s="390"/>
    </row>
    <row r="712" spans="1:61" s="46" customFormat="1" x14ac:dyDescent="0.3">
      <c r="A712" s="317"/>
      <c r="B712" s="312"/>
      <c r="C712" s="428"/>
      <c r="D712" s="372"/>
      <c r="E712" s="390"/>
      <c r="F712" s="391"/>
      <c r="G712" s="391"/>
      <c r="H712" s="390"/>
      <c r="I712" s="390"/>
      <c r="J712" s="390"/>
      <c r="K712" s="390"/>
      <c r="L712" s="390"/>
      <c r="M712" s="390"/>
      <c r="N712" s="390"/>
      <c r="O712" s="390"/>
      <c r="P712" s="390"/>
      <c r="Q712" s="390"/>
      <c r="R712" s="390"/>
      <c r="S712" s="390"/>
      <c r="T712" s="390"/>
      <c r="U712" s="391"/>
      <c r="V712" s="390"/>
      <c r="W712" s="390"/>
      <c r="X712" s="390"/>
      <c r="Y712" s="391"/>
      <c r="Z712" s="391"/>
      <c r="AA712" s="390"/>
      <c r="AB712" s="390"/>
      <c r="AC712" s="390"/>
      <c r="AD712" s="390"/>
      <c r="AE712" s="390"/>
      <c r="AF712" s="390"/>
      <c r="AG712" s="390"/>
      <c r="AH712" s="390"/>
      <c r="AI712" s="390"/>
      <c r="AJ712" s="390"/>
      <c r="AK712" s="390"/>
      <c r="AL712" s="390"/>
      <c r="AM712" s="390"/>
      <c r="AN712" s="391"/>
      <c r="AO712" s="390"/>
      <c r="AP712" s="390"/>
      <c r="AQ712" s="390"/>
      <c r="AR712" s="391"/>
      <c r="AS712" s="391"/>
      <c r="AT712" s="390"/>
      <c r="AU712" s="390"/>
      <c r="AV712" s="390"/>
      <c r="AW712" s="390"/>
      <c r="AX712" s="390"/>
      <c r="AY712" s="390"/>
      <c r="AZ712" s="390"/>
      <c r="BA712" s="390"/>
      <c r="BB712" s="390"/>
      <c r="BC712" s="390"/>
      <c r="BD712" s="390"/>
      <c r="BE712" s="390"/>
      <c r="BF712" s="390"/>
      <c r="BG712" s="391"/>
      <c r="BH712" s="390"/>
      <c r="BI712" s="390"/>
    </row>
    <row r="713" spans="1:61" s="46" customFormat="1" x14ac:dyDescent="0.3">
      <c r="A713" s="317"/>
      <c r="B713" s="312"/>
      <c r="C713" s="428"/>
      <c r="D713" s="372"/>
      <c r="E713" s="390"/>
      <c r="F713" s="391"/>
      <c r="G713" s="391"/>
      <c r="H713" s="390"/>
      <c r="I713" s="390"/>
      <c r="J713" s="390"/>
      <c r="K713" s="390"/>
      <c r="L713" s="390"/>
      <c r="M713" s="390"/>
      <c r="N713" s="390"/>
      <c r="O713" s="390"/>
      <c r="P713" s="390"/>
      <c r="Q713" s="390"/>
      <c r="R713" s="390"/>
      <c r="S713" s="390"/>
      <c r="T713" s="390"/>
      <c r="U713" s="391"/>
      <c r="V713" s="390"/>
      <c r="W713" s="390"/>
      <c r="X713" s="390"/>
      <c r="Y713" s="391"/>
      <c r="Z713" s="391"/>
      <c r="AA713" s="390"/>
      <c r="AB713" s="390"/>
      <c r="AC713" s="390"/>
      <c r="AD713" s="390"/>
      <c r="AE713" s="390"/>
      <c r="AF713" s="390"/>
      <c r="AG713" s="390"/>
      <c r="AH713" s="390"/>
      <c r="AI713" s="390"/>
      <c r="AJ713" s="390"/>
      <c r="AK713" s="390"/>
      <c r="AL713" s="390"/>
      <c r="AM713" s="390"/>
      <c r="AN713" s="391"/>
      <c r="AO713" s="390"/>
      <c r="AP713" s="390"/>
      <c r="AQ713" s="390"/>
      <c r="AR713" s="391"/>
      <c r="AS713" s="391"/>
      <c r="AT713" s="390"/>
      <c r="AU713" s="390"/>
      <c r="AV713" s="390"/>
      <c r="AW713" s="390"/>
      <c r="AX713" s="390"/>
      <c r="AY713" s="390"/>
      <c r="AZ713" s="390"/>
      <c r="BA713" s="390"/>
      <c r="BB713" s="390"/>
      <c r="BC713" s="390"/>
      <c r="BD713" s="390"/>
      <c r="BE713" s="390"/>
      <c r="BF713" s="390"/>
      <c r="BG713" s="391"/>
      <c r="BH713" s="390"/>
      <c r="BI713" s="390"/>
    </row>
    <row r="714" spans="1:61" s="46" customFormat="1" x14ac:dyDescent="0.3">
      <c r="A714" s="317"/>
      <c r="B714" s="312"/>
      <c r="C714" s="428"/>
      <c r="D714" s="372"/>
      <c r="E714" s="390"/>
      <c r="F714" s="391"/>
      <c r="G714" s="391"/>
      <c r="H714" s="390"/>
      <c r="I714" s="390"/>
      <c r="J714" s="390"/>
      <c r="K714" s="390"/>
      <c r="L714" s="390"/>
      <c r="M714" s="390"/>
      <c r="N714" s="390"/>
      <c r="O714" s="390"/>
      <c r="P714" s="390"/>
      <c r="Q714" s="390"/>
      <c r="R714" s="390"/>
      <c r="S714" s="390"/>
      <c r="T714" s="390"/>
      <c r="U714" s="391"/>
      <c r="V714" s="390"/>
      <c r="W714" s="390"/>
      <c r="X714" s="390"/>
      <c r="Y714" s="391"/>
      <c r="Z714" s="391"/>
      <c r="AA714" s="390"/>
      <c r="AB714" s="390"/>
      <c r="AC714" s="390"/>
      <c r="AD714" s="390"/>
      <c r="AE714" s="390"/>
      <c r="AF714" s="390"/>
      <c r="AG714" s="390"/>
      <c r="AH714" s="390"/>
      <c r="AI714" s="390"/>
      <c r="AJ714" s="390"/>
      <c r="AK714" s="390"/>
      <c r="AL714" s="390"/>
      <c r="AM714" s="390"/>
      <c r="AN714" s="391"/>
      <c r="AO714" s="390"/>
      <c r="AP714" s="390"/>
      <c r="AQ714" s="390"/>
      <c r="AR714" s="391"/>
      <c r="AS714" s="391"/>
      <c r="AT714" s="390"/>
      <c r="AU714" s="390"/>
      <c r="AV714" s="390"/>
      <c r="AW714" s="390"/>
      <c r="AX714" s="390"/>
      <c r="AY714" s="390"/>
      <c r="AZ714" s="390"/>
      <c r="BA714" s="390"/>
      <c r="BB714" s="390"/>
      <c r="BC714" s="390"/>
      <c r="BD714" s="390"/>
      <c r="BE714" s="390"/>
      <c r="BF714" s="390"/>
      <c r="BG714" s="391"/>
      <c r="BH714" s="390"/>
      <c r="BI714" s="390"/>
    </row>
    <row r="715" spans="1:61" s="46" customFormat="1" x14ac:dyDescent="0.3">
      <c r="A715" s="317"/>
      <c r="B715" s="312"/>
      <c r="C715" s="428"/>
      <c r="D715" s="372"/>
      <c r="E715" s="390"/>
      <c r="F715" s="391"/>
      <c r="G715" s="391"/>
      <c r="H715" s="390"/>
      <c r="I715" s="390"/>
      <c r="J715" s="390"/>
      <c r="K715" s="390"/>
      <c r="L715" s="390"/>
      <c r="M715" s="390"/>
      <c r="N715" s="390"/>
      <c r="O715" s="390"/>
      <c r="P715" s="390"/>
      <c r="Q715" s="390"/>
      <c r="R715" s="390"/>
      <c r="S715" s="390"/>
      <c r="T715" s="390"/>
      <c r="U715" s="391"/>
      <c r="V715" s="390"/>
      <c r="W715" s="390"/>
      <c r="X715" s="390"/>
      <c r="Y715" s="391"/>
      <c r="Z715" s="391"/>
      <c r="AA715" s="390"/>
      <c r="AB715" s="390"/>
      <c r="AC715" s="390"/>
      <c r="AD715" s="390"/>
      <c r="AE715" s="390"/>
      <c r="AF715" s="390"/>
      <c r="AG715" s="390"/>
      <c r="AH715" s="390"/>
      <c r="AI715" s="390"/>
      <c r="AJ715" s="390"/>
      <c r="AK715" s="390"/>
      <c r="AL715" s="390"/>
      <c r="AM715" s="390"/>
      <c r="AN715" s="391"/>
      <c r="AO715" s="390"/>
      <c r="AP715" s="390"/>
      <c r="AQ715" s="390"/>
      <c r="AR715" s="391"/>
      <c r="AS715" s="391"/>
      <c r="AT715" s="390"/>
      <c r="AU715" s="390"/>
      <c r="AV715" s="390"/>
      <c r="AW715" s="390"/>
      <c r="AX715" s="390"/>
      <c r="AY715" s="390"/>
      <c r="AZ715" s="390"/>
      <c r="BA715" s="390"/>
      <c r="BB715" s="390"/>
      <c r="BC715" s="390"/>
      <c r="BD715" s="390"/>
      <c r="BE715" s="390"/>
      <c r="BF715" s="390"/>
      <c r="BG715" s="391"/>
      <c r="BH715" s="390"/>
      <c r="BI715" s="390"/>
    </row>
    <row r="716" spans="1:61" s="46" customFormat="1" x14ac:dyDescent="0.3">
      <c r="A716" s="317"/>
      <c r="B716" s="312"/>
      <c r="C716" s="428"/>
      <c r="D716" s="372"/>
      <c r="E716" s="390"/>
      <c r="F716" s="391"/>
      <c r="G716" s="391"/>
      <c r="H716" s="390"/>
      <c r="I716" s="390"/>
      <c r="J716" s="390"/>
      <c r="K716" s="390"/>
      <c r="L716" s="390"/>
      <c r="M716" s="390"/>
      <c r="N716" s="390"/>
      <c r="O716" s="390"/>
      <c r="P716" s="390"/>
      <c r="Q716" s="390"/>
      <c r="R716" s="390"/>
      <c r="S716" s="390"/>
      <c r="T716" s="390"/>
      <c r="U716" s="391"/>
      <c r="V716" s="390"/>
      <c r="W716" s="390"/>
      <c r="X716" s="390"/>
      <c r="Y716" s="391"/>
      <c r="Z716" s="391"/>
      <c r="AA716" s="390"/>
      <c r="AB716" s="390"/>
      <c r="AC716" s="390"/>
      <c r="AD716" s="390"/>
      <c r="AE716" s="390"/>
      <c r="AF716" s="390"/>
      <c r="AG716" s="390"/>
      <c r="AH716" s="390"/>
      <c r="AI716" s="390"/>
      <c r="AJ716" s="390"/>
      <c r="AK716" s="390"/>
      <c r="AL716" s="390"/>
      <c r="AM716" s="390"/>
      <c r="AN716" s="391"/>
      <c r="AO716" s="390"/>
      <c r="AP716" s="390"/>
      <c r="AQ716" s="390"/>
      <c r="AR716" s="391"/>
      <c r="AS716" s="391"/>
      <c r="AT716" s="390"/>
      <c r="AU716" s="390"/>
      <c r="AV716" s="390"/>
      <c r="AW716" s="390"/>
      <c r="AX716" s="390"/>
      <c r="AY716" s="390"/>
      <c r="AZ716" s="390"/>
      <c r="BA716" s="390"/>
      <c r="BB716" s="390"/>
      <c r="BC716" s="390"/>
      <c r="BD716" s="390"/>
      <c r="BE716" s="390"/>
      <c r="BF716" s="390"/>
      <c r="BG716" s="391"/>
      <c r="BH716" s="390"/>
      <c r="BI716" s="390"/>
    </row>
    <row r="717" spans="1:61" s="46" customFormat="1" x14ac:dyDescent="0.3">
      <c r="A717" s="317"/>
      <c r="B717" s="312"/>
      <c r="C717" s="428"/>
      <c r="D717" s="372"/>
      <c r="E717" s="390"/>
      <c r="F717" s="391"/>
      <c r="G717" s="391"/>
      <c r="H717" s="390"/>
      <c r="I717" s="390"/>
      <c r="J717" s="390"/>
      <c r="K717" s="390"/>
      <c r="L717" s="390"/>
      <c r="M717" s="390"/>
      <c r="N717" s="390"/>
      <c r="O717" s="390"/>
      <c r="P717" s="390"/>
      <c r="Q717" s="390"/>
      <c r="R717" s="390"/>
      <c r="S717" s="390"/>
      <c r="T717" s="390"/>
      <c r="U717" s="391"/>
      <c r="V717" s="390"/>
      <c r="W717" s="390"/>
      <c r="X717" s="390"/>
      <c r="Y717" s="391"/>
      <c r="Z717" s="391"/>
      <c r="AA717" s="390"/>
      <c r="AB717" s="390"/>
      <c r="AC717" s="390"/>
      <c r="AD717" s="390"/>
      <c r="AE717" s="390"/>
      <c r="AF717" s="390"/>
      <c r="AG717" s="390"/>
      <c r="AH717" s="390"/>
      <c r="AI717" s="390"/>
      <c r="AJ717" s="390"/>
      <c r="AK717" s="390"/>
      <c r="AL717" s="390"/>
      <c r="AM717" s="390"/>
      <c r="AN717" s="391"/>
      <c r="AO717" s="390"/>
      <c r="AP717" s="390"/>
      <c r="AQ717" s="390"/>
      <c r="AR717" s="391"/>
      <c r="AS717" s="391"/>
      <c r="AT717" s="390"/>
      <c r="AU717" s="390"/>
      <c r="AV717" s="390"/>
      <c r="AW717" s="390"/>
      <c r="AX717" s="390"/>
      <c r="AY717" s="390"/>
      <c r="AZ717" s="390"/>
      <c r="BA717" s="390"/>
      <c r="BB717" s="390"/>
      <c r="BC717" s="390"/>
      <c r="BD717" s="390"/>
      <c r="BE717" s="390"/>
      <c r="BF717" s="390"/>
      <c r="BG717" s="391"/>
      <c r="BH717" s="390"/>
      <c r="BI717" s="390"/>
    </row>
    <row r="718" spans="1:61" s="46" customFormat="1" x14ac:dyDescent="0.3">
      <c r="A718" s="317"/>
      <c r="B718" s="312"/>
      <c r="C718" s="428"/>
      <c r="D718" s="372"/>
      <c r="E718" s="390"/>
      <c r="F718" s="391"/>
      <c r="G718" s="391"/>
      <c r="H718" s="390"/>
      <c r="I718" s="390"/>
      <c r="J718" s="390"/>
      <c r="K718" s="390"/>
      <c r="L718" s="390"/>
      <c r="M718" s="390"/>
      <c r="N718" s="390"/>
      <c r="O718" s="390"/>
      <c r="P718" s="390"/>
      <c r="Q718" s="390"/>
      <c r="R718" s="390"/>
      <c r="S718" s="390"/>
      <c r="T718" s="390"/>
      <c r="U718" s="391"/>
      <c r="V718" s="390"/>
      <c r="W718" s="390"/>
      <c r="X718" s="390"/>
      <c r="Y718" s="391"/>
      <c r="Z718" s="391"/>
      <c r="AA718" s="390"/>
      <c r="AB718" s="390"/>
      <c r="AC718" s="390"/>
      <c r="AD718" s="390"/>
      <c r="AE718" s="390"/>
      <c r="AF718" s="390"/>
      <c r="AG718" s="390"/>
      <c r="AH718" s="390"/>
      <c r="AI718" s="390"/>
      <c r="AJ718" s="390"/>
      <c r="AK718" s="390"/>
      <c r="AL718" s="390"/>
      <c r="AM718" s="390"/>
      <c r="AN718" s="391"/>
      <c r="AO718" s="390"/>
      <c r="AP718" s="390"/>
      <c r="AQ718" s="390"/>
      <c r="AR718" s="391"/>
      <c r="AS718" s="391"/>
      <c r="AT718" s="390"/>
      <c r="AU718" s="390"/>
      <c r="AV718" s="390"/>
      <c r="AW718" s="390"/>
      <c r="AX718" s="390"/>
      <c r="AY718" s="390"/>
      <c r="AZ718" s="390"/>
      <c r="BA718" s="390"/>
      <c r="BB718" s="390"/>
      <c r="BC718" s="390"/>
      <c r="BD718" s="390"/>
      <c r="BE718" s="390"/>
      <c r="BF718" s="390"/>
      <c r="BG718" s="391"/>
      <c r="BH718" s="390"/>
      <c r="BI718" s="390"/>
    </row>
    <row r="719" spans="1:61" s="46" customFormat="1" x14ac:dyDescent="0.3">
      <c r="A719" s="317"/>
      <c r="B719" s="312"/>
      <c r="C719" s="428"/>
      <c r="D719" s="372"/>
      <c r="E719" s="390"/>
      <c r="F719" s="391"/>
      <c r="G719" s="391"/>
      <c r="H719" s="390"/>
      <c r="I719" s="390"/>
      <c r="J719" s="390"/>
      <c r="K719" s="390"/>
      <c r="L719" s="390"/>
      <c r="M719" s="390"/>
      <c r="N719" s="390"/>
      <c r="O719" s="390"/>
      <c r="P719" s="390"/>
      <c r="Q719" s="390"/>
      <c r="R719" s="390"/>
      <c r="S719" s="390"/>
      <c r="T719" s="390"/>
      <c r="U719" s="391"/>
      <c r="V719" s="390"/>
      <c r="W719" s="390"/>
      <c r="X719" s="390"/>
      <c r="Y719" s="391"/>
      <c r="Z719" s="391"/>
      <c r="AA719" s="390"/>
      <c r="AB719" s="390"/>
      <c r="AC719" s="390"/>
      <c r="AD719" s="390"/>
      <c r="AE719" s="390"/>
      <c r="AF719" s="390"/>
      <c r="AG719" s="390"/>
      <c r="AH719" s="390"/>
      <c r="AI719" s="390"/>
      <c r="AJ719" s="390"/>
      <c r="AK719" s="390"/>
      <c r="AL719" s="390"/>
      <c r="AM719" s="390"/>
      <c r="AN719" s="391"/>
      <c r="AO719" s="390"/>
      <c r="AP719" s="390"/>
      <c r="AQ719" s="390"/>
      <c r="AR719" s="391"/>
      <c r="AS719" s="391"/>
      <c r="AT719" s="390"/>
      <c r="AU719" s="390"/>
      <c r="AV719" s="390"/>
      <c r="AW719" s="390"/>
      <c r="AX719" s="390"/>
      <c r="AY719" s="390"/>
      <c r="AZ719" s="390"/>
      <c r="BA719" s="390"/>
      <c r="BB719" s="390"/>
      <c r="BC719" s="390"/>
      <c r="BD719" s="390"/>
      <c r="BE719" s="390"/>
      <c r="BF719" s="390"/>
      <c r="BG719" s="391"/>
      <c r="BH719" s="390"/>
      <c r="BI719" s="390"/>
    </row>
    <row r="720" spans="1:61" s="46" customFormat="1" x14ac:dyDescent="0.3">
      <c r="A720" s="317"/>
      <c r="B720" s="312"/>
      <c r="C720" s="428"/>
      <c r="D720" s="372"/>
      <c r="E720" s="390"/>
      <c r="F720" s="391"/>
      <c r="G720" s="391"/>
      <c r="H720" s="390"/>
      <c r="I720" s="390"/>
      <c r="J720" s="390"/>
      <c r="K720" s="390"/>
      <c r="L720" s="390"/>
      <c r="M720" s="390"/>
      <c r="N720" s="390"/>
      <c r="O720" s="390"/>
      <c r="P720" s="390"/>
      <c r="Q720" s="390"/>
      <c r="R720" s="390"/>
      <c r="S720" s="390"/>
      <c r="T720" s="390"/>
      <c r="U720" s="391"/>
      <c r="V720" s="390"/>
      <c r="W720" s="390"/>
      <c r="X720" s="390"/>
      <c r="Y720" s="391"/>
      <c r="Z720" s="391"/>
      <c r="AA720" s="390"/>
      <c r="AB720" s="390"/>
      <c r="AC720" s="390"/>
      <c r="AD720" s="390"/>
      <c r="AE720" s="390"/>
      <c r="AF720" s="390"/>
      <c r="AG720" s="390"/>
      <c r="AH720" s="390"/>
      <c r="AI720" s="390"/>
      <c r="AJ720" s="390"/>
      <c r="AK720" s="390"/>
      <c r="AL720" s="390"/>
      <c r="AM720" s="390"/>
      <c r="AN720" s="391"/>
      <c r="AO720" s="390"/>
      <c r="AP720" s="390"/>
      <c r="AQ720" s="390"/>
      <c r="AR720" s="391"/>
      <c r="AS720" s="391"/>
      <c r="AT720" s="390"/>
      <c r="AU720" s="390"/>
      <c r="AV720" s="390"/>
      <c r="AW720" s="390"/>
      <c r="AX720" s="390"/>
      <c r="AY720" s="390"/>
      <c r="AZ720" s="390"/>
      <c r="BA720" s="390"/>
      <c r="BB720" s="390"/>
      <c r="BC720" s="390"/>
      <c r="BD720" s="390"/>
      <c r="BE720" s="390"/>
      <c r="BF720" s="390"/>
      <c r="BG720" s="391"/>
      <c r="BH720" s="390"/>
      <c r="BI720" s="390"/>
    </row>
    <row r="721" spans="1:61" s="46" customFormat="1" x14ac:dyDescent="0.3">
      <c r="A721" s="317"/>
      <c r="B721" s="312"/>
      <c r="C721" s="428"/>
      <c r="D721" s="372"/>
      <c r="E721" s="390"/>
      <c r="F721" s="391"/>
      <c r="G721" s="391"/>
      <c r="H721" s="390"/>
      <c r="I721" s="390"/>
      <c r="J721" s="390"/>
      <c r="K721" s="390"/>
      <c r="L721" s="390"/>
      <c r="M721" s="390"/>
      <c r="N721" s="390"/>
      <c r="O721" s="390"/>
      <c r="P721" s="390"/>
      <c r="Q721" s="390"/>
      <c r="R721" s="390"/>
      <c r="S721" s="390"/>
      <c r="T721" s="390"/>
      <c r="U721" s="391"/>
      <c r="V721" s="390"/>
      <c r="W721" s="390"/>
      <c r="X721" s="390"/>
      <c r="Y721" s="391"/>
      <c r="Z721" s="391"/>
      <c r="AA721" s="390"/>
      <c r="AB721" s="390"/>
      <c r="AC721" s="390"/>
      <c r="AD721" s="390"/>
      <c r="AE721" s="390"/>
      <c r="AF721" s="390"/>
      <c r="AG721" s="390"/>
      <c r="AH721" s="390"/>
      <c r="AI721" s="390"/>
      <c r="AJ721" s="390"/>
      <c r="AK721" s="390"/>
      <c r="AL721" s="390"/>
      <c r="AM721" s="390"/>
      <c r="AN721" s="391"/>
      <c r="AO721" s="390"/>
      <c r="AP721" s="390"/>
      <c r="AQ721" s="390"/>
      <c r="AR721" s="391"/>
      <c r="AS721" s="391"/>
      <c r="AT721" s="390"/>
      <c r="AU721" s="390"/>
      <c r="AV721" s="390"/>
      <c r="AW721" s="390"/>
      <c r="AX721" s="390"/>
      <c r="AY721" s="390"/>
      <c r="AZ721" s="390"/>
      <c r="BA721" s="390"/>
      <c r="BB721" s="390"/>
      <c r="BC721" s="390"/>
      <c r="BD721" s="390"/>
      <c r="BE721" s="390"/>
      <c r="BF721" s="390"/>
      <c r="BG721" s="391"/>
      <c r="BH721" s="390"/>
      <c r="BI721" s="390"/>
    </row>
    <row r="722" spans="1:61" s="46" customFormat="1" x14ac:dyDescent="0.3">
      <c r="A722" s="317"/>
      <c r="B722" s="312"/>
      <c r="C722" s="428"/>
      <c r="D722" s="372"/>
      <c r="E722" s="390"/>
      <c r="F722" s="391"/>
      <c r="G722" s="391"/>
      <c r="H722" s="390"/>
      <c r="I722" s="390"/>
      <c r="J722" s="390"/>
      <c r="K722" s="390"/>
      <c r="L722" s="390"/>
      <c r="M722" s="390"/>
      <c r="N722" s="390"/>
      <c r="O722" s="390"/>
      <c r="P722" s="390"/>
      <c r="Q722" s="390"/>
      <c r="R722" s="390"/>
      <c r="S722" s="390"/>
      <c r="T722" s="390"/>
      <c r="U722" s="391"/>
      <c r="V722" s="390"/>
      <c r="W722" s="390"/>
      <c r="X722" s="390"/>
      <c r="Y722" s="391"/>
      <c r="Z722" s="391"/>
      <c r="AA722" s="390"/>
      <c r="AB722" s="390"/>
      <c r="AC722" s="390"/>
      <c r="AD722" s="390"/>
      <c r="AE722" s="390"/>
      <c r="AF722" s="390"/>
      <c r="AG722" s="390"/>
      <c r="AH722" s="390"/>
      <c r="AI722" s="390"/>
      <c r="AJ722" s="390"/>
      <c r="AK722" s="390"/>
      <c r="AL722" s="390"/>
      <c r="AM722" s="390"/>
      <c r="AN722" s="391"/>
      <c r="AO722" s="390"/>
      <c r="AP722" s="390"/>
      <c r="AQ722" s="390"/>
      <c r="AR722" s="391"/>
      <c r="AS722" s="391"/>
      <c r="AT722" s="390"/>
      <c r="AU722" s="390"/>
      <c r="AV722" s="390"/>
      <c r="AW722" s="390"/>
      <c r="AX722" s="390"/>
      <c r="AY722" s="390"/>
      <c r="AZ722" s="390"/>
      <c r="BA722" s="390"/>
      <c r="BB722" s="390"/>
      <c r="BC722" s="390"/>
      <c r="BD722" s="390"/>
      <c r="BE722" s="390"/>
      <c r="BF722" s="390"/>
      <c r="BG722" s="391"/>
      <c r="BH722" s="390"/>
      <c r="BI722" s="390"/>
    </row>
    <row r="723" spans="1:61" s="46" customFormat="1" x14ac:dyDescent="0.3">
      <c r="A723" s="317"/>
      <c r="B723" s="312"/>
      <c r="C723" s="428"/>
      <c r="D723" s="372"/>
      <c r="E723" s="390"/>
      <c r="F723" s="391"/>
      <c r="G723" s="391"/>
      <c r="H723" s="390"/>
      <c r="I723" s="390"/>
      <c r="J723" s="390"/>
      <c r="K723" s="390"/>
      <c r="L723" s="390"/>
      <c r="M723" s="390"/>
      <c r="N723" s="390"/>
      <c r="O723" s="390"/>
      <c r="P723" s="390"/>
      <c r="Q723" s="390"/>
      <c r="R723" s="390"/>
      <c r="S723" s="390"/>
      <c r="T723" s="390"/>
      <c r="U723" s="391"/>
      <c r="V723" s="390"/>
      <c r="W723" s="390"/>
      <c r="X723" s="390"/>
      <c r="Y723" s="391"/>
      <c r="Z723" s="391"/>
      <c r="AA723" s="390"/>
      <c r="AB723" s="390"/>
      <c r="AC723" s="390"/>
      <c r="AD723" s="390"/>
      <c r="AE723" s="390"/>
      <c r="AF723" s="390"/>
      <c r="AG723" s="390"/>
      <c r="AH723" s="390"/>
      <c r="AI723" s="390"/>
      <c r="AJ723" s="390"/>
      <c r="AK723" s="390"/>
      <c r="AL723" s="390"/>
      <c r="AM723" s="390"/>
      <c r="AN723" s="391"/>
      <c r="AO723" s="390"/>
      <c r="AP723" s="390"/>
      <c r="AQ723" s="390"/>
      <c r="AR723" s="391"/>
      <c r="AS723" s="391"/>
      <c r="AT723" s="390"/>
      <c r="AU723" s="390"/>
      <c r="AV723" s="390"/>
      <c r="AW723" s="390"/>
      <c r="AX723" s="390"/>
      <c r="AY723" s="390"/>
      <c r="AZ723" s="390"/>
      <c r="BA723" s="390"/>
      <c r="BB723" s="390"/>
      <c r="BC723" s="390"/>
      <c r="BD723" s="390"/>
      <c r="BE723" s="390"/>
      <c r="BF723" s="390"/>
      <c r="BG723" s="391"/>
      <c r="BH723" s="390"/>
      <c r="BI723" s="390"/>
    </row>
    <row r="724" spans="1:61" s="46" customFormat="1" x14ac:dyDescent="0.3">
      <c r="A724" s="317"/>
      <c r="B724" s="312"/>
      <c r="C724" s="428"/>
      <c r="D724" s="372"/>
      <c r="E724" s="390"/>
      <c r="F724" s="391"/>
      <c r="G724" s="391"/>
      <c r="H724" s="390"/>
      <c r="I724" s="390"/>
      <c r="J724" s="390"/>
      <c r="K724" s="390"/>
      <c r="L724" s="390"/>
      <c r="M724" s="390"/>
      <c r="N724" s="390"/>
      <c r="O724" s="390"/>
      <c r="P724" s="390"/>
      <c r="Q724" s="390"/>
      <c r="R724" s="390"/>
      <c r="S724" s="390"/>
      <c r="T724" s="390"/>
      <c r="U724" s="391"/>
      <c r="V724" s="390"/>
      <c r="W724" s="390"/>
      <c r="X724" s="390"/>
      <c r="Y724" s="391"/>
      <c r="Z724" s="391"/>
      <c r="AA724" s="390"/>
      <c r="AB724" s="390"/>
      <c r="AC724" s="390"/>
      <c r="AD724" s="390"/>
      <c r="AE724" s="390"/>
      <c r="AF724" s="390"/>
      <c r="AG724" s="390"/>
      <c r="AH724" s="390"/>
      <c r="AI724" s="390"/>
      <c r="AJ724" s="390"/>
      <c r="AK724" s="390"/>
      <c r="AL724" s="390"/>
      <c r="AM724" s="390"/>
      <c r="AN724" s="391"/>
      <c r="AO724" s="390"/>
      <c r="AP724" s="390"/>
      <c r="AQ724" s="390"/>
      <c r="AR724" s="391"/>
      <c r="AS724" s="391"/>
      <c r="AT724" s="390"/>
      <c r="AU724" s="390"/>
      <c r="AV724" s="390"/>
      <c r="AW724" s="390"/>
      <c r="AX724" s="390"/>
      <c r="AY724" s="390"/>
      <c r="AZ724" s="390"/>
      <c r="BA724" s="390"/>
      <c r="BB724" s="390"/>
      <c r="BC724" s="390"/>
      <c r="BD724" s="390"/>
      <c r="BE724" s="390"/>
      <c r="BF724" s="390"/>
      <c r="BG724" s="391"/>
      <c r="BH724" s="390"/>
      <c r="BI724" s="390"/>
    </row>
    <row r="725" spans="1:61" s="46" customFormat="1" x14ac:dyDescent="0.3">
      <c r="A725" s="317"/>
      <c r="B725" s="312"/>
      <c r="C725" s="428"/>
      <c r="D725" s="372"/>
      <c r="E725" s="390"/>
      <c r="F725" s="391"/>
      <c r="G725" s="391"/>
      <c r="H725" s="390"/>
      <c r="I725" s="390"/>
      <c r="J725" s="390"/>
      <c r="K725" s="390"/>
      <c r="L725" s="390"/>
      <c r="M725" s="390"/>
      <c r="N725" s="390"/>
      <c r="O725" s="390"/>
      <c r="P725" s="390"/>
      <c r="Q725" s="390"/>
      <c r="R725" s="390"/>
      <c r="S725" s="390"/>
      <c r="T725" s="390"/>
      <c r="U725" s="391"/>
      <c r="V725" s="390"/>
      <c r="W725" s="390"/>
      <c r="X725" s="390"/>
      <c r="Y725" s="391"/>
      <c r="Z725" s="391"/>
      <c r="AA725" s="390"/>
      <c r="AB725" s="390"/>
      <c r="AC725" s="390"/>
      <c r="AD725" s="390"/>
      <c r="AE725" s="390"/>
      <c r="AF725" s="390"/>
      <c r="AG725" s="390"/>
      <c r="AH725" s="390"/>
      <c r="AI725" s="390"/>
      <c r="AJ725" s="390"/>
      <c r="AK725" s="390"/>
      <c r="AL725" s="390"/>
      <c r="AM725" s="390"/>
      <c r="AN725" s="391"/>
      <c r="AO725" s="390"/>
      <c r="AP725" s="390"/>
      <c r="AQ725" s="390"/>
      <c r="AR725" s="391"/>
      <c r="AS725" s="391"/>
      <c r="AT725" s="390"/>
      <c r="AU725" s="390"/>
      <c r="AV725" s="390"/>
      <c r="AW725" s="390"/>
      <c r="AX725" s="390"/>
      <c r="AY725" s="390"/>
      <c r="AZ725" s="390"/>
      <c r="BA725" s="390"/>
      <c r="BB725" s="390"/>
      <c r="BC725" s="390"/>
      <c r="BD725" s="390"/>
      <c r="BE725" s="390"/>
      <c r="BF725" s="390"/>
      <c r="BG725" s="391"/>
      <c r="BH725" s="390"/>
      <c r="BI725" s="390"/>
    </row>
    <row r="726" spans="1:61" s="46" customFormat="1" x14ac:dyDescent="0.3">
      <c r="A726" s="317"/>
      <c r="B726" s="312"/>
      <c r="C726" s="428"/>
      <c r="D726" s="372"/>
      <c r="E726" s="390"/>
      <c r="F726" s="391"/>
      <c r="G726" s="391"/>
      <c r="H726" s="390"/>
      <c r="I726" s="390"/>
      <c r="J726" s="390"/>
      <c r="K726" s="390"/>
      <c r="L726" s="390"/>
      <c r="M726" s="390"/>
      <c r="N726" s="390"/>
      <c r="O726" s="390"/>
      <c r="P726" s="390"/>
      <c r="Q726" s="390"/>
      <c r="R726" s="390"/>
      <c r="S726" s="390"/>
      <c r="T726" s="390"/>
      <c r="U726" s="391"/>
      <c r="V726" s="390"/>
      <c r="W726" s="390"/>
      <c r="X726" s="390"/>
      <c r="Y726" s="391"/>
      <c r="Z726" s="391"/>
      <c r="AA726" s="390"/>
      <c r="AB726" s="390"/>
      <c r="AC726" s="390"/>
      <c r="AD726" s="390"/>
      <c r="AE726" s="390"/>
      <c r="AF726" s="390"/>
      <c r="AG726" s="390"/>
      <c r="AH726" s="390"/>
      <c r="AI726" s="390"/>
      <c r="AJ726" s="390"/>
      <c r="AK726" s="390"/>
      <c r="AL726" s="390"/>
      <c r="AM726" s="390"/>
      <c r="AN726" s="391"/>
      <c r="AO726" s="390"/>
      <c r="AP726" s="390"/>
      <c r="AQ726" s="390"/>
      <c r="AR726" s="391"/>
      <c r="AS726" s="391"/>
      <c r="AT726" s="390"/>
      <c r="AU726" s="390"/>
      <c r="AV726" s="390"/>
      <c r="AW726" s="390"/>
      <c r="AX726" s="390"/>
      <c r="AY726" s="390"/>
      <c r="AZ726" s="390"/>
      <c r="BA726" s="390"/>
      <c r="BB726" s="390"/>
      <c r="BC726" s="390"/>
      <c r="BD726" s="390"/>
      <c r="BE726" s="390"/>
      <c r="BF726" s="390"/>
      <c r="BG726" s="391"/>
      <c r="BH726" s="390"/>
      <c r="BI726" s="390"/>
    </row>
    <row r="727" spans="1:61" s="46" customFormat="1" x14ac:dyDescent="0.3">
      <c r="A727" s="317"/>
      <c r="B727" s="312"/>
      <c r="C727" s="428"/>
      <c r="D727" s="372"/>
      <c r="E727" s="390"/>
      <c r="F727" s="391"/>
      <c r="G727" s="391"/>
      <c r="H727" s="390"/>
      <c r="I727" s="390"/>
      <c r="J727" s="390"/>
      <c r="K727" s="390"/>
      <c r="L727" s="390"/>
      <c r="M727" s="390"/>
      <c r="N727" s="390"/>
      <c r="O727" s="390"/>
      <c r="P727" s="390"/>
      <c r="Q727" s="390"/>
      <c r="R727" s="390"/>
      <c r="S727" s="390"/>
      <c r="T727" s="390"/>
      <c r="U727" s="391"/>
      <c r="V727" s="390"/>
      <c r="W727" s="390"/>
      <c r="X727" s="390"/>
      <c r="Y727" s="391"/>
      <c r="Z727" s="391"/>
      <c r="AA727" s="390"/>
      <c r="AB727" s="390"/>
      <c r="AC727" s="390"/>
      <c r="AD727" s="390"/>
      <c r="AE727" s="390"/>
      <c r="AF727" s="390"/>
      <c r="AG727" s="390"/>
      <c r="AH727" s="390"/>
      <c r="AI727" s="390"/>
      <c r="AJ727" s="390"/>
      <c r="AK727" s="390"/>
      <c r="AL727" s="390"/>
      <c r="AM727" s="390"/>
      <c r="AN727" s="391"/>
      <c r="AO727" s="390"/>
      <c r="AP727" s="390"/>
      <c r="AQ727" s="390"/>
      <c r="AR727" s="391"/>
      <c r="AS727" s="391"/>
      <c r="AT727" s="390"/>
      <c r="AU727" s="390"/>
      <c r="AV727" s="390"/>
      <c r="AW727" s="390"/>
      <c r="AX727" s="390"/>
      <c r="AY727" s="390"/>
      <c r="AZ727" s="390"/>
      <c r="BA727" s="390"/>
      <c r="BB727" s="390"/>
      <c r="BC727" s="390"/>
      <c r="BD727" s="390"/>
      <c r="BE727" s="390"/>
      <c r="BF727" s="390"/>
      <c r="BG727" s="391"/>
      <c r="BH727" s="390"/>
      <c r="BI727" s="390"/>
    </row>
    <row r="728" spans="1:61" s="46" customFormat="1" x14ac:dyDescent="0.3">
      <c r="A728" s="317"/>
      <c r="B728" s="312"/>
      <c r="C728" s="428"/>
      <c r="D728" s="372"/>
      <c r="E728" s="390"/>
      <c r="F728" s="391"/>
      <c r="G728" s="391"/>
      <c r="H728" s="390"/>
      <c r="I728" s="390"/>
      <c r="J728" s="390"/>
      <c r="K728" s="390"/>
      <c r="L728" s="390"/>
      <c r="M728" s="390"/>
      <c r="N728" s="390"/>
      <c r="O728" s="390"/>
      <c r="P728" s="390"/>
      <c r="Q728" s="390"/>
      <c r="R728" s="390"/>
      <c r="S728" s="390"/>
      <c r="T728" s="390"/>
      <c r="U728" s="391"/>
      <c r="V728" s="390"/>
      <c r="W728" s="390"/>
      <c r="X728" s="390"/>
      <c r="Y728" s="391"/>
      <c r="Z728" s="391"/>
      <c r="AA728" s="390"/>
      <c r="AB728" s="390"/>
      <c r="AC728" s="390"/>
      <c r="AD728" s="390"/>
      <c r="AE728" s="390"/>
      <c r="AF728" s="390"/>
      <c r="AG728" s="390"/>
      <c r="AH728" s="390"/>
      <c r="AI728" s="390"/>
      <c r="AJ728" s="390"/>
      <c r="AK728" s="390"/>
      <c r="AL728" s="390"/>
      <c r="AM728" s="390"/>
      <c r="AN728" s="391"/>
      <c r="AO728" s="390"/>
      <c r="AP728" s="390"/>
      <c r="AQ728" s="390"/>
      <c r="AR728" s="391"/>
      <c r="AS728" s="391"/>
      <c r="AT728" s="390"/>
      <c r="AU728" s="390"/>
      <c r="AV728" s="390"/>
      <c r="AW728" s="390"/>
      <c r="AX728" s="390"/>
      <c r="AY728" s="390"/>
      <c r="AZ728" s="390"/>
      <c r="BA728" s="390"/>
      <c r="BB728" s="390"/>
      <c r="BC728" s="390"/>
      <c r="BD728" s="390"/>
      <c r="BE728" s="390"/>
      <c r="BF728" s="390"/>
      <c r="BG728" s="391"/>
      <c r="BH728" s="390"/>
      <c r="BI728" s="390"/>
    </row>
    <row r="729" spans="1:61" s="46" customFormat="1" x14ac:dyDescent="0.3">
      <c r="A729" s="317"/>
      <c r="B729" s="312"/>
      <c r="C729" s="428"/>
      <c r="D729" s="372"/>
      <c r="E729" s="390"/>
      <c r="F729" s="391"/>
      <c r="G729" s="391"/>
      <c r="H729" s="390"/>
      <c r="I729" s="390"/>
      <c r="J729" s="390"/>
      <c r="K729" s="390"/>
      <c r="L729" s="390"/>
      <c r="M729" s="390"/>
      <c r="N729" s="390"/>
      <c r="O729" s="390"/>
      <c r="P729" s="390"/>
      <c r="Q729" s="390"/>
      <c r="R729" s="390"/>
      <c r="S729" s="390"/>
      <c r="T729" s="390"/>
      <c r="U729" s="391"/>
      <c r="V729" s="390"/>
      <c r="W729" s="390"/>
      <c r="X729" s="390"/>
      <c r="Y729" s="391"/>
      <c r="Z729" s="391"/>
      <c r="AA729" s="390"/>
      <c r="AB729" s="390"/>
      <c r="AC729" s="390"/>
      <c r="AD729" s="390"/>
      <c r="AE729" s="390"/>
      <c r="AF729" s="390"/>
      <c r="AG729" s="390"/>
      <c r="AH729" s="390"/>
      <c r="AI729" s="390"/>
      <c r="AJ729" s="390"/>
      <c r="AK729" s="390"/>
      <c r="AL729" s="390"/>
      <c r="AM729" s="390"/>
      <c r="AN729" s="391"/>
      <c r="AO729" s="390"/>
      <c r="AP729" s="390"/>
      <c r="AQ729" s="390"/>
      <c r="AR729" s="391"/>
      <c r="AS729" s="391"/>
      <c r="AT729" s="390"/>
      <c r="AU729" s="390"/>
      <c r="AV729" s="390"/>
      <c r="AW729" s="390"/>
      <c r="AX729" s="390"/>
      <c r="AY729" s="390"/>
      <c r="AZ729" s="390"/>
      <c r="BA729" s="390"/>
      <c r="BB729" s="390"/>
      <c r="BC729" s="390"/>
      <c r="BD729" s="390"/>
      <c r="BE729" s="390"/>
      <c r="BF729" s="390"/>
      <c r="BG729" s="391"/>
      <c r="BH729" s="390"/>
      <c r="BI729" s="390"/>
    </row>
    <row r="730" spans="1:61" s="46" customFormat="1" x14ac:dyDescent="0.3">
      <c r="A730" s="317"/>
      <c r="B730" s="312"/>
      <c r="C730" s="428"/>
      <c r="D730" s="372"/>
      <c r="E730" s="390"/>
      <c r="F730" s="391"/>
      <c r="G730" s="391"/>
      <c r="H730" s="390"/>
      <c r="I730" s="390"/>
      <c r="J730" s="390"/>
      <c r="K730" s="390"/>
      <c r="L730" s="390"/>
      <c r="M730" s="390"/>
      <c r="N730" s="390"/>
      <c r="O730" s="390"/>
      <c r="P730" s="390"/>
      <c r="Q730" s="390"/>
      <c r="R730" s="390"/>
      <c r="S730" s="390"/>
      <c r="T730" s="390"/>
      <c r="U730" s="391"/>
      <c r="V730" s="390"/>
      <c r="W730" s="390"/>
      <c r="X730" s="390"/>
      <c r="Y730" s="391"/>
      <c r="Z730" s="391"/>
      <c r="AA730" s="390"/>
      <c r="AB730" s="390"/>
      <c r="AC730" s="390"/>
      <c r="AD730" s="390"/>
      <c r="AE730" s="390"/>
      <c r="AF730" s="390"/>
      <c r="AG730" s="390"/>
      <c r="AH730" s="390"/>
      <c r="AI730" s="390"/>
      <c r="AJ730" s="390"/>
      <c r="AK730" s="390"/>
      <c r="AL730" s="390"/>
      <c r="AM730" s="390"/>
      <c r="AN730" s="391"/>
      <c r="AO730" s="390"/>
      <c r="AP730" s="390"/>
      <c r="AQ730" s="390"/>
      <c r="AR730" s="391"/>
      <c r="AS730" s="391"/>
      <c r="AT730" s="390"/>
      <c r="AU730" s="390"/>
      <c r="AV730" s="390"/>
      <c r="AW730" s="390"/>
      <c r="AX730" s="390"/>
      <c r="AY730" s="390"/>
      <c r="AZ730" s="390"/>
      <c r="BA730" s="390"/>
      <c r="BB730" s="390"/>
      <c r="BC730" s="390"/>
      <c r="BD730" s="390"/>
      <c r="BE730" s="390"/>
      <c r="BF730" s="390"/>
      <c r="BG730" s="391"/>
      <c r="BH730" s="390"/>
      <c r="BI730" s="390"/>
    </row>
    <row r="731" spans="1:61" s="46" customFormat="1" x14ac:dyDescent="0.3">
      <c r="A731" s="317"/>
      <c r="B731" s="312"/>
      <c r="C731" s="428"/>
      <c r="D731" s="372"/>
      <c r="E731" s="390"/>
      <c r="F731" s="391"/>
      <c r="G731" s="391"/>
      <c r="H731" s="390"/>
      <c r="I731" s="390"/>
      <c r="J731" s="390"/>
      <c r="K731" s="390"/>
      <c r="L731" s="390"/>
      <c r="M731" s="390"/>
      <c r="N731" s="390"/>
      <c r="O731" s="390"/>
      <c r="P731" s="390"/>
      <c r="Q731" s="390"/>
      <c r="R731" s="390"/>
      <c r="S731" s="390"/>
      <c r="T731" s="390"/>
      <c r="U731" s="391"/>
      <c r="V731" s="390"/>
      <c r="W731" s="390"/>
      <c r="X731" s="390"/>
      <c r="Y731" s="391"/>
      <c r="Z731" s="391"/>
      <c r="AA731" s="390"/>
      <c r="AB731" s="390"/>
      <c r="AC731" s="390"/>
      <c r="AD731" s="390"/>
      <c r="AE731" s="390"/>
      <c r="AF731" s="390"/>
      <c r="AG731" s="390"/>
      <c r="AH731" s="390"/>
      <c r="AI731" s="390"/>
      <c r="AJ731" s="390"/>
      <c r="AK731" s="390"/>
      <c r="AL731" s="390"/>
      <c r="AM731" s="390"/>
      <c r="AN731" s="391"/>
      <c r="AO731" s="390"/>
      <c r="AP731" s="390"/>
      <c r="AQ731" s="390"/>
      <c r="AR731" s="391"/>
      <c r="AS731" s="391"/>
      <c r="AT731" s="390"/>
      <c r="AU731" s="390"/>
      <c r="AV731" s="390"/>
      <c r="AW731" s="390"/>
      <c r="AX731" s="390"/>
      <c r="AY731" s="390"/>
      <c r="AZ731" s="390"/>
      <c r="BA731" s="390"/>
      <c r="BB731" s="390"/>
      <c r="BC731" s="390"/>
      <c r="BD731" s="390"/>
      <c r="BE731" s="390"/>
      <c r="BF731" s="390"/>
      <c r="BG731" s="391"/>
      <c r="BH731" s="390"/>
      <c r="BI731" s="390"/>
    </row>
    <row r="732" spans="1:61" s="46" customFormat="1" x14ac:dyDescent="0.3">
      <c r="A732" s="317"/>
      <c r="B732" s="312"/>
      <c r="C732" s="428"/>
      <c r="D732" s="372"/>
      <c r="E732" s="390"/>
      <c r="F732" s="391"/>
      <c r="G732" s="391"/>
      <c r="H732" s="390"/>
      <c r="I732" s="390"/>
      <c r="J732" s="390"/>
      <c r="K732" s="390"/>
      <c r="L732" s="390"/>
      <c r="M732" s="390"/>
      <c r="N732" s="390"/>
      <c r="O732" s="390"/>
      <c r="P732" s="390"/>
      <c r="Q732" s="390"/>
      <c r="R732" s="390"/>
      <c r="S732" s="390"/>
      <c r="T732" s="390"/>
      <c r="U732" s="391"/>
      <c r="V732" s="390"/>
      <c r="W732" s="390"/>
      <c r="X732" s="390"/>
      <c r="Y732" s="391"/>
      <c r="Z732" s="391"/>
      <c r="AA732" s="390"/>
      <c r="AB732" s="390"/>
      <c r="AC732" s="390"/>
      <c r="AD732" s="390"/>
      <c r="AE732" s="390"/>
      <c r="AF732" s="390"/>
      <c r="AG732" s="390"/>
      <c r="AH732" s="390"/>
      <c r="AI732" s="390"/>
      <c r="AJ732" s="390"/>
      <c r="AK732" s="390"/>
      <c r="AL732" s="390"/>
      <c r="AM732" s="390"/>
      <c r="AN732" s="391"/>
      <c r="AO732" s="390"/>
      <c r="AP732" s="390"/>
      <c r="AQ732" s="390"/>
      <c r="AR732" s="391"/>
      <c r="AS732" s="391"/>
      <c r="AT732" s="390"/>
      <c r="AU732" s="390"/>
      <c r="AV732" s="390"/>
      <c r="AW732" s="390"/>
      <c r="AX732" s="390"/>
      <c r="AY732" s="390"/>
      <c r="AZ732" s="390"/>
      <c r="BA732" s="390"/>
      <c r="BB732" s="390"/>
      <c r="BC732" s="390"/>
      <c r="BD732" s="390"/>
      <c r="BE732" s="390"/>
      <c r="BF732" s="390"/>
      <c r="BG732" s="391"/>
      <c r="BH732" s="390"/>
      <c r="BI732" s="390"/>
    </row>
    <row r="733" spans="1:61" s="46" customFormat="1" x14ac:dyDescent="0.3">
      <c r="A733" s="317"/>
      <c r="B733" s="312"/>
      <c r="C733" s="428"/>
      <c r="D733" s="372"/>
      <c r="E733" s="390"/>
      <c r="F733" s="391"/>
      <c r="G733" s="391"/>
      <c r="H733" s="390"/>
      <c r="I733" s="390"/>
      <c r="J733" s="390"/>
      <c r="K733" s="390"/>
      <c r="L733" s="390"/>
      <c r="M733" s="390"/>
      <c r="N733" s="390"/>
      <c r="O733" s="390"/>
      <c r="P733" s="390"/>
      <c r="Q733" s="390"/>
      <c r="R733" s="390"/>
      <c r="S733" s="390"/>
      <c r="T733" s="390"/>
      <c r="U733" s="391"/>
      <c r="V733" s="390"/>
      <c r="W733" s="390"/>
      <c r="X733" s="390"/>
      <c r="Y733" s="391"/>
      <c r="Z733" s="391"/>
      <c r="AA733" s="390"/>
      <c r="AB733" s="390"/>
      <c r="AC733" s="390"/>
      <c r="AD733" s="390"/>
      <c r="AE733" s="390"/>
      <c r="AF733" s="390"/>
      <c r="AG733" s="390"/>
      <c r="AH733" s="390"/>
      <c r="AI733" s="390"/>
      <c r="AJ733" s="390"/>
      <c r="AK733" s="390"/>
      <c r="AL733" s="390"/>
      <c r="AM733" s="390"/>
      <c r="AN733" s="391"/>
      <c r="AO733" s="390"/>
      <c r="AP733" s="390"/>
      <c r="AQ733" s="390"/>
      <c r="AR733" s="391"/>
      <c r="AS733" s="391"/>
      <c r="AT733" s="390"/>
      <c r="AU733" s="390"/>
      <c r="AV733" s="390"/>
      <c r="AW733" s="390"/>
      <c r="AX733" s="390"/>
      <c r="AY733" s="390"/>
      <c r="AZ733" s="390"/>
      <c r="BA733" s="390"/>
      <c r="BB733" s="390"/>
      <c r="BC733" s="390"/>
      <c r="BD733" s="390"/>
      <c r="BE733" s="390"/>
      <c r="BF733" s="390"/>
      <c r="BG733" s="391"/>
      <c r="BH733" s="390"/>
      <c r="BI733" s="390"/>
    </row>
    <row r="734" spans="1:61" s="46" customFormat="1" x14ac:dyDescent="0.3">
      <c r="A734" s="317"/>
      <c r="B734" s="312"/>
      <c r="C734" s="428"/>
      <c r="D734" s="372"/>
      <c r="E734" s="390"/>
      <c r="F734" s="391"/>
      <c r="G734" s="391"/>
      <c r="H734" s="390"/>
      <c r="I734" s="390"/>
      <c r="J734" s="390"/>
      <c r="K734" s="390"/>
      <c r="L734" s="390"/>
      <c r="M734" s="390"/>
      <c r="N734" s="390"/>
      <c r="O734" s="390"/>
      <c r="P734" s="390"/>
      <c r="Q734" s="390"/>
      <c r="R734" s="390"/>
      <c r="S734" s="390"/>
      <c r="T734" s="390"/>
      <c r="U734" s="391"/>
      <c r="V734" s="390"/>
      <c r="W734" s="390"/>
      <c r="X734" s="390"/>
      <c r="Y734" s="391"/>
      <c r="Z734" s="391"/>
      <c r="AA734" s="390"/>
      <c r="AB734" s="390"/>
      <c r="AC734" s="390"/>
      <c r="AD734" s="390"/>
      <c r="AE734" s="390"/>
      <c r="AF734" s="390"/>
      <c r="AG734" s="390"/>
      <c r="AH734" s="390"/>
      <c r="AI734" s="390"/>
      <c r="AJ734" s="390"/>
      <c r="AK734" s="390"/>
      <c r="AL734" s="390"/>
      <c r="AM734" s="390"/>
      <c r="AN734" s="391"/>
      <c r="AO734" s="390"/>
      <c r="AP734" s="390"/>
      <c r="AQ734" s="390"/>
      <c r="AR734" s="391"/>
      <c r="AS734" s="391"/>
      <c r="AT734" s="390"/>
      <c r="AU734" s="390"/>
      <c r="AV734" s="390"/>
      <c r="AW734" s="390"/>
      <c r="AX734" s="390"/>
      <c r="AY734" s="390"/>
      <c r="AZ734" s="390"/>
      <c r="BA734" s="390"/>
      <c r="BB734" s="390"/>
      <c r="BC734" s="390"/>
      <c r="BD734" s="390"/>
      <c r="BE734" s="390"/>
      <c r="BF734" s="390"/>
      <c r="BG734" s="391"/>
      <c r="BH734" s="390"/>
      <c r="BI734" s="390"/>
    </row>
    <row r="735" spans="1:61" s="46" customFormat="1" x14ac:dyDescent="0.3">
      <c r="A735" s="317"/>
      <c r="B735" s="312"/>
      <c r="C735" s="428"/>
      <c r="D735" s="372"/>
      <c r="E735" s="390"/>
      <c r="F735" s="391"/>
      <c r="G735" s="391"/>
      <c r="H735" s="390"/>
      <c r="I735" s="390"/>
      <c r="J735" s="390"/>
      <c r="K735" s="390"/>
      <c r="L735" s="390"/>
      <c r="M735" s="390"/>
      <c r="N735" s="390"/>
      <c r="O735" s="390"/>
      <c r="P735" s="390"/>
      <c r="Q735" s="390"/>
      <c r="R735" s="390"/>
      <c r="S735" s="390"/>
      <c r="T735" s="390"/>
      <c r="U735" s="391"/>
      <c r="V735" s="390"/>
      <c r="W735" s="390"/>
      <c r="X735" s="390"/>
      <c r="Y735" s="391"/>
      <c r="Z735" s="391"/>
      <c r="AA735" s="390"/>
      <c r="AB735" s="390"/>
      <c r="AC735" s="390"/>
      <c r="AD735" s="390"/>
      <c r="AE735" s="390"/>
      <c r="AF735" s="390"/>
      <c r="AG735" s="390"/>
      <c r="AH735" s="390"/>
      <c r="AI735" s="390"/>
      <c r="AJ735" s="390"/>
      <c r="AK735" s="390"/>
      <c r="AL735" s="390"/>
      <c r="AM735" s="390"/>
      <c r="AN735" s="391"/>
      <c r="AO735" s="390"/>
      <c r="AP735" s="390"/>
      <c r="AQ735" s="390"/>
      <c r="AR735" s="391"/>
      <c r="AS735" s="391"/>
      <c r="AT735" s="390"/>
      <c r="AU735" s="390"/>
      <c r="AV735" s="390"/>
      <c r="AW735" s="390"/>
      <c r="AX735" s="390"/>
      <c r="AY735" s="390"/>
      <c r="AZ735" s="390"/>
      <c r="BA735" s="390"/>
      <c r="BB735" s="390"/>
      <c r="BC735" s="390"/>
      <c r="BD735" s="390"/>
      <c r="BE735" s="390"/>
      <c r="BF735" s="390"/>
      <c r="BG735" s="391"/>
      <c r="BH735" s="390"/>
      <c r="BI735" s="390"/>
    </row>
    <row r="736" spans="1:61" s="46" customFormat="1" x14ac:dyDescent="0.3">
      <c r="A736" s="317"/>
      <c r="B736" s="312"/>
      <c r="C736" s="428"/>
      <c r="D736" s="372"/>
      <c r="E736" s="390"/>
      <c r="F736" s="391"/>
      <c r="G736" s="391"/>
      <c r="H736" s="390"/>
      <c r="I736" s="390"/>
      <c r="J736" s="390"/>
      <c r="K736" s="390"/>
      <c r="L736" s="390"/>
      <c r="M736" s="390"/>
      <c r="N736" s="390"/>
      <c r="O736" s="390"/>
      <c r="P736" s="390"/>
      <c r="Q736" s="390"/>
      <c r="R736" s="390"/>
      <c r="S736" s="390"/>
      <c r="T736" s="390"/>
      <c r="U736" s="391"/>
      <c r="V736" s="390"/>
      <c r="W736" s="390"/>
      <c r="X736" s="390"/>
      <c r="Y736" s="391"/>
      <c r="Z736" s="391"/>
      <c r="AA736" s="390"/>
      <c r="AB736" s="390"/>
      <c r="AC736" s="390"/>
      <c r="AD736" s="390"/>
      <c r="AE736" s="390"/>
      <c r="AF736" s="390"/>
      <c r="AG736" s="390"/>
      <c r="AH736" s="390"/>
      <c r="AI736" s="390"/>
      <c r="AJ736" s="390"/>
      <c r="AK736" s="390"/>
      <c r="AL736" s="390"/>
      <c r="AM736" s="390"/>
      <c r="AN736" s="391"/>
      <c r="AO736" s="390"/>
      <c r="AP736" s="390"/>
      <c r="AQ736" s="390"/>
      <c r="AR736" s="391"/>
      <c r="AS736" s="391"/>
      <c r="AT736" s="390"/>
      <c r="AU736" s="390"/>
      <c r="AV736" s="390"/>
      <c r="AW736" s="390"/>
      <c r="AX736" s="390"/>
      <c r="AY736" s="390"/>
      <c r="AZ736" s="390"/>
      <c r="BA736" s="390"/>
      <c r="BB736" s="390"/>
      <c r="BC736" s="390"/>
      <c r="BD736" s="390"/>
      <c r="BE736" s="390"/>
      <c r="BF736" s="390"/>
      <c r="BG736" s="391"/>
      <c r="BH736" s="390"/>
      <c r="BI736" s="390"/>
    </row>
    <row r="737" spans="1:61" s="46" customFormat="1" x14ac:dyDescent="0.3">
      <c r="A737" s="317"/>
      <c r="B737" s="390"/>
      <c r="C737" s="437"/>
      <c r="D737" s="372"/>
      <c r="E737" s="390"/>
      <c r="F737" s="391"/>
      <c r="G737" s="391"/>
      <c r="H737" s="390"/>
      <c r="I737" s="390"/>
      <c r="J737" s="390"/>
      <c r="K737" s="390"/>
      <c r="L737" s="390"/>
      <c r="M737" s="390"/>
      <c r="N737" s="390"/>
      <c r="O737" s="390"/>
      <c r="P737" s="390"/>
      <c r="Q737" s="390"/>
      <c r="R737" s="390"/>
      <c r="S737" s="390"/>
      <c r="T737" s="390"/>
      <c r="U737" s="391"/>
      <c r="V737" s="390"/>
      <c r="W737" s="390"/>
      <c r="X737" s="390"/>
      <c r="Y737" s="391"/>
      <c r="Z737" s="391"/>
      <c r="AA737" s="390"/>
      <c r="AB737" s="390"/>
      <c r="AC737" s="390"/>
      <c r="AD737" s="390"/>
      <c r="AE737" s="390"/>
      <c r="AF737" s="390"/>
      <c r="AG737" s="390"/>
      <c r="AH737" s="390"/>
      <c r="AI737" s="390"/>
      <c r="AJ737" s="390"/>
      <c r="AK737" s="390"/>
      <c r="AL737" s="390"/>
      <c r="AM737" s="390"/>
      <c r="AN737" s="391"/>
      <c r="AO737" s="390"/>
      <c r="AP737" s="390"/>
      <c r="AQ737" s="390"/>
      <c r="AR737" s="391"/>
      <c r="AS737" s="391"/>
      <c r="AT737" s="390"/>
      <c r="AU737" s="390"/>
      <c r="AV737" s="390"/>
      <c r="AW737" s="390"/>
      <c r="AX737" s="390"/>
      <c r="AY737" s="390"/>
      <c r="AZ737" s="390"/>
      <c r="BA737" s="390"/>
      <c r="BB737" s="390"/>
      <c r="BC737" s="390"/>
      <c r="BD737" s="390"/>
      <c r="BE737" s="390"/>
      <c r="BF737" s="390"/>
      <c r="BG737" s="391"/>
      <c r="BH737" s="390"/>
      <c r="BI737" s="390"/>
    </row>
    <row r="738" spans="1:61" s="46" customFormat="1" x14ac:dyDescent="0.3">
      <c r="A738" s="317"/>
      <c r="B738" s="390"/>
      <c r="C738" s="437"/>
      <c r="D738" s="372"/>
      <c r="E738" s="390"/>
      <c r="F738" s="391"/>
      <c r="G738" s="391"/>
      <c r="H738" s="390"/>
      <c r="I738" s="390"/>
      <c r="J738" s="390"/>
      <c r="K738" s="390"/>
      <c r="L738" s="390"/>
      <c r="M738" s="390"/>
      <c r="N738" s="390"/>
      <c r="O738" s="390"/>
      <c r="P738" s="390"/>
      <c r="Q738" s="390"/>
      <c r="R738" s="390"/>
      <c r="S738" s="390"/>
      <c r="T738" s="390"/>
      <c r="U738" s="391"/>
      <c r="V738" s="390"/>
      <c r="W738" s="390"/>
      <c r="X738" s="390"/>
      <c r="Y738" s="391"/>
      <c r="Z738" s="391"/>
      <c r="AA738" s="390"/>
      <c r="AB738" s="390"/>
      <c r="AC738" s="390"/>
      <c r="AD738" s="390"/>
      <c r="AE738" s="390"/>
      <c r="AF738" s="390"/>
      <c r="AG738" s="390"/>
      <c r="AH738" s="390"/>
      <c r="AI738" s="390"/>
      <c r="AJ738" s="390"/>
      <c r="AK738" s="390"/>
      <c r="AL738" s="390"/>
      <c r="AM738" s="390"/>
      <c r="AN738" s="391"/>
      <c r="AO738" s="390"/>
      <c r="AP738" s="390"/>
      <c r="AQ738" s="390"/>
      <c r="AR738" s="391"/>
      <c r="AS738" s="391"/>
      <c r="AT738" s="390"/>
      <c r="AU738" s="390"/>
      <c r="AV738" s="390"/>
      <c r="AW738" s="390"/>
      <c r="AX738" s="390"/>
      <c r="AY738" s="390"/>
      <c r="AZ738" s="390"/>
      <c r="BA738" s="390"/>
      <c r="BB738" s="390"/>
      <c r="BC738" s="390"/>
      <c r="BD738" s="390"/>
      <c r="BE738" s="390"/>
      <c r="BF738" s="390"/>
      <c r="BG738" s="391"/>
      <c r="BH738" s="390"/>
      <c r="BI738" s="390"/>
    </row>
    <row r="739" spans="1:61" s="46" customFormat="1" x14ac:dyDescent="0.3">
      <c r="A739" s="317"/>
      <c r="B739" s="390"/>
      <c r="C739" s="437"/>
      <c r="D739" s="372"/>
      <c r="E739" s="390"/>
      <c r="F739" s="391"/>
      <c r="G739" s="391"/>
      <c r="H739" s="390"/>
      <c r="I739" s="390"/>
      <c r="J739" s="390"/>
      <c r="K739" s="390"/>
      <c r="L739" s="390"/>
      <c r="M739" s="390"/>
      <c r="N739" s="390"/>
      <c r="O739" s="390"/>
      <c r="P739" s="390"/>
      <c r="Q739" s="390"/>
      <c r="R739" s="390"/>
      <c r="S739" s="390"/>
      <c r="T739" s="390"/>
      <c r="U739" s="391"/>
      <c r="V739" s="390"/>
      <c r="W739" s="390"/>
      <c r="X739" s="390"/>
      <c r="Y739" s="391"/>
      <c r="Z739" s="391"/>
      <c r="AA739" s="390"/>
      <c r="AB739" s="390"/>
      <c r="AC739" s="390"/>
      <c r="AD739" s="390"/>
      <c r="AE739" s="390"/>
      <c r="AF739" s="390"/>
      <c r="AG739" s="390"/>
      <c r="AH739" s="390"/>
      <c r="AI739" s="390"/>
      <c r="AJ739" s="390"/>
      <c r="AK739" s="390"/>
      <c r="AL739" s="390"/>
      <c r="AM739" s="390"/>
      <c r="AN739" s="391"/>
      <c r="AO739" s="390"/>
      <c r="AP739" s="390"/>
      <c r="AQ739" s="390"/>
      <c r="AR739" s="391"/>
      <c r="AS739" s="391"/>
      <c r="AT739" s="390"/>
      <c r="AU739" s="390"/>
      <c r="AV739" s="390"/>
      <c r="AW739" s="390"/>
      <c r="AX739" s="390"/>
      <c r="AY739" s="390"/>
      <c r="AZ739" s="390"/>
      <c r="BA739" s="390"/>
      <c r="BB739" s="390"/>
      <c r="BC739" s="390"/>
      <c r="BD739" s="390"/>
      <c r="BE739" s="390"/>
      <c r="BF739" s="390"/>
      <c r="BG739" s="391"/>
      <c r="BH739" s="390"/>
      <c r="BI739" s="390"/>
    </row>
    <row r="740" spans="1:61" s="46" customFormat="1" x14ac:dyDescent="0.3">
      <c r="A740" s="317"/>
      <c r="B740" s="390"/>
      <c r="C740" s="437"/>
      <c r="D740" s="372"/>
      <c r="E740" s="390"/>
      <c r="F740" s="391"/>
      <c r="G740" s="391"/>
      <c r="H740" s="390"/>
      <c r="I740" s="390"/>
      <c r="J740" s="390"/>
      <c r="K740" s="390"/>
      <c r="L740" s="390"/>
      <c r="M740" s="390"/>
      <c r="N740" s="390"/>
      <c r="O740" s="390"/>
      <c r="P740" s="390"/>
      <c r="Q740" s="390"/>
      <c r="R740" s="390"/>
      <c r="S740" s="390"/>
      <c r="T740" s="390"/>
      <c r="U740" s="391"/>
      <c r="V740" s="390"/>
      <c r="W740" s="390"/>
      <c r="X740" s="390"/>
      <c r="Y740" s="391"/>
      <c r="Z740" s="391"/>
      <c r="AA740" s="390"/>
      <c r="AB740" s="390"/>
      <c r="AC740" s="390"/>
      <c r="AD740" s="390"/>
      <c r="AE740" s="390"/>
      <c r="AF740" s="390"/>
      <c r="AG740" s="390"/>
      <c r="AH740" s="390"/>
      <c r="AI740" s="390"/>
      <c r="AJ740" s="390"/>
      <c r="AK740" s="390"/>
      <c r="AL740" s="390"/>
      <c r="AM740" s="390"/>
      <c r="AN740" s="391"/>
      <c r="AO740" s="390"/>
      <c r="AP740" s="390"/>
      <c r="AQ740" s="390"/>
      <c r="AR740" s="391"/>
      <c r="AS740" s="391"/>
      <c r="AT740" s="390"/>
      <c r="AU740" s="390"/>
      <c r="AV740" s="390"/>
      <c r="AW740" s="390"/>
      <c r="AX740" s="390"/>
      <c r="AY740" s="390"/>
      <c r="AZ740" s="390"/>
      <c r="BA740" s="390"/>
      <c r="BB740" s="390"/>
      <c r="BC740" s="390"/>
      <c r="BD740" s="390"/>
      <c r="BE740" s="390"/>
      <c r="BF740" s="390"/>
      <c r="BG740" s="391"/>
      <c r="BH740" s="390"/>
      <c r="BI740" s="390"/>
    </row>
    <row r="741" spans="1:61" s="46" customFormat="1" x14ac:dyDescent="0.3">
      <c r="A741" s="317"/>
      <c r="B741" s="312"/>
      <c r="C741" s="428"/>
      <c r="D741" s="372"/>
      <c r="E741" s="390"/>
      <c r="F741" s="391"/>
      <c r="G741" s="391"/>
      <c r="H741" s="390"/>
      <c r="I741" s="390"/>
      <c r="J741" s="390"/>
      <c r="K741" s="390"/>
      <c r="L741" s="390"/>
      <c r="M741" s="390"/>
      <c r="N741" s="390"/>
      <c r="O741" s="390"/>
      <c r="P741" s="390"/>
      <c r="Q741" s="390"/>
      <c r="R741" s="390"/>
      <c r="S741" s="390"/>
      <c r="T741" s="390"/>
      <c r="U741" s="391"/>
      <c r="V741" s="390"/>
      <c r="W741" s="390"/>
      <c r="X741" s="390"/>
      <c r="Y741" s="391"/>
      <c r="Z741" s="391"/>
      <c r="AA741" s="390"/>
      <c r="AB741" s="390"/>
      <c r="AC741" s="390"/>
      <c r="AD741" s="390"/>
      <c r="AE741" s="390"/>
      <c r="AF741" s="390"/>
      <c r="AG741" s="390"/>
      <c r="AH741" s="390"/>
      <c r="AI741" s="390"/>
      <c r="AJ741" s="390"/>
      <c r="AK741" s="390"/>
      <c r="AL741" s="390"/>
      <c r="AM741" s="390"/>
      <c r="AN741" s="391"/>
      <c r="AO741" s="390"/>
      <c r="AP741" s="390"/>
      <c r="AQ741" s="390"/>
      <c r="AR741" s="391"/>
      <c r="AS741" s="391"/>
      <c r="AT741" s="390"/>
      <c r="AU741" s="390"/>
      <c r="AV741" s="390"/>
      <c r="AW741" s="390"/>
      <c r="AX741" s="390"/>
      <c r="AY741" s="390"/>
      <c r="AZ741" s="390"/>
      <c r="BA741" s="390"/>
      <c r="BB741" s="390"/>
      <c r="BC741" s="390"/>
      <c r="BD741" s="390"/>
      <c r="BE741" s="390"/>
      <c r="BF741" s="390"/>
      <c r="BG741" s="391"/>
      <c r="BH741" s="390"/>
      <c r="BI741" s="390"/>
    </row>
    <row r="742" spans="1:61" s="46" customFormat="1" x14ac:dyDescent="0.3">
      <c r="A742" s="317"/>
      <c r="B742" s="312"/>
      <c r="C742" s="428"/>
      <c r="D742" s="372"/>
      <c r="E742" s="390"/>
      <c r="F742" s="391"/>
      <c r="G742" s="391"/>
      <c r="H742" s="390"/>
      <c r="I742" s="390"/>
      <c r="J742" s="390"/>
      <c r="K742" s="390"/>
      <c r="L742" s="390"/>
      <c r="M742" s="390"/>
      <c r="N742" s="390"/>
      <c r="O742" s="390"/>
      <c r="P742" s="390"/>
      <c r="Q742" s="390"/>
      <c r="R742" s="390"/>
      <c r="S742" s="390"/>
      <c r="T742" s="390"/>
      <c r="U742" s="391"/>
      <c r="V742" s="390"/>
      <c r="W742" s="390"/>
      <c r="X742" s="390"/>
      <c r="Y742" s="391"/>
      <c r="Z742" s="391"/>
      <c r="AA742" s="390"/>
      <c r="AB742" s="390"/>
      <c r="AC742" s="390"/>
      <c r="AD742" s="390"/>
      <c r="AE742" s="390"/>
      <c r="AF742" s="390"/>
      <c r="AG742" s="390"/>
      <c r="AH742" s="390"/>
      <c r="AI742" s="390"/>
      <c r="AJ742" s="390"/>
      <c r="AK742" s="390"/>
      <c r="AL742" s="390"/>
      <c r="AM742" s="390"/>
      <c r="AN742" s="391"/>
      <c r="AO742" s="390"/>
      <c r="AP742" s="390"/>
      <c r="AQ742" s="390"/>
      <c r="AR742" s="391"/>
      <c r="AS742" s="391"/>
      <c r="AT742" s="390"/>
      <c r="AU742" s="390"/>
      <c r="AV742" s="390"/>
      <c r="AW742" s="390"/>
      <c r="AX742" s="390"/>
      <c r="AY742" s="390"/>
      <c r="AZ742" s="390"/>
      <c r="BA742" s="390"/>
      <c r="BB742" s="390"/>
      <c r="BC742" s="390"/>
      <c r="BD742" s="390"/>
      <c r="BE742" s="390"/>
      <c r="BF742" s="390"/>
      <c r="BG742" s="391"/>
      <c r="BH742" s="390"/>
      <c r="BI742" s="390"/>
    </row>
    <row r="743" spans="1:61" s="46" customFormat="1" x14ac:dyDescent="0.3">
      <c r="A743" s="317"/>
      <c r="B743" s="312"/>
      <c r="C743" s="428"/>
      <c r="D743" s="372"/>
      <c r="E743" s="390"/>
      <c r="F743" s="391"/>
      <c r="G743" s="391"/>
      <c r="H743" s="390"/>
      <c r="I743" s="390"/>
      <c r="J743" s="390"/>
      <c r="K743" s="390"/>
      <c r="L743" s="390"/>
      <c r="M743" s="390"/>
      <c r="N743" s="390"/>
      <c r="O743" s="390"/>
      <c r="P743" s="390"/>
      <c r="Q743" s="390"/>
      <c r="R743" s="390"/>
      <c r="S743" s="390"/>
      <c r="T743" s="390"/>
      <c r="U743" s="391"/>
      <c r="V743" s="390"/>
      <c r="W743" s="390"/>
      <c r="X743" s="390"/>
      <c r="Y743" s="391"/>
      <c r="Z743" s="391"/>
      <c r="AA743" s="390"/>
      <c r="AB743" s="390"/>
      <c r="AC743" s="390"/>
      <c r="AD743" s="390"/>
      <c r="AE743" s="390"/>
      <c r="AF743" s="390"/>
      <c r="AG743" s="390"/>
      <c r="AH743" s="390"/>
      <c r="AI743" s="390"/>
      <c r="AJ743" s="390"/>
      <c r="AK743" s="390"/>
      <c r="AL743" s="390"/>
      <c r="AM743" s="390"/>
      <c r="AN743" s="391"/>
      <c r="AO743" s="390"/>
      <c r="AP743" s="390"/>
      <c r="AQ743" s="390"/>
      <c r="AR743" s="391"/>
      <c r="AS743" s="391"/>
      <c r="AT743" s="390"/>
      <c r="AU743" s="390"/>
      <c r="AV743" s="390"/>
      <c r="AW743" s="390"/>
      <c r="AX743" s="390"/>
      <c r="AY743" s="390"/>
      <c r="AZ743" s="390"/>
      <c r="BA743" s="390"/>
      <c r="BB743" s="390"/>
      <c r="BC743" s="390"/>
      <c r="BD743" s="390"/>
      <c r="BE743" s="390"/>
      <c r="BF743" s="390"/>
      <c r="BG743" s="391"/>
      <c r="BH743" s="390"/>
      <c r="BI743" s="390"/>
    </row>
    <row r="744" spans="1:61" s="46" customFormat="1" x14ac:dyDescent="0.3">
      <c r="A744" s="317"/>
      <c r="B744" s="312"/>
      <c r="C744" s="428"/>
      <c r="D744" s="372"/>
      <c r="E744" s="390"/>
      <c r="F744" s="391"/>
      <c r="G744" s="391"/>
      <c r="H744" s="390"/>
      <c r="I744" s="390"/>
      <c r="J744" s="390"/>
      <c r="K744" s="390"/>
      <c r="L744" s="390"/>
      <c r="M744" s="390"/>
      <c r="N744" s="390"/>
      <c r="O744" s="390"/>
      <c r="P744" s="390"/>
      <c r="Q744" s="390"/>
      <c r="R744" s="390"/>
      <c r="S744" s="390"/>
      <c r="T744" s="390"/>
      <c r="U744" s="391"/>
      <c r="V744" s="390"/>
      <c r="W744" s="390"/>
      <c r="X744" s="390"/>
      <c r="Y744" s="391"/>
      <c r="Z744" s="391"/>
      <c r="AA744" s="390"/>
      <c r="AB744" s="390"/>
      <c r="AC744" s="390"/>
      <c r="AD744" s="390"/>
      <c r="AE744" s="390"/>
      <c r="AF744" s="390"/>
      <c r="AG744" s="390"/>
      <c r="AH744" s="390"/>
      <c r="AI744" s="390"/>
      <c r="AJ744" s="390"/>
      <c r="AK744" s="390"/>
      <c r="AL744" s="390"/>
      <c r="AM744" s="390"/>
      <c r="AN744" s="391"/>
      <c r="AO744" s="390"/>
      <c r="AP744" s="390"/>
      <c r="AQ744" s="390"/>
      <c r="AR744" s="391"/>
      <c r="AS744" s="391"/>
      <c r="AT744" s="390"/>
      <c r="AU744" s="390"/>
      <c r="AV744" s="390"/>
      <c r="AW744" s="390"/>
      <c r="AX744" s="390"/>
      <c r="AY744" s="390"/>
      <c r="AZ744" s="390"/>
      <c r="BA744" s="390"/>
      <c r="BB744" s="390"/>
      <c r="BC744" s="390"/>
      <c r="BD744" s="390"/>
      <c r="BE744" s="390"/>
      <c r="BF744" s="390"/>
      <c r="BG744" s="391"/>
      <c r="BH744" s="390"/>
      <c r="BI744" s="390"/>
    </row>
    <row r="745" spans="1:61" s="46" customFormat="1" x14ac:dyDescent="0.3">
      <c r="A745" s="317"/>
      <c r="B745" s="312"/>
      <c r="C745" s="428"/>
      <c r="D745" s="372"/>
      <c r="E745" s="390"/>
      <c r="F745" s="391"/>
      <c r="G745" s="391"/>
      <c r="H745" s="390"/>
      <c r="I745" s="390"/>
      <c r="J745" s="390"/>
      <c r="K745" s="390"/>
      <c r="L745" s="390"/>
      <c r="M745" s="390"/>
      <c r="N745" s="390"/>
      <c r="O745" s="390"/>
      <c r="P745" s="390"/>
      <c r="Q745" s="390"/>
      <c r="R745" s="390"/>
      <c r="S745" s="390"/>
      <c r="T745" s="390"/>
      <c r="U745" s="391"/>
      <c r="V745" s="390"/>
      <c r="W745" s="390"/>
      <c r="X745" s="390"/>
      <c r="Y745" s="391"/>
      <c r="Z745" s="391"/>
      <c r="AA745" s="390"/>
      <c r="AB745" s="390"/>
      <c r="AC745" s="390"/>
      <c r="AD745" s="390"/>
      <c r="AE745" s="390"/>
      <c r="AF745" s="390"/>
      <c r="AG745" s="390"/>
      <c r="AH745" s="390"/>
      <c r="AI745" s="390"/>
      <c r="AJ745" s="390"/>
      <c r="AK745" s="390"/>
      <c r="AL745" s="390"/>
      <c r="AM745" s="390"/>
      <c r="AN745" s="391"/>
      <c r="AO745" s="390"/>
      <c r="AP745" s="390"/>
      <c r="AQ745" s="390"/>
      <c r="AR745" s="391"/>
      <c r="AS745" s="391"/>
      <c r="AT745" s="390"/>
      <c r="AU745" s="390"/>
      <c r="AV745" s="390"/>
      <c r="AW745" s="390"/>
      <c r="AX745" s="390"/>
      <c r="AY745" s="390"/>
      <c r="AZ745" s="390"/>
      <c r="BA745" s="390"/>
      <c r="BB745" s="390"/>
      <c r="BC745" s="390"/>
      <c r="BD745" s="390"/>
      <c r="BE745" s="390"/>
      <c r="BF745" s="390"/>
      <c r="BG745" s="391"/>
      <c r="BH745" s="390"/>
      <c r="BI745" s="390"/>
    </row>
    <row r="746" spans="1:61" s="46" customFormat="1" x14ac:dyDescent="0.3">
      <c r="A746" s="317"/>
      <c r="B746" s="312"/>
      <c r="C746" s="428"/>
      <c r="D746" s="372"/>
      <c r="E746" s="390"/>
      <c r="F746" s="391"/>
      <c r="G746" s="391"/>
      <c r="H746" s="390"/>
      <c r="I746" s="390"/>
      <c r="J746" s="390"/>
      <c r="K746" s="390"/>
      <c r="L746" s="390"/>
      <c r="M746" s="390"/>
      <c r="N746" s="390"/>
      <c r="O746" s="390"/>
      <c r="P746" s="390"/>
      <c r="Q746" s="390"/>
      <c r="R746" s="390"/>
      <c r="S746" s="390"/>
      <c r="T746" s="390"/>
      <c r="U746" s="391"/>
      <c r="V746" s="390"/>
      <c r="W746" s="390"/>
      <c r="X746" s="390"/>
      <c r="Y746" s="391"/>
      <c r="Z746" s="391"/>
      <c r="AA746" s="390"/>
      <c r="AB746" s="390"/>
      <c r="AC746" s="390"/>
      <c r="AD746" s="390"/>
      <c r="AE746" s="390"/>
      <c r="AF746" s="390"/>
      <c r="AG746" s="390"/>
      <c r="AH746" s="390"/>
      <c r="AI746" s="390"/>
      <c r="AJ746" s="390"/>
      <c r="AK746" s="390"/>
      <c r="AL746" s="390"/>
      <c r="AM746" s="390"/>
      <c r="AN746" s="391"/>
      <c r="AO746" s="390"/>
      <c r="AP746" s="390"/>
      <c r="AQ746" s="390"/>
      <c r="AR746" s="391"/>
      <c r="AS746" s="391"/>
      <c r="AT746" s="390"/>
      <c r="AU746" s="390"/>
      <c r="AV746" s="390"/>
      <c r="AW746" s="390"/>
      <c r="AX746" s="390"/>
      <c r="AY746" s="390"/>
      <c r="AZ746" s="390"/>
      <c r="BA746" s="390"/>
      <c r="BB746" s="390"/>
      <c r="BC746" s="390"/>
      <c r="BD746" s="390"/>
      <c r="BE746" s="390"/>
      <c r="BF746" s="390"/>
      <c r="BG746" s="391"/>
      <c r="BH746" s="390"/>
      <c r="BI746" s="390"/>
    </row>
    <row r="747" spans="1:61" s="46" customFormat="1" x14ac:dyDescent="0.3">
      <c r="A747" s="317"/>
      <c r="B747" s="312"/>
      <c r="C747" s="428"/>
      <c r="D747" s="372"/>
      <c r="E747" s="390"/>
      <c r="F747" s="391"/>
      <c r="G747" s="391"/>
      <c r="H747" s="390"/>
      <c r="I747" s="390"/>
      <c r="J747" s="390"/>
      <c r="K747" s="390"/>
      <c r="L747" s="390"/>
      <c r="M747" s="390"/>
      <c r="N747" s="390"/>
      <c r="O747" s="390"/>
      <c r="P747" s="390"/>
      <c r="Q747" s="390"/>
      <c r="R747" s="390"/>
      <c r="S747" s="390"/>
      <c r="T747" s="390"/>
      <c r="U747" s="391"/>
      <c r="V747" s="390"/>
      <c r="W747" s="390"/>
      <c r="X747" s="390"/>
      <c r="Y747" s="391"/>
      <c r="Z747" s="391"/>
      <c r="AA747" s="390"/>
      <c r="AB747" s="390"/>
      <c r="AC747" s="390"/>
      <c r="AD747" s="390"/>
      <c r="AE747" s="390"/>
      <c r="AF747" s="390"/>
      <c r="AG747" s="390"/>
      <c r="AH747" s="390"/>
      <c r="AI747" s="390"/>
      <c r="AJ747" s="390"/>
      <c r="AK747" s="390"/>
      <c r="AL747" s="390"/>
      <c r="AM747" s="390"/>
      <c r="AN747" s="391"/>
      <c r="AO747" s="390"/>
      <c r="AP747" s="390"/>
      <c r="AQ747" s="390"/>
      <c r="AR747" s="391"/>
      <c r="AS747" s="391"/>
      <c r="AT747" s="390"/>
      <c r="AU747" s="390"/>
      <c r="AV747" s="390"/>
      <c r="AW747" s="390"/>
      <c r="AX747" s="390"/>
      <c r="AY747" s="390"/>
      <c r="AZ747" s="390"/>
      <c r="BA747" s="390"/>
      <c r="BB747" s="390"/>
      <c r="BC747" s="390"/>
      <c r="BD747" s="390"/>
      <c r="BE747" s="390"/>
      <c r="BF747" s="390"/>
      <c r="BG747" s="391"/>
      <c r="BH747" s="390"/>
      <c r="BI747" s="390"/>
    </row>
    <row r="748" spans="1:61" s="46" customFormat="1" x14ac:dyDescent="0.3">
      <c r="A748" s="317"/>
      <c r="B748" s="312"/>
      <c r="C748" s="428"/>
      <c r="D748" s="372"/>
      <c r="E748" s="390"/>
      <c r="F748" s="391"/>
      <c r="G748" s="391"/>
      <c r="H748" s="390"/>
      <c r="I748" s="390"/>
      <c r="J748" s="390"/>
      <c r="K748" s="390"/>
      <c r="L748" s="390"/>
      <c r="M748" s="390"/>
      <c r="N748" s="390"/>
      <c r="O748" s="390"/>
      <c r="P748" s="390"/>
      <c r="Q748" s="390"/>
      <c r="R748" s="390"/>
      <c r="S748" s="390"/>
      <c r="T748" s="390"/>
      <c r="U748" s="391"/>
      <c r="V748" s="390"/>
      <c r="W748" s="390"/>
      <c r="X748" s="390"/>
      <c r="Y748" s="391"/>
      <c r="Z748" s="391"/>
      <c r="AA748" s="390"/>
      <c r="AB748" s="390"/>
      <c r="AC748" s="390"/>
      <c r="AD748" s="390"/>
      <c r="AE748" s="390"/>
      <c r="AF748" s="390"/>
      <c r="AG748" s="390"/>
      <c r="AH748" s="390"/>
      <c r="AI748" s="390"/>
      <c r="AJ748" s="390"/>
      <c r="AK748" s="390"/>
      <c r="AL748" s="390"/>
      <c r="AM748" s="390"/>
      <c r="AN748" s="391"/>
      <c r="AO748" s="390"/>
      <c r="AP748" s="390"/>
      <c r="AQ748" s="390"/>
      <c r="AR748" s="391"/>
      <c r="AS748" s="391"/>
      <c r="AT748" s="390"/>
      <c r="AU748" s="390"/>
      <c r="AV748" s="390"/>
      <c r="AW748" s="390"/>
      <c r="AX748" s="390"/>
      <c r="AY748" s="390"/>
      <c r="AZ748" s="390"/>
      <c r="BA748" s="390"/>
      <c r="BB748" s="390"/>
      <c r="BC748" s="390"/>
      <c r="BD748" s="390"/>
      <c r="BE748" s="390"/>
      <c r="BF748" s="390"/>
      <c r="BG748" s="391"/>
      <c r="BH748" s="390"/>
      <c r="BI748" s="390"/>
    </row>
    <row r="749" spans="1:61" s="46" customFormat="1" x14ac:dyDescent="0.3">
      <c r="A749" s="317"/>
      <c r="B749" s="312"/>
      <c r="C749" s="428"/>
      <c r="D749" s="372"/>
      <c r="E749" s="390"/>
      <c r="F749" s="391"/>
      <c r="G749" s="391"/>
      <c r="H749" s="390"/>
      <c r="I749" s="390"/>
      <c r="J749" s="390"/>
      <c r="K749" s="390"/>
      <c r="L749" s="390"/>
      <c r="M749" s="390"/>
      <c r="N749" s="390"/>
      <c r="O749" s="390"/>
      <c r="P749" s="390"/>
      <c r="Q749" s="390"/>
      <c r="R749" s="390"/>
      <c r="S749" s="390"/>
      <c r="T749" s="390"/>
      <c r="U749" s="391"/>
      <c r="V749" s="390"/>
      <c r="W749" s="390"/>
      <c r="X749" s="390"/>
      <c r="Y749" s="391"/>
      <c r="Z749" s="391"/>
      <c r="AA749" s="390"/>
      <c r="AB749" s="390"/>
      <c r="AC749" s="390"/>
      <c r="AD749" s="390"/>
      <c r="AE749" s="390"/>
      <c r="AF749" s="390"/>
      <c r="AG749" s="390"/>
      <c r="AH749" s="390"/>
      <c r="AI749" s="390"/>
      <c r="AJ749" s="390"/>
      <c r="AK749" s="390"/>
      <c r="AL749" s="390"/>
      <c r="AM749" s="390"/>
      <c r="AN749" s="391"/>
      <c r="AO749" s="390"/>
      <c r="AP749" s="390"/>
      <c r="AQ749" s="390"/>
      <c r="AR749" s="391"/>
      <c r="AS749" s="391"/>
      <c r="AT749" s="390"/>
      <c r="AU749" s="390"/>
      <c r="AV749" s="390"/>
      <c r="AW749" s="390"/>
      <c r="AX749" s="390"/>
      <c r="AY749" s="390"/>
      <c r="AZ749" s="390"/>
      <c r="BA749" s="390"/>
      <c r="BB749" s="390"/>
      <c r="BC749" s="390"/>
      <c r="BD749" s="390"/>
      <c r="BE749" s="390"/>
      <c r="BF749" s="390"/>
      <c r="BG749" s="391"/>
      <c r="BH749" s="390"/>
      <c r="BI749" s="390"/>
    </row>
    <row r="750" spans="1:61" s="46" customFormat="1" x14ac:dyDescent="0.3">
      <c r="A750" s="317"/>
      <c r="B750" s="312"/>
      <c r="C750" s="428"/>
      <c r="D750" s="372"/>
      <c r="E750" s="390"/>
      <c r="F750" s="391"/>
      <c r="G750" s="391"/>
      <c r="H750" s="390"/>
      <c r="I750" s="390"/>
      <c r="J750" s="390"/>
      <c r="K750" s="390"/>
      <c r="L750" s="390"/>
      <c r="M750" s="390"/>
      <c r="N750" s="390"/>
      <c r="O750" s="390"/>
      <c r="P750" s="390"/>
      <c r="Q750" s="390"/>
      <c r="R750" s="390"/>
      <c r="S750" s="390"/>
      <c r="T750" s="390"/>
      <c r="U750" s="391"/>
      <c r="V750" s="390"/>
      <c r="W750" s="390"/>
      <c r="X750" s="390"/>
      <c r="Y750" s="391"/>
      <c r="Z750" s="391"/>
      <c r="AA750" s="390"/>
      <c r="AB750" s="390"/>
      <c r="AC750" s="390"/>
      <c r="AD750" s="390"/>
      <c r="AE750" s="390"/>
      <c r="AF750" s="390"/>
      <c r="AG750" s="390"/>
      <c r="AH750" s="390"/>
      <c r="AI750" s="390"/>
      <c r="AJ750" s="390"/>
      <c r="AK750" s="390"/>
      <c r="AL750" s="390"/>
      <c r="AM750" s="390"/>
      <c r="AN750" s="391"/>
      <c r="AO750" s="390"/>
      <c r="AP750" s="390"/>
      <c r="AQ750" s="390"/>
      <c r="AR750" s="391"/>
      <c r="AS750" s="391"/>
      <c r="AT750" s="390"/>
      <c r="AU750" s="390"/>
      <c r="AV750" s="390"/>
      <c r="AW750" s="390"/>
      <c r="AX750" s="390"/>
      <c r="AY750" s="390"/>
      <c r="AZ750" s="390"/>
      <c r="BA750" s="390"/>
      <c r="BB750" s="390"/>
      <c r="BC750" s="390"/>
      <c r="BD750" s="390"/>
      <c r="BE750" s="390"/>
      <c r="BF750" s="390"/>
      <c r="BG750" s="391"/>
      <c r="BH750" s="390"/>
      <c r="BI750" s="390"/>
    </row>
    <row r="751" spans="1:61" s="46" customFormat="1" x14ac:dyDescent="0.3">
      <c r="A751" s="317"/>
      <c r="B751" s="312"/>
      <c r="C751" s="428"/>
      <c r="D751" s="372"/>
      <c r="E751" s="390"/>
      <c r="F751" s="391"/>
      <c r="G751" s="391"/>
      <c r="H751" s="390"/>
      <c r="I751" s="390"/>
      <c r="J751" s="390"/>
      <c r="K751" s="390"/>
      <c r="L751" s="390"/>
      <c r="M751" s="390"/>
      <c r="N751" s="390"/>
      <c r="O751" s="390"/>
      <c r="P751" s="390"/>
      <c r="Q751" s="390"/>
      <c r="R751" s="390"/>
      <c r="S751" s="390"/>
      <c r="T751" s="390"/>
      <c r="U751" s="391"/>
      <c r="V751" s="390"/>
      <c r="W751" s="390"/>
      <c r="X751" s="390"/>
      <c r="Y751" s="391"/>
      <c r="Z751" s="391"/>
      <c r="AA751" s="390"/>
      <c r="AB751" s="390"/>
      <c r="AC751" s="390"/>
      <c r="AD751" s="390"/>
      <c r="AE751" s="390"/>
      <c r="AF751" s="390"/>
      <c r="AG751" s="390"/>
      <c r="AH751" s="390"/>
      <c r="AI751" s="390"/>
      <c r="AJ751" s="390"/>
      <c r="AK751" s="390"/>
      <c r="AL751" s="390"/>
      <c r="AM751" s="390"/>
      <c r="AN751" s="391"/>
      <c r="AO751" s="390"/>
      <c r="AP751" s="390"/>
      <c r="AQ751" s="390"/>
      <c r="AR751" s="391"/>
      <c r="AS751" s="391"/>
      <c r="AT751" s="390"/>
      <c r="AU751" s="390"/>
      <c r="AV751" s="390"/>
      <c r="AW751" s="390"/>
      <c r="AX751" s="390"/>
      <c r="AY751" s="390"/>
      <c r="AZ751" s="390"/>
      <c r="BA751" s="390"/>
      <c r="BB751" s="390"/>
      <c r="BC751" s="390"/>
      <c r="BD751" s="390"/>
      <c r="BE751" s="390"/>
      <c r="BF751" s="390"/>
      <c r="BG751" s="391"/>
      <c r="BH751" s="390"/>
      <c r="BI751" s="390"/>
    </row>
    <row r="752" spans="1:61" s="46" customFormat="1" x14ac:dyDescent="0.3">
      <c r="A752" s="317"/>
      <c r="B752" s="312"/>
      <c r="C752" s="428"/>
      <c r="D752" s="372"/>
      <c r="E752" s="390"/>
      <c r="F752" s="391"/>
      <c r="G752" s="391"/>
      <c r="H752" s="390"/>
      <c r="I752" s="390"/>
      <c r="J752" s="390"/>
      <c r="K752" s="390"/>
      <c r="L752" s="390"/>
      <c r="M752" s="390"/>
      <c r="N752" s="390"/>
      <c r="O752" s="390"/>
      <c r="P752" s="390"/>
      <c r="Q752" s="390"/>
      <c r="R752" s="390"/>
      <c r="S752" s="390"/>
      <c r="T752" s="390"/>
      <c r="U752" s="391"/>
      <c r="V752" s="390"/>
      <c r="W752" s="390"/>
      <c r="X752" s="390"/>
      <c r="Y752" s="391"/>
      <c r="Z752" s="391"/>
      <c r="AA752" s="390"/>
      <c r="AB752" s="390"/>
      <c r="AC752" s="390"/>
      <c r="AD752" s="390"/>
      <c r="AE752" s="390"/>
      <c r="AF752" s="390"/>
      <c r="AG752" s="390"/>
      <c r="AH752" s="390"/>
      <c r="AI752" s="390"/>
      <c r="AJ752" s="390"/>
      <c r="AK752" s="390"/>
      <c r="AL752" s="390"/>
      <c r="AM752" s="390"/>
      <c r="AN752" s="391"/>
      <c r="AO752" s="390"/>
      <c r="AP752" s="390"/>
      <c r="AQ752" s="390"/>
      <c r="AR752" s="391"/>
      <c r="AS752" s="391"/>
      <c r="AT752" s="390"/>
      <c r="AU752" s="390"/>
      <c r="AV752" s="390"/>
      <c r="AW752" s="390"/>
      <c r="AX752" s="390"/>
      <c r="AY752" s="390"/>
      <c r="AZ752" s="390"/>
      <c r="BA752" s="390"/>
      <c r="BB752" s="390"/>
      <c r="BC752" s="390"/>
      <c r="BD752" s="390"/>
      <c r="BE752" s="390"/>
      <c r="BF752" s="390"/>
      <c r="BG752" s="391"/>
      <c r="BH752" s="390"/>
      <c r="BI752" s="390"/>
    </row>
    <row r="753" spans="1:61" s="46" customFormat="1" x14ac:dyDescent="0.3">
      <c r="A753" s="317"/>
      <c r="B753" s="312"/>
      <c r="C753" s="428"/>
      <c r="D753" s="372"/>
      <c r="E753" s="390"/>
      <c r="F753" s="391"/>
      <c r="G753" s="391"/>
      <c r="H753" s="390"/>
      <c r="I753" s="390"/>
      <c r="J753" s="390"/>
      <c r="K753" s="390"/>
      <c r="L753" s="390"/>
      <c r="M753" s="390"/>
      <c r="N753" s="390"/>
      <c r="O753" s="390"/>
      <c r="P753" s="390"/>
      <c r="Q753" s="390"/>
      <c r="R753" s="390"/>
      <c r="S753" s="390"/>
      <c r="T753" s="390"/>
      <c r="U753" s="391"/>
      <c r="V753" s="390"/>
      <c r="W753" s="390"/>
      <c r="X753" s="390"/>
      <c r="Y753" s="391"/>
      <c r="Z753" s="391"/>
      <c r="AA753" s="390"/>
      <c r="AB753" s="390"/>
      <c r="AC753" s="390"/>
      <c r="AD753" s="390"/>
      <c r="AE753" s="390"/>
      <c r="AF753" s="390"/>
      <c r="AG753" s="390"/>
      <c r="AH753" s="390"/>
      <c r="AI753" s="390"/>
      <c r="AJ753" s="390"/>
      <c r="AK753" s="390"/>
      <c r="AL753" s="390"/>
      <c r="AM753" s="390"/>
      <c r="AN753" s="391"/>
      <c r="AO753" s="390"/>
      <c r="AP753" s="390"/>
      <c r="AQ753" s="390"/>
      <c r="AR753" s="391"/>
      <c r="AS753" s="391"/>
      <c r="AT753" s="390"/>
      <c r="AU753" s="390"/>
      <c r="AV753" s="390"/>
      <c r="AW753" s="390"/>
      <c r="AX753" s="390"/>
      <c r="AY753" s="390"/>
      <c r="AZ753" s="390"/>
      <c r="BA753" s="390"/>
      <c r="BB753" s="390"/>
      <c r="BC753" s="390"/>
      <c r="BD753" s="390"/>
      <c r="BE753" s="390"/>
      <c r="BF753" s="390"/>
      <c r="BG753" s="391"/>
      <c r="BH753" s="390"/>
      <c r="BI753" s="390"/>
    </row>
    <row r="754" spans="1:61" s="46" customFormat="1" x14ac:dyDescent="0.3">
      <c r="A754" s="317"/>
      <c r="B754" s="312"/>
      <c r="C754" s="428"/>
      <c r="D754" s="372"/>
      <c r="E754" s="390"/>
      <c r="F754" s="391"/>
      <c r="G754" s="391"/>
      <c r="H754" s="390"/>
      <c r="I754" s="390"/>
      <c r="J754" s="390"/>
      <c r="K754" s="390"/>
      <c r="L754" s="390"/>
      <c r="M754" s="390"/>
      <c r="N754" s="390"/>
      <c r="O754" s="390"/>
      <c r="P754" s="390"/>
      <c r="Q754" s="390"/>
      <c r="R754" s="390"/>
      <c r="S754" s="390"/>
      <c r="T754" s="390"/>
      <c r="U754" s="391"/>
      <c r="V754" s="390"/>
      <c r="W754" s="390"/>
      <c r="X754" s="390"/>
      <c r="Y754" s="391"/>
      <c r="Z754" s="391"/>
      <c r="AA754" s="390"/>
      <c r="AB754" s="390"/>
      <c r="AC754" s="390"/>
      <c r="AD754" s="390"/>
      <c r="AE754" s="390"/>
      <c r="AF754" s="390"/>
      <c r="AG754" s="390"/>
      <c r="AH754" s="390"/>
      <c r="AI754" s="390"/>
      <c r="AJ754" s="390"/>
      <c r="AK754" s="390"/>
      <c r="AL754" s="390"/>
      <c r="AM754" s="390"/>
      <c r="AN754" s="391"/>
      <c r="AO754" s="390"/>
      <c r="AP754" s="390"/>
      <c r="AQ754" s="390"/>
      <c r="AR754" s="391"/>
      <c r="AS754" s="391"/>
      <c r="AT754" s="390"/>
      <c r="AU754" s="390"/>
      <c r="AV754" s="390"/>
      <c r="AW754" s="390"/>
      <c r="AX754" s="390"/>
      <c r="AY754" s="390"/>
      <c r="AZ754" s="390"/>
      <c r="BA754" s="390"/>
      <c r="BB754" s="390"/>
      <c r="BC754" s="390"/>
      <c r="BD754" s="390"/>
      <c r="BE754" s="390"/>
      <c r="BF754" s="390"/>
      <c r="BG754" s="391"/>
      <c r="BH754" s="390"/>
      <c r="BI754" s="390"/>
    </row>
    <row r="755" spans="1:61" s="46" customFormat="1" x14ac:dyDescent="0.3">
      <c r="A755" s="317"/>
      <c r="B755" s="312"/>
      <c r="C755" s="428"/>
      <c r="D755" s="372"/>
      <c r="E755" s="390"/>
      <c r="F755" s="391"/>
      <c r="G755" s="391"/>
      <c r="H755" s="390"/>
      <c r="I755" s="390"/>
      <c r="J755" s="390"/>
      <c r="K755" s="390"/>
      <c r="L755" s="390"/>
      <c r="M755" s="390"/>
      <c r="N755" s="390"/>
      <c r="O755" s="390"/>
      <c r="P755" s="390"/>
      <c r="Q755" s="390"/>
      <c r="R755" s="390"/>
      <c r="S755" s="390"/>
      <c r="T755" s="390"/>
      <c r="U755" s="391"/>
      <c r="V755" s="390"/>
      <c r="W755" s="390"/>
      <c r="X755" s="390"/>
      <c r="Y755" s="391"/>
      <c r="Z755" s="391"/>
      <c r="AA755" s="390"/>
      <c r="AB755" s="390"/>
      <c r="AC755" s="390"/>
      <c r="AD755" s="390"/>
      <c r="AE755" s="390"/>
      <c r="AF755" s="390"/>
      <c r="AG755" s="390"/>
      <c r="AH755" s="390"/>
      <c r="AI755" s="390"/>
      <c r="AJ755" s="390"/>
      <c r="AK755" s="390"/>
      <c r="AL755" s="390"/>
      <c r="AM755" s="390"/>
      <c r="AN755" s="391"/>
      <c r="AO755" s="390"/>
      <c r="AP755" s="390"/>
      <c r="AQ755" s="390"/>
      <c r="AR755" s="391"/>
      <c r="AS755" s="391"/>
      <c r="AT755" s="390"/>
      <c r="AU755" s="390"/>
      <c r="AV755" s="390"/>
      <c r="AW755" s="390"/>
      <c r="AX755" s="390"/>
      <c r="AY755" s="390"/>
      <c r="AZ755" s="390"/>
      <c r="BA755" s="390"/>
      <c r="BB755" s="390"/>
      <c r="BC755" s="390"/>
      <c r="BD755" s="390"/>
      <c r="BE755" s="390"/>
      <c r="BF755" s="390"/>
      <c r="BG755" s="391"/>
      <c r="BH755" s="390"/>
      <c r="BI755" s="390"/>
    </row>
    <row r="756" spans="1:61" s="46" customFormat="1" x14ac:dyDescent="0.3">
      <c r="A756" s="317"/>
      <c r="B756" s="312"/>
      <c r="C756" s="428"/>
      <c r="D756" s="372"/>
      <c r="E756" s="390"/>
      <c r="F756" s="391"/>
      <c r="G756" s="391"/>
      <c r="H756" s="390"/>
      <c r="I756" s="390"/>
      <c r="J756" s="390"/>
      <c r="K756" s="390"/>
      <c r="L756" s="390"/>
      <c r="M756" s="390"/>
      <c r="N756" s="390"/>
      <c r="O756" s="390"/>
      <c r="P756" s="390"/>
      <c r="Q756" s="390"/>
      <c r="R756" s="390"/>
      <c r="S756" s="390"/>
      <c r="T756" s="390"/>
      <c r="U756" s="391"/>
      <c r="V756" s="390"/>
      <c r="W756" s="390"/>
      <c r="X756" s="390"/>
      <c r="Y756" s="391"/>
      <c r="Z756" s="391"/>
      <c r="AA756" s="390"/>
      <c r="AB756" s="390"/>
      <c r="AC756" s="390"/>
      <c r="AD756" s="390"/>
      <c r="AE756" s="390"/>
      <c r="AF756" s="390"/>
      <c r="AG756" s="390"/>
      <c r="AH756" s="390"/>
      <c r="AI756" s="390"/>
      <c r="AJ756" s="390"/>
      <c r="AK756" s="390"/>
      <c r="AL756" s="390"/>
      <c r="AM756" s="390"/>
      <c r="AN756" s="391"/>
      <c r="AO756" s="390"/>
      <c r="AP756" s="390"/>
      <c r="AQ756" s="390"/>
      <c r="AR756" s="391"/>
      <c r="AS756" s="391"/>
      <c r="AT756" s="390"/>
      <c r="AU756" s="390"/>
      <c r="AV756" s="390"/>
      <c r="AW756" s="390"/>
      <c r="AX756" s="390"/>
      <c r="AY756" s="390"/>
      <c r="AZ756" s="390"/>
      <c r="BA756" s="390"/>
      <c r="BB756" s="390"/>
      <c r="BC756" s="390"/>
      <c r="BD756" s="390"/>
      <c r="BE756" s="390"/>
      <c r="BF756" s="390"/>
      <c r="BG756" s="391"/>
      <c r="BH756" s="390"/>
      <c r="BI756" s="390"/>
    </row>
    <row r="757" spans="1:61" s="46" customFormat="1" x14ac:dyDescent="0.3">
      <c r="A757" s="317"/>
      <c r="B757" s="312"/>
      <c r="C757" s="428"/>
      <c r="D757" s="372"/>
      <c r="E757" s="390"/>
      <c r="F757" s="391"/>
      <c r="G757" s="391"/>
      <c r="H757" s="390"/>
      <c r="I757" s="390"/>
      <c r="J757" s="390"/>
      <c r="K757" s="390"/>
      <c r="L757" s="390"/>
      <c r="M757" s="390"/>
      <c r="N757" s="390"/>
      <c r="O757" s="390"/>
      <c r="P757" s="390"/>
      <c r="Q757" s="390"/>
      <c r="R757" s="390"/>
      <c r="S757" s="390"/>
      <c r="T757" s="390"/>
      <c r="U757" s="391"/>
      <c r="V757" s="390"/>
      <c r="W757" s="390"/>
      <c r="X757" s="390"/>
      <c r="Y757" s="391"/>
      <c r="Z757" s="391"/>
      <c r="AA757" s="390"/>
      <c r="AB757" s="390"/>
      <c r="AC757" s="390"/>
      <c r="AD757" s="390"/>
      <c r="AE757" s="390"/>
      <c r="AF757" s="390"/>
      <c r="AG757" s="390"/>
      <c r="AH757" s="390"/>
      <c r="AI757" s="390"/>
      <c r="AJ757" s="390"/>
      <c r="AK757" s="390"/>
      <c r="AL757" s="390"/>
      <c r="AM757" s="390"/>
      <c r="AN757" s="391"/>
      <c r="AO757" s="390"/>
      <c r="AP757" s="390"/>
      <c r="AQ757" s="390"/>
      <c r="AR757" s="391"/>
      <c r="AS757" s="391"/>
      <c r="AT757" s="390"/>
      <c r="AU757" s="390"/>
      <c r="AV757" s="390"/>
      <c r="AW757" s="390"/>
      <c r="AX757" s="390"/>
      <c r="AY757" s="390"/>
      <c r="AZ757" s="390"/>
      <c r="BA757" s="390"/>
      <c r="BB757" s="390"/>
      <c r="BC757" s="390"/>
      <c r="BD757" s="390"/>
      <c r="BE757" s="390"/>
      <c r="BF757" s="390"/>
      <c r="BG757" s="391"/>
      <c r="BH757" s="390"/>
      <c r="BI757" s="390"/>
    </row>
    <row r="758" spans="1:61" s="46" customFormat="1" x14ac:dyDescent="0.3">
      <c r="A758" s="317"/>
      <c r="B758" s="312"/>
      <c r="C758" s="428"/>
      <c r="D758" s="372"/>
      <c r="E758" s="390"/>
      <c r="F758" s="391"/>
      <c r="G758" s="391"/>
      <c r="H758" s="390"/>
      <c r="I758" s="390"/>
      <c r="J758" s="390"/>
      <c r="K758" s="390"/>
      <c r="L758" s="390"/>
      <c r="M758" s="390"/>
      <c r="N758" s="390"/>
      <c r="O758" s="390"/>
      <c r="P758" s="390"/>
      <c r="Q758" s="390"/>
      <c r="R758" s="390"/>
      <c r="S758" s="390"/>
      <c r="T758" s="390"/>
      <c r="U758" s="391"/>
      <c r="V758" s="390"/>
      <c r="W758" s="390"/>
      <c r="X758" s="390"/>
      <c r="Y758" s="391"/>
      <c r="Z758" s="391"/>
      <c r="AA758" s="390"/>
      <c r="AB758" s="390"/>
      <c r="AC758" s="390"/>
      <c r="AD758" s="390"/>
      <c r="AE758" s="390"/>
      <c r="AF758" s="390"/>
      <c r="AG758" s="390"/>
      <c r="AH758" s="390"/>
      <c r="AI758" s="390"/>
      <c r="AJ758" s="390"/>
      <c r="AK758" s="390"/>
      <c r="AL758" s="390"/>
      <c r="AM758" s="390"/>
      <c r="AN758" s="391"/>
      <c r="AO758" s="390"/>
      <c r="AP758" s="390"/>
      <c r="AQ758" s="390"/>
      <c r="AR758" s="391"/>
      <c r="AS758" s="391"/>
      <c r="AT758" s="390"/>
      <c r="AU758" s="390"/>
      <c r="AV758" s="390"/>
      <c r="AW758" s="390"/>
      <c r="AX758" s="390"/>
      <c r="AY758" s="390"/>
      <c r="AZ758" s="390"/>
      <c r="BA758" s="390"/>
      <c r="BB758" s="390"/>
      <c r="BC758" s="390"/>
      <c r="BD758" s="390"/>
      <c r="BE758" s="390"/>
      <c r="BF758" s="390"/>
      <c r="BG758" s="391"/>
      <c r="BH758" s="390"/>
      <c r="BI758" s="390"/>
    </row>
    <row r="759" spans="1:61" s="46" customFormat="1" x14ac:dyDescent="0.3">
      <c r="A759" s="317"/>
      <c r="B759" s="312"/>
      <c r="C759" s="428"/>
      <c r="D759" s="372"/>
      <c r="E759" s="390"/>
      <c r="F759" s="391"/>
      <c r="G759" s="391"/>
      <c r="H759" s="390"/>
      <c r="I759" s="390"/>
      <c r="J759" s="390"/>
      <c r="K759" s="390"/>
      <c r="L759" s="390"/>
      <c r="M759" s="390"/>
      <c r="N759" s="390"/>
      <c r="O759" s="390"/>
      <c r="P759" s="390"/>
      <c r="Q759" s="390"/>
      <c r="R759" s="390"/>
      <c r="S759" s="390"/>
      <c r="T759" s="390"/>
      <c r="U759" s="391"/>
      <c r="V759" s="390"/>
      <c r="W759" s="390"/>
      <c r="X759" s="390"/>
      <c r="Y759" s="391"/>
      <c r="Z759" s="391"/>
      <c r="AA759" s="390"/>
      <c r="AB759" s="390"/>
      <c r="AC759" s="390"/>
      <c r="AD759" s="390"/>
      <c r="AE759" s="390"/>
      <c r="AF759" s="390"/>
      <c r="AG759" s="390"/>
      <c r="AH759" s="390"/>
      <c r="AI759" s="390"/>
      <c r="AJ759" s="390"/>
      <c r="AK759" s="390"/>
      <c r="AL759" s="390"/>
      <c r="AM759" s="390"/>
      <c r="AN759" s="391"/>
      <c r="AO759" s="390"/>
      <c r="AP759" s="390"/>
      <c r="AQ759" s="390"/>
      <c r="AR759" s="391"/>
      <c r="AS759" s="391"/>
      <c r="AT759" s="390"/>
      <c r="AU759" s="390"/>
      <c r="AV759" s="390"/>
      <c r="AW759" s="390"/>
      <c r="AX759" s="390"/>
      <c r="AY759" s="390"/>
      <c r="AZ759" s="390"/>
      <c r="BA759" s="390"/>
      <c r="BB759" s="390"/>
      <c r="BC759" s="390"/>
      <c r="BD759" s="390"/>
      <c r="BE759" s="390"/>
      <c r="BF759" s="390"/>
      <c r="BG759" s="391"/>
      <c r="BH759" s="390"/>
      <c r="BI759" s="390"/>
    </row>
    <row r="760" spans="1:61" s="46" customFormat="1" x14ac:dyDescent="0.3">
      <c r="A760" s="317"/>
      <c r="B760" s="312"/>
      <c r="C760" s="428"/>
      <c r="D760" s="372"/>
      <c r="E760" s="390"/>
      <c r="F760" s="391"/>
      <c r="G760" s="391"/>
      <c r="H760" s="390"/>
      <c r="I760" s="390"/>
      <c r="J760" s="390"/>
      <c r="K760" s="390"/>
      <c r="L760" s="390"/>
      <c r="M760" s="390"/>
      <c r="N760" s="390"/>
      <c r="O760" s="390"/>
      <c r="P760" s="390"/>
      <c r="Q760" s="390"/>
      <c r="R760" s="390"/>
      <c r="S760" s="390"/>
      <c r="T760" s="390"/>
      <c r="U760" s="391"/>
      <c r="V760" s="390"/>
      <c r="W760" s="390"/>
      <c r="X760" s="390"/>
      <c r="Y760" s="391"/>
      <c r="Z760" s="391"/>
      <c r="AA760" s="390"/>
      <c r="AB760" s="390"/>
      <c r="AC760" s="390"/>
      <c r="AD760" s="390"/>
      <c r="AE760" s="390"/>
      <c r="AF760" s="390"/>
      <c r="AG760" s="390"/>
      <c r="AH760" s="390"/>
      <c r="AI760" s="390"/>
      <c r="AJ760" s="390"/>
      <c r="AK760" s="390"/>
      <c r="AL760" s="390"/>
      <c r="AM760" s="390"/>
      <c r="AN760" s="391"/>
      <c r="AO760" s="390"/>
      <c r="AP760" s="390"/>
      <c r="AQ760" s="390"/>
      <c r="AR760" s="391"/>
      <c r="AS760" s="391"/>
      <c r="AT760" s="390"/>
      <c r="AU760" s="390"/>
      <c r="AV760" s="390"/>
      <c r="AW760" s="390"/>
      <c r="AX760" s="390"/>
      <c r="AY760" s="390"/>
      <c r="AZ760" s="390"/>
      <c r="BA760" s="390"/>
      <c r="BB760" s="390"/>
      <c r="BC760" s="390"/>
      <c r="BD760" s="390"/>
      <c r="BE760" s="390"/>
      <c r="BF760" s="390"/>
      <c r="BG760" s="391"/>
      <c r="BH760" s="390"/>
      <c r="BI760" s="390"/>
    </row>
    <row r="761" spans="1:61" s="46" customFormat="1" x14ac:dyDescent="0.3">
      <c r="A761" s="317"/>
      <c r="B761" s="312"/>
      <c r="C761" s="428"/>
      <c r="D761" s="372"/>
      <c r="E761" s="390"/>
      <c r="F761" s="391"/>
      <c r="G761" s="391"/>
      <c r="H761" s="390"/>
      <c r="I761" s="390"/>
      <c r="J761" s="390"/>
      <c r="K761" s="390"/>
      <c r="L761" s="390"/>
      <c r="M761" s="390"/>
      <c r="N761" s="390"/>
      <c r="O761" s="390"/>
      <c r="P761" s="390"/>
      <c r="Q761" s="390"/>
      <c r="R761" s="390"/>
      <c r="S761" s="390"/>
      <c r="T761" s="390"/>
      <c r="U761" s="391"/>
      <c r="V761" s="390"/>
      <c r="W761" s="390"/>
      <c r="X761" s="390"/>
      <c r="Y761" s="391"/>
      <c r="Z761" s="391"/>
      <c r="AA761" s="390"/>
      <c r="AB761" s="390"/>
      <c r="AC761" s="390"/>
      <c r="AD761" s="390"/>
      <c r="AE761" s="390"/>
      <c r="AF761" s="390"/>
      <c r="AG761" s="390"/>
      <c r="AH761" s="390"/>
      <c r="AI761" s="390"/>
      <c r="AJ761" s="390"/>
      <c r="AK761" s="390"/>
      <c r="AL761" s="390"/>
      <c r="AM761" s="390"/>
      <c r="AN761" s="391"/>
      <c r="AO761" s="390"/>
      <c r="AP761" s="390"/>
      <c r="AQ761" s="390"/>
      <c r="AR761" s="391"/>
      <c r="AS761" s="391"/>
      <c r="AT761" s="390"/>
      <c r="AU761" s="390"/>
      <c r="AV761" s="390"/>
      <c r="AW761" s="390"/>
      <c r="AX761" s="390"/>
      <c r="AY761" s="390"/>
      <c r="AZ761" s="390"/>
      <c r="BA761" s="390"/>
      <c r="BB761" s="390"/>
      <c r="BC761" s="390"/>
      <c r="BD761" s="390"/>
      <c r="BE761" s="390"/>
      <c r="BF761" s="390"/>
      <c r="BG761" s="391"/>
      <c r="BH761" s="390"/>
      <c r="BI761" s="390"/>
    </row>
    <row r="762" spans="1:61" s="46" customFormat="1" x14ac:dyDescent="0.3">
      <c r="A762" s="317"/>
      <c r="B762" s="312"/>
      <c r="C762" s="428"/>
      <c r="D762" s="372"/>
      <c r="E762" s="390"/>
      <c r="F762" s="391"/>
      <c r="G762" s="391"/>
      <c r="H762" s="390"/>
      <c r="I762" s="390"/>
      <c r="J762" s="390"/>
      <c r="K762" s="390"/>
      <c r="L762" s="390"/>
      <c r="M762" s="390"/>
      <c r="N762" s="390"/>
      <c r="O762" s="390"/>
      <c r="P762" s="390"/>
      <c r="Q762" s="390"/>
      <c r="R762" s="390"/>
      <c r="S762" s="390"/>
      <c r="T762" s="390"/>
      <c r="U762" s="391"/>
      <c r="V762" s="390"/>
      <c r="W762" s="390"/>
      <c r="X762" s="390"/>
      <c r="Y762" s="391"/>
      <c r="Z762" s="391"/>
      <c r="AA762" s="390"/>
      <c r="AB762" s="390"/>
      <c r="AC762" s="390"/>
      <c r="AD762" s="390"/>
      <c r="AE762" s="390"/>
      <c r="AF762" s="390"/>
      <c r="AG762" s="390"/>
      <c r="AH762" s="390"/>
      <c r="AI762" s="390"/>
      <c r="AJ762" s="390"/>
      <c r="AK762" s="390"/>
      <c r="AL762" s="390"/>
      <c r="AM762" s="390"/>
      <c r="AN762" s="391"/>
      <c r="AO762" s="390"/>
      <c r="AP762" s="390"/>
      <c r="AQ762" s="390"/>
      <c r="AR762" s="391"/>
      <c r="AS762" s="391"/>
      <c r="AT762" s="390"/>
      <c r="AU762" s="390"/>
      <c r="AV762" s="390"/>
      <c r="AW762" s="390"/>
      <c r="AX762" s="390"/>
      <c r="AY762" s="390"/>
      <c r="AZ762" s="390"/>
      <c r="BA762" s="390"/>
      <c r="BB762" s="390"/>
      <c r="BC762" s="390"/>
      <c r="BD762" s="390"/>
      <c r="BE762" s="390"/>
      <c r="BF762" s="390"/>
      <c r="BG762" s="391"/>
      <c r="BH762" s="390"/>
      <c r="BI762" s="390"/>
    </row>
    <row r="763" spans="1:61" s="46" customFormat="1" x14ac:dyDescent="0.3">
      <c r="A763" s="317"/>
      <c r="B763" s="312"/>
      <c r="C763" s="428"/>
      <c r="D763" s="372"/>
      <c r="E763" s="390"/>
      <c r="F763" s="391"/>
      <c r="G763" s="391"/>
      <c r="H763" s="390"/>
      <c r="I763" s="390"/>
      <c r="J763" s="390"/>
      <c r="K763" s="390"/>
      <c r="L763" s="390"/>
      <c r="M763" s="390"/>
      <c r="N763" s="390"/>
      <c r="O763" s="390"/>
      <c r="P763" s="390"/>
      <c r="Q763" s="390"/>
      <c r="R763" s="390"/>
      <c r="S763" s="390"/>
      <c r="T763" s="390"/>
      <c r="U763" s="391"/>
      <c r="V763" s="390"/>
      <c r="W763" s="390"/>
      <c r="X763" s="390"/>
      <c r="Y763" s="391"/>
      <c r="Z763" s="391"/>
      <c r="AA763" s="390"/>
      <c r="AB763" s="390"/>
      <c r="AC763" s="390"/>
      <c r="AD763" s="390"/>
      <c r="AE763" s="390"/>
      <c r="AF763" s="390"/>
      <c r="AG763" s="390"/>
      <c r="AH763" s="390"/>
      <c r="AI763" s="390"/>
      <c r="AJ763" s="390"/>
      <c r="AK763" s="390"/>
      <c r="AL763" s="390"/>
      <c r="AM763" s="390"/>
      <c r="AN763" s="391"/>
      <c r="AO763" s="390"/>
      <c r="AP763" s="390"/>
      <c r="AQ763" s="390"/>
      <c r="AR763" s="391"/>
      <c r="AS763" s="391"/>
      <c r="AT763" s="390"/>
      <c r="AU763" s="390"/>
      <c r="AV763" s="390"/>
      <c r="AW763" s="390"/>
      <c r="AX763" s="390"/>
      <c r="AY763" s="390"/>
      <c r="AZ763" s="390"/>
      <c r="BA763" s="390"/>
      <c r="BB763" s="390"/>
      <c r="BC763" s="390"/>
      <c r="BD763" s="390"/>
      <c r="BE763" s="390"/>
      <c r="BF763" s="390"/>
      <c r="BG763" s="391"/>
      <c r="BH763" s="390"/>
      <c r="BI763" s="390"/>
    </row>
    <row r="764" spans="1:61" s="46" customFormat="1" x14ac:dyDescent="0.3">
      <c r="A764" s="317"/>
      <c r="B764" s="312"/>
      <c r="C764" s="428"/>
      <c r="D764" s="372"/>
      <c r="E764" s="390"/>
      <c r="F764" s="391"/>
      <c r="G764" s="391"/>
      <c r="H764" s="390"/>
      <c r="I764" s="390"/>
      <c r="J764" s="390"/>
      <c r="K764" s="390"/>
      <c r="L764" s="390"/>
      <c r="M764" s="390"/>
      <c r="N764" s="390"/>
      <c r="O764" s="390"/>
      <c r="P764" s="390"/>
      <c r="Q764" s="390"/>
      <c r="R764" s="390"/>
      <c r="S764" s="390"/>
      <c r="T764" s="390"/>
      <c r="U764" s="391"/>
      <c r="V764" s="390"/>
      <c r="W764" s="390"/>
      <c r="X764" s="390"/>
      <c r="Y764" s="391"/>
      <c r="Z764" s="391"/>
      <c r="AA764" s="390"/>
      <c r="AB764" s="390"/>
      <c r="AC764" s="390"/>
      <c r="AD764" s="390"/>
      <c r="AE764" s="390"/>
      <c r="AF764" s="390"/>
      <c r="AG764" s="390"/>
      <c r="AH764" s="390"/>
      <c r="AI764" s="390"/>
      <c r="AJ764" s="390"/>
      <c r="AK764" s="390"/>
      <c r="AL764" s="390"/>
      <c r="AM764" s="390"/>
      <c r="AN764" s="391"/>
      <c r="AO764" s="390"/>
      <c r="AP764" s="390"/>
      <c r="AQ764" s="390"/>
      <c r="AR764" s="391"/>
      <c r="AS764" s="391"/>
      <c r="AT764" s="390"/>
      <c r="AU764" s="390"/>
      <c r="AV764" s="390"/>
      <c r="AW764" s="390"/>
      <c r="AX764" s="390"/>
      <c r="AY764" s="390"/>
      <c r="AZ764" s="390"/>
      <c r="BA764" s="390"/>
      <c r="BB764" s="390"/>
      <c r="BC764" s="390"/>
      <c r="BD764" s="390"/>
      <c r="BE764" s="390"/>
      <c r="BF764" s="390"/>
      <c r="BG764" s="391"/>
      <c r="BH764" s="390"/>
      <c r="BI764" s="390"/>
    </row>
    <row r="765" spans="1:61" s="46" customFormat="1" x14ac:dyDescent="0.3">
      <c r="A765" s="317"/>
      <c r="B765" s="312"/>
      <c r="C765" s="428"/>
      <c r="D765" s="372"/>
      <c r="E765" s="390"/>
      <c r="F765" s="391"/>
      <c r="G765" s="391"/>
      <c r="H765" s="390"/>
      <c r="I765" s="390"/>
      <c r="J765" s="390"/>
      <c r="K765" s="390"/>
      <c r="L765" s="390"/>
      <c r="M765" s="390"/>
      <c r="N765" s="390"/>
      <c r="O765" s="390"/>
      <c r="P765" s="390"/>
      <c r="Q765" s="390"/>
      <c r="R765" s="390"/>
      <c r="S765" s="390"/>
      <c r="T765" s="390"/>
      <c r="U765" s="391"/>
      <c r="V765" s="390"/>
      <c r="W765" s="390"/>
      <c r="X765" s="390"/>
      <c r="Y765" s="391"/>
      <c r="Z765" s="391"/>
      <c r="AA765" s="390"/>
      <c r="AB765" s="390"/>
      <c r="AC765" s="390"/>
      <c r="AD765" s="390"/>
      <c r="AE765" s="390"/>
      <c r="AF765" s="390"/>
      <c r="AG765" s="390"/>
      <c r="AH765" s="390"/>
      <c r="AI765" s="390"/>
      <c r="AJ765" s="390"/>
      <c r="AK765" s="390"/>
      <c r="AL765" s="390"/>
      <c r="AM765" s="390"/>
      <c r="AN765" s="391"/>
      <c r="AO765" s="390"/>
      <c r="AP765" s="390"/>
      <c r="AQ765" s="390"/>
      <c r="AR765" s="391"/>
      <c r="AS765" s="391"/>
      <c r="AT765" s="390"/>
      <c r="AU765" s="390"/>
      <c r="AV765" s="390"/>
      <c r="AW765" s="390"/>
      <c r="AX765" s="390"/>
      <c r="AY765" s="390"/>
      <c r="AZ765" s="390"/>
      <c r="BA765" s="390"/>
      <c r="BB765" s="390"/>
      <c r="BC765" s="390"/>
      <c r="BD765" s="390"/>
      <c r="BE765" s="390"/>
      <c r="BF765" s="390"/>
      <c r="BG765" s="391"/>
      <c r="BH765" s="390"/>
      <c r="BI765" s="390"/>
    </row>
    <row r="766" spans="1:61" s="46" customFormat="1" x14ac:dyDescent="0.3">
      <c r="A766" s="317"/>
      <c r="B766" s="312"/>
      <c r="C766" s="428"/>
      <c r="D766" s="372"/>
      <c r="E766" s="390"/>
      <c r="F766" s="391"/>
      <c r="G766" s="391"/>
      <c r="H766" s="390"/>
      <c r="I766" s="390"/>
      <c r="J766" s="390"/>
      <c r="K766" s="390"/>
      <c r="L766" s="390"/>
      <c r="M766" s="390"/>
      <c r="N766" s="390"/>
      <c r="O766" s="390"/>
      <c r="P766" s="390"/>
      <c r="Q766" s="390"/>
      <c r="R766" s="390"/>
      <c r="S766" s="390"/>
      <c r="T766" s="390"/>
      <c r="U766" s="391"/>
      <c r="V766" s="390"/>
      <c r="W766" s="390"/>
      <c r="X766" s="390"/>
      <c r="Y766" s="391"/>
      <c r="Z766" s="391"/>
      <c r="AA766" s="390"/>
      <c r="AB766" s="390"/>
      <c r="AC766" s="390"/>
      <c r="AD766" s="390"/>
      <c r="AE766" s="390"/>
      <c r="AF766" s="390"/>
      <c r="AG766" s="390"/>
      <c r="AH766" s="390"/>
      <c r="AI766" s="390"/>
      <c r="AJ766" s="390"/>
      <c r="AK766" s="390"/>
      <c r="AL766" s="390"/>
      <c r="AM766" s="390"/>
      <c r="AN766" s="391"/>
      <c r="AO766" s="390"/>
      <c r="AP766" s="390"/>
      <c r="AQ766" s="390"/>
      <c r="AR766" s="391"/>
      <c r="AS766" s="391"/>
      <c r="AT766" s="390"/>
      <c r="AU766" s="390"/>
      <c r="AV766" s="390"/>
      <c r="AW766" s="390"/>
      <c r="AX766" s="390"/>
      <c r="AY766" s="390"/>
      <c r="AZ766" s="390"/>
      <c r="BA766" s="390"/>
      <c r="BB766" s="390"/>
      <c r="BC766" s="390"/>
      <c r="BD766" s="390"/>
      <c r="BE766" s="390"/>
      <c r="BF766" s="390"/>
      <c r="BG766" s="391"/>
      <c r="BH766" s="390"/>
      <c r="BI766" s="390"/>
    </row>
    <row r="767" spans="1:61" s="46" customFormat="1" x14ac:dyDescent="0.3">
      <c r="A767" s="317"/>
      <c r="B767" s="312"/>
      <c r="C767" s="428"/>
      <c r="D767" s="372"/>
      <c r="E767" s="390"/>
      <c r="F767" s="391"/>
      <c r="G767" s="391"/>
      <c r="H767" s="390"/>
      <c r="I767" s="390"/>
      <c r="J767" s="390"/>
      <c r="K767" s="390"/>
      <c r="L767" s="390"/>
      <c r="M767" s="390"/>
      <c r="N767" s="390"/>
      <c r="O767" s="390"/>
      <c r="P767" s="390"/>
      <c r="Q767" s="390"/>
      <c r="R767" s="390"/>
      <c r="S767" s="390"/>
      <c r="T767" s="390"/>
      <c r="U767" s="391"/>
      <c r="V767" s="390"/>
      <c r="W767" s="390"/>
      <c r="X767" s="390"/>
      <c r="Y767" s="391"/>
      <c r="Z767" s="391"/>
      <c r="AA767" s="390"/>
      <c r="AB767" s="390"/>
      <c r="AC767" s="390"/>
      <c r="AD767" s="390"/>
      <c r="AE767" s="390"/>
      <c r="AF767" s="390"/>
      <c r="AG767" s="390"/>
      <c r="AH767" s="390"/>
      <c r="AI767" s="390"/>
      <c r="AJ767" s="390"/>
      <c r="AK767" s="390"/>
      <c r="AL767" s="390"/>
      <c r="AM767" s="390"/>
      <c r="AN767" s="391"/>
      <c r="AO767" s="390"/>
      <c r="AP767" s="390"/>
      <c r="AQ767" s="390"/>
      <c r="AR767" s="391"/>
      <c r="AS767" s="391"/>
      <c r="AT767" s="390"/>
      <c r="AU767" s="390"/>
      <c r="AV767" s="390"/>
      <c r="AW767" s="390"/>
      <c r="AX767" s="390"/>
      <c r="AY767" s="390"/>
      <c r="AZ767" s="390"/>
      <c r="BA767" s="390"/>
      <c r="BB767" s="390"/>
      <c r="BC767" s="390"/>
      <c r="BD767" s="390"/>
      <c r="BE767" s="390"/>
      <c r="BF767" s="390"/>
      <c r="BG767" s="391"/>
      <c r="BH767" s="390"/>
      <c r="BI767" s="390"/>
    </row>
    <row r="768" spans="1:61" s="46" customFormat="1" x14ac:dyDescent="0.3">
      <c r="A768" s="317"/>
      <c r="B768" s="312"/>
      <c r="C768" s="428"/>
      <c r="D768" s="372"/>
      <c r="E768" s="390"/>
      <c r="F768" s="391"/>
      <c r="G768" s="391"/>
      <c r="H768" s="390"/>
      <c r="I768" s="390"/>
      <c r="J768" s="390"/>
      <c r="K768" s="390"/>
      <c r="L768" s="390"/>
      <c r="M768" s="390"/>
      <c r="N768" s="390"/>
      <c r="O768" s="390"/>
      <c r="P768" s="390"/>
      <c r="Q768" s="390"/>
      <c r="R768" s="390"/>
      <c r="S768" s="390"/>
      <c r="T768" s="390"/>
      <c r="U768" s="391"/>
      <c r="V768" s="390"/>
      <c r="W768" s="390"/>
      <c r="X768" s="390"/>
      <c r="Y768" s="391"/>
      <c r="Z768" s="391"/>
      <c r="AA768" s="390"/>
      <c r="AB768" s="390"/>
      <c r="AC768" s="390"/>
      <c r="AD768" s="390"/>
      <c r="AE768" s="390"/>
      <c r="AF768" s="390"/>
      <c r="AG768" s="390"/>
      <c r="AH768" s="390"/>
      <c r="AI768" s="390"/>
      <c r="AJ768" s="390"/>
      <c r="AK768" s="390"/>
      <c r="AL768" s="390"/>
      <c r="AM768" s="390"/>
      <c r="AN768" s="391"/>
      <c r="AO768" s="390"/>
      <c r="AP768" s="390"/>
      <c r="AQ768" s="390"/>
      <c r="AR768" s="391"/>
      <c r="AS768" s="391"/>
      <c r="AT768" s="390"/>
      <c r="AU768" s="390"/>
      <c r="AV768" s="390"/>
      <c r="AW768" s="390"/>
      <c r="AX768" s="390"/>
      <c r="AY768" s="390"/>
      <c r="AZ768" s="390"/>
      <c r="BA768" s="390"/>
      <c r="BB768" s="390"/>
      <c r="BC768" s="390"/>
      <c r="BD768" s="390"/>
      <c r="BE768" s="390"/>
      <c r="BF768" s="390"/>
      <c r="BG768" s="391"/>
      <c r="BH768" s="390"/>
      <c r="BI768" s="390"/>
    </row>
    <row r="769" spans="1:61" s="46" customFormat="1" x14ac:dyDescent="0.3">
      <c r="A769" s="317"/>
      <c r="B769" s="312"/>
      <c r="C769" s="428"/>
      <c r="D769" s="372"/>
      <c r="E769" s="390"/>
      <c r="F769" s="391"/>
      <c r="G769" s="391"/>
      <c r="H769" s="390"/>
      <c r="I769" s="390"/>
      <c r="J769" s="390"/>
      <c r="K769" s="390"/>
      <c r="L769" s="390"/>
      <c r="M769" s="390"/>
      <c r="N769" s="390"/>
      <c r="O769" s="390"/>
      <c r="P769" s="390"/>
      <c r="Q769" s="390"/>
      <c r="R769" s="390"/>
      <c r="S769" s="390"/>
      <c r="T769" s="390"/>
      <c r="U769" s="391"/>
      <c r="V769" s="390"/>
      <c r="W769" s="390"/>
      <c r="X769" s="390"/>
      <c r="Y769" s="391"/>
      <c r="Z769" s="391"/>
      <c r="AA769" s="390"/>
      <c r="AB769" s="390"/>
      <c r="AC769" s="390"/>
      <c r="AD769" s="390"/>
      <c r="AE769" s="390"/>
      <c r="AF769" s="390"/>
      <c r="AG769" s="390"/>
      <c r="AH769" s="390"/>
      <c r="AI769" s="390"/>
      <c r="AJ769" s="390"/>
      <c r="AK769" s="390"/>
      <c r="AL769" s="390"/>
      <c r="AM769" s="390"/>
      <c r="AN769" s="391"/>
      <c r="AO769" s="390"/>
      <c r="AP769" s="390"/>
      <c r="AQ769" s="390"/>
      <c r="AR769" s="391"/>
      <c r="AS769" s="391"/>
      <c r="AT769" s="390"/>
      <c r="AU769" s="390"/>
      <c r="AV769" s="390"/>
      <c r="AW769" s="390"/>
      <c r="AX769" s="390"/>
      <c r="AY769" s="390"/>
      <c r="AZ769" s="390"/>
      <c r="BA769" s="390"/>
      <c r="BB769" s="390"/>
      <c r="BC769" s="390"/>
      <c r="BD769" s="390"/>
      <c r="BE769" s="390"/>
      <c r="BF769" s="390"/>
      <c r="BG769" s="391"/>
      <c r="BH769" s="390"/>
      <c r="BI769" s="390"/>
    </row>
    <row r="770" spans="1:61" s="46" customFormat="1" x14ac:dyDescent="0.3">
      <c r="A770" s="317"/>
      <c r="B770" s="312"/>
      <c r="C770" s="428"/>
      <c r="D770" s="372"/>
      <c r="E770" s="390"/>
      <c r="F770" s="391"/>
      <c r="G770" s="391"/>
      <c r="H770" s="390"/>
      <c r="I770" s="390"/>
      <c r="J770" s="390"/>
      <c r="K770" s="390"/>
      <c r="L770" s="390"/>
      <c r="M770" s="390"/>
      <c r="N770" s="390"/>
      <c r="O770" s="390"/>
      <c r="P770" s="390"/>
      <c r="Q770" s="390"/>
      <c r="R770" s="390"/>
      <c r="S770" s="390"/>
      <c r="T770" s="390"/>
      <c r="U770" s="391"/>
      <c r="V770" s="390"/>
      <c r="W770" s="390"/>
      <c r="X770" s="390"/>
      <c r="Y770" s="391"/>
      <c r="Z770" s="391"/>
      <c r="AA770" s="390"/>
      <c r="AB770" s="390"/>
      <c r="AC770" s="390"/>
      <c r="AD770" s="390"/>
      <c r="AE770" s="390"/>
      <c r="AF770" s="390"/>
      <c r="AG770" s="390"/>
      <c r="AH770" s="390"/>
      <c r="AI770" s="390"/>
      <c r="AJ770" s="390"/>
      <c r="AK770" s="390"/>
      <c r="AL770" s="390"/>
      <c r="AM770" s="390"/>
      <c r="AN770" s="391"/>
      <c r="AO770" s="390"/>
      <c r="AP770" s="390"/>
      <c r="AQ770" s="390"/>
      <c r="AR770" s="391"/>
      <c r="AS770" s="391"/>
      <c r="AT770" s="390"/>
      <c r="AU770" s="390"/>
      <c r="AV770" s="390"/>
      <c r="AW770" s="390"/>
      <c r="AX770" s="390"/>
      <c r="AY770" s="390"/>
      <c r="AZ770" s="390"/>
      <c r="BA770" s="390"/>
      <c r="BB770" s="390"/>
      <c r="BC770" s="390"/>
      <c r="BD770" s="390"/>
      <c r="BE770" s="390"/>
      <c r="BF770" s="390"/>
      <c r="BG770" s="391"/>
      <c r="BH770" s="390"/>
      <c r="BI770" s="390"/>
    </row>
    <row r="771" spans="1:61" s="46" customFormat="1" x14ac:dyDescent="0.3">
      <c r="A771" s="317"/>
      <c r="B771" s="312"/>
      <c r="C771" s="428"/>
      <c r="D771" s="372"/>
      <c r="E771" s="390"/>
      <c r="F771" s="391"/>
      <c r="G771" s="391"/>
      <c r="H771" s="390"/>
      <c r="I771" s="390"/>
      <c r="J771" s="390"/>
      <c r="K771" s="390"/>
      <c r="L771" s="390"/>
      <c r="M771" s="390"/>
      <c r="N771" s="390"/>
      <c r="O771" s="390"/>
      <c r="P771" s="390"/>
      <c r="Q771" s="390"/>
      <c r="R771" s="390"/>
      <c r="S771" s="390"/>
      <c r="T771" s="390"/>
      <c r="U771" s="391"/>
      <c r="V771" s="390"/>
      <c r="W771" s="390"/>
      <c r="X771" s="390"/>
      <c r="Y771" s="391"/>
      <c r="Z771" s="391"/>
      <c r="AA771" s="390"/>
      <c r="AB771" s="390"/>
      <c r="AC771" s="390"/>
      <c r="AD771" s="390"/>
      <c r="AE771" s="390"/>
      <c r="AF771" s="390"/>
      <c r="AG771" s="390"/>
      <c r="AH771" s="390"/>
      <c r="AI771" s="390"/>
      <c r="AJ771" s="390"/>
      <c r="AK771" s="390"/>
      <c r="AL771" s="390"/>
      <c r="AM771" s="390"/>
      <c r="AN771" s="391"/>
      <c r="AO771" s="390"/>
      <c r="AP771" s="390"/>
      <c r="AQ771" s="390"/>
      <c r="AR771" s="391"/>
      <c r="AS771" s="391"/>
      <c r="AT771" s="390"/>
      <c r="AU771" s="390"/>
      <c r="AV771" s="390"/>
      <c r="AW771" s="390"/>
      <c r="AX771" s="390"/>
      <c r="AY771" s="390"/>
      <c r="AZ771" s="390"/>
      <c r="BA771" s="390"/>
      <c r="BB771" s="390"/>
      <c r="BC771" s="390"/>
      <c r="BD771" s="390"/>
      <c r="BE771" s="390"/>
      <c r="BF771" s="390"/>
      <c r="BG771" s="391"/>
      <c r="BH771" s="390"/>
      <c r="BI771" s="390"/>
    </row>
    <row r="772" spans="1:61" s="46" customFormat="1" x14ac:dyDescent="0.3">
      <c r="A772" s="317"/>
      <c r="B772" s="312"/>
      <c r="C772" s="428"/>
      <c r="D772" s="372"/>
      <c r="E772" s="390"/>
      <c r="F772" s="391"/>
      <c r="G772" s="391"/>
      <c r="H772" s="390"/>
      <c r="I772" s="390"/>
      <c r="J772" s="390"/>
      <c r="K772" s="390"/>
      <c r="L772" s="390"/>
      <c r="M772" s="390"/>
      <c r="N772" s="390"/>
      <c r="O772" s="390"/>
      <c r="P772" s="390"/>
      <c r="Q772" s="390"/>
      <c r="R772" s="390"/>
      <c r="S772" s="390"/>
      <c r="T772" s="390"/>
      <c r="U772" s="391"/>
      <c r="V772" s="390"/>
      <c r="W772" s="390"/>
      <c r="X772" s="390"/>
      <c r="Y772" s="391"/>
      <c r="Z772" s="391"/>
      <c r="AA772" s="390"/>
      <c r="AB772" s="390"/>
      <c r="AC772" s="390"/>
      <c r="AD772" s="390"/>
      <c r="AE772" s="390"/>
      <c r="AF772" s="390"/>
      <c r="AG772" s="390"/>
      <c r="AH772" s="390"/>
      <c r="AI772" s="390"/>
      <c r="AJ772" s="390"/>
      <c r="AK772" s="390"/>
      <c r="AL772" s="390"/>
      <c r="AM772" s="390"/>
      <c r="AN772" s="391"/>
      <c r="AO772" s="390"/>
      <c r="AP772" s="390"/>
      <c r="AQ772" s="390"/>
      <c r="AR772" s="391"/>
      <c r="AS772" s="391"/>
      <c r="AT772" s="390"/>
      <c r="AU772" s="390"/>
      <c r="AV772" s="390"/>
      <c r="AW772" s="390"/>
      <c r="AX772" s="390"/>
      <c r="AY772" s="390"/>
      <c r="AZ772" s="390"/>
      <c r="BA772" s="390"/>
      <c r="BB772" s="390"/>
      <c r="BC772" s="390"/>
      <c r="BD772" s="390"/>
      <c r="BE772" s="390"/>
      <c r="BF772" s="390"/>
      <c r="BG772" s="391"/>
      <c r="BH772" s="390"/>
      <c r="BI772" s="390"/>
    </row>
  </sheetData>
  <autoFilter ref="A9:W500"/>
  <mergeCells count="4">
    <mergeCell ref="E7:W7"/>
    <mergeCell ref="X7:AP7"/>
    <mergeCell ref="AQ7:BI7"/>
    <mergeCell ref="B3:BG5"/>
  </mergeCells>
  <conditionalFormatting sqref="C185:C186 C188:C192">
    <cfRule type="duplicateValues" dxfId="242" priority="361"/>
  </conditionalFormatting>
  <conditionalFormatting sqref="C257">
    <cfRule type="duplicateValues" dxfId="241" priority="355"/>
  </conditionalFormatting>
  <conditionalFormatting sqref="C278">
    <cfRule type="duplicateValues" dxfId="240" priority="351"/>
  </conditionalFormatting>
  <conditionalFormatting sqref="C281:C282">
    <cfRule type="duplicateValues" dxfId="239" priority="349"/>
  </conditionalFormatting>
  <conditionalFormatting sqref="C342">
    <cfRule type="duplicateValues" dxfId="238" priority="319"/>
  </conditionalFormatting>
  <conditionalFormatting sqref="C379">
    <cfRule type="duplicateValues" dxfId="237" priority="311"/>
  </conditionalFormatting>
  <conditionalFormatting sqref="C437">
    <cfRule type="duplicateValues" dxfId="236" priority="309"/>
  </conditionalFormatting>
  <conditionalFormatting sqref="C307">
    <cfRule type="duplicateValues" dxfId="235" priority="289"/>
  </conditionalFormatting>
  <conditionalFormatting sqref="C338">
    <cfRule type="duplicateValues" dxfId="234" priority="279"/>
  </conditionalFormatting>
  <conditionalFormatting sqref="C418 C394:C395 C401">
    <cfRule type="duplicateValues" dxfId="233" priority="429"/>
  </conditionalFormatting>
  <conditionalFormatting sqref="C263:C265">
    <cfRule type="duplicateValues" dxfId="232" priority="233"/>
  </conditionalFormatting>
  <conditionalFormatting sqref="C184">
    <cfRule type="duplicateValues" dxfId="231" priority="232"/>
  </conditionalFormatting>
  <conditionalFormatting sqref="C397">
    <cfRule type="duplicateValues" dxfId="230" priority="229"/>
  </conditionalFormatting>
  <conditionalFormatting sqref="C149">
    <cfRule type="duplicateValues" dxfId="229" priority="228"/>
  </conditionalFormatting>
  <conditionalFormatting sqref="C227">
    <cfRule type="duplicateValues" dxfId="228" priority="227"/>
  </conditionalFormatting>
  <conditionalFormatting sqref="C387">
    <cfRule type="duplicateValues" dxfId="227" priority="225"/>
  </conditionalFormatting>
  <conditionalFormatting sqref="C298">
    <cfRule type="duplicateValues" dxfId="226" priority="223"/>
  </conditionalFormatting>
  <conditionalFormatting sqref="C228">
    <cfRule type="duplicateValues" dxfId="225" priority="221"/>
  </conditionalFormatting>
  <conditionalFormatting sqref="C187">
    <cfRule type="duplicateValues" dxfId="224" priority="220"/>
  </conditionalFormatting>
  <conditionalFormatting sqref="C152">
    <cfRule type="duplicateValues" dxfId="223" priority="219"/>
  </conditionalFormatting>
  <conditionalFormatting sqref="C382">
    <cfRule type="duplicateValues" dxfId="222" priority="216"/>
  </conditionalFormatting>
  <conditionalFormatting sqref="C229">
    <cfRule type="duplicateValues" dxfId="221" priority="215"/>
  </conditionalFormatting>
  <conditionalFormatting sqref="C231">
    <cfRule type="duplicateValues" dxfId="220" priority="213"/>
  </conditionalFormatting>
  <conditionalFormatting sqref="C328">
    <cfRule type="duplicateValues" dxfId="219" priority="208"/>
  </conditionalFormatting>
  <conditionalFormatting sqref="C322">
    <cfRule type="duplicateValues" dxfId="218" priority="206"/>
  </conditionalFormatting>
  <conditionalFormatting sqref="C308">
    <cfRule type="duplicateValues" dxfId="217" priority="204"/>
  </conditionalFormatting>
  <conditionalFormatting sqref="C230 C226">
    <cfRule type="duplicateValues" dxfId="216" priority="544"/>
  </conditionalFormatting>
  <conditionalFormatting sqref="C100 C73:C77 C24:C38 C71">
    <cfRule type="duplicateValues" dxfId="215" priority="584"/>
  </conditionalFormatting>
  <conditionalFormatting sqref="C181 C147:C148 C150:C151 C153:C157">
    <cfRule type="duplicateValues" dxfId="214" priority="606"/>
  </conditionalFormatting>
  <conditionalFormatting sqref="C224">
    <cfRule type="duplicateValues" dxfId="213" priority="607"/>
  </conditionalFormatting>
  <conditionalFormatting sqref="C261">
    <cfRule type="duplicateValues" dxfId="212" priority="614"/>
  </conditionalFormatting>
  <conditionalFormatting sqref="C326 C321">
    <cfRule type="duplicateValues" dxfId="211" priority="656"/>
  </conditionalFormatting>
  <conditionalFormatting sqref="C335 C321 C326">
    <cfRule type="duplicateValues" dxfId="210" priority="671"/>
  </conditionalFormatting>
  <conditionalFormatting sqref="C337">
    <cfRule type="duplicateValues" dxfId="209" priority="674"/>
  </conditionalFormatting>
  <conditionalFormatting sqref="C362 C346">
    <cfRule type="duplicateValues" dxfId="208" priority="697"/>
  </conditionalFormatting>
  <conditionalFormatting sqref="C371">
    <cfRule type="duplicateValues" dxfId="207" priority="709"/>
  </conditionalFormatting>
  <conditionalFormatting sqref="C392 C388 C385">
    <cfRule type="duplicateValues" dxfId="206" priority="713"/>
  </conditionalFormatting>
  <conditionalFormatting sqref="C411 C404:C406">
    <cfRule type="duplicateValues" dxfId="205" priority="719"/>
  </conditionalFormatting>
  <conditionalFormatting sqref="C408">
    <cfRule type="duplicateValues" dxfId="204" priority="723"/>
  </conditionalFormatting>
  <conditionalFormatting sqref="C426 C392 C388 C385">
    <cfRule type="duplicateValues" dxfId="203" priority="728"/>
  </conditionalFormatting>
  <conditionalFormatting sqref="C433:C436">
    <cfRule type="duplicateValues" dxfId="202" priority="730"/>
  </conditionalFormatting>
  <conditionalFormatting sqref="C442">
    <cfRule type="duplicateValues" dxfId="201" priority="731"/>
  </conditionalFormatting>
  <conditionalFormatting sqref="C353">
    <cfRule type="duplicateValues" dxfId="200" priority="179"/>
  </conditionalFormatting>
  <conditionalFormatting sqref="C432">
    <cfRule type="duplicateValues" dxfId="199" priority="745"/>
  </conditionalFormatting>
  <conditionalFormatting sqref="C266">
    <cfRule type="duplicateValues" dxfId="198" priority="748"/>
  </conditionalFormatting>
  <conditionalFormatting sqref="C145 C102:C115">
    <cfRule type="duplicateValues" dxfId="197" priority="759"/>
  </conditionalFormatting>
  <conditionalFormatting sqref="C232">
    <cfRule type="duplicateValues" dxfId="196" priority="169"/>
  </conditionalFormatting>
  <conditionalFormatting sqref="C193:C194">
    <cfRule type="duplicateValues" dxfId="195" priority="164"/>
  </conditionalFormatting>
  <conditionalFormatting sqref="C126:C144">
    <cfRule type="duplicateValues" dxfId="194" priority="163"/>
  </conditionalFormatting>
  <conditionalFormatting sqref="C117">
    <cfRule type="duplicateValues" dxfId="193" priority="162"/>
  </conditionalFormatting>
  <conditionalFormatting sqref="C116">
    <cfRule type="duplicateValues" dxfId="192" priority="161"/>
  </conditionalFormatting>
  <conditionalFormatting sqref="C40:C41">
    <cfRule type="duplicateValues" dxfId="191" priority="153"/>
  </conditionalFormatting>
  <conditionalFormatting sqref="C39">
    <cfRule type="duplicateValues" dxfId="190" priority="152"/>
  </conditionalFormatting>
  <conditionalFormatting sqref="C158:C159">
    <cfRule type="duplicateValues" dxfId="189" priority="149"/>
  </conditionalFormatting>
  <conditionalFormatting sqref="C42">
    <cfRule type="duplicateValues" dxfId="188" priority="147"/>
  </conditionalFormatting>
  <conditionalFormatting sqref="C43">
    <cfRule type="duplicateValues" dxfId="187" priority="146"/>
  </conditionalFormatting>
  <conditionalFormatting sqref="C118">
    <cfRule type="duplicateValues" dxfId="186" priority="145"/>
  </conditionalFormatting>
  <conditionalFormatting sqref="C160">
    <cfRule type="duplicateValues" dxfId="185" priority="144"/>
  </conditionalFormatting>
  <conditionalFormatting sqref="C268:C273 C275:C277">
    <cfRule type="duplicateValues" dxfId="184" priority="140"/>
  </conditionalFormatting>
  <conditionalFormatting sqref="C267">
    <cfRule type="duplicateValues" dxfId="183" priority="138"/>
  </conditionalFormatting>
  <conditionalFormatting sqref="C119">
    <cfRule type="duplicateValues" dxfId="182" priority="137"/>
  </conditionalFormatting>
  <conditionalFormatting sqref="C125">
    <cfRule type="duplicateValues" dxfId="181" priority="136"/>
  </conditionalFormatting>
  <conditionalFormatting sqref="C120">
    <cfRule type="duplicateValues" dxfId="180" priority="135"/>
  </conditionalFormatting>
  <conditionalFormatting sqref="C121">
    <cfRule type="duplicateValues" dxfId="179" priority="134"/>
  </conditionalFormatting>
  <conditionalFormatting sqref="C44">
    <cfRule type="duplicateValues" dxfId="178" priority="133"/>
  </conditionalFormatting>
  <conditionalFormatting sqref="C330">
    <cfRule type="duplicateValues" dxfId="177" priority="128"/>
  </conditionalFormatting>
  <conditionalFormatting sqref="C329">
    <cfRule type="duplicateValues" dxfId="176" priority="127"/>
  </conditionalFormatting>
  <conditionalFormatting sqref="C45">
    <cfRule type="duplicateValues" dxfId="175" priority="125"/>
  </conditionalFormatting>
  <conditionalFormatting sqref="C161">
    <cfRule type="duplicateValues" dxfId="174" priority="124"/>
  </conditionalFormatting>
  <conditionalFormatting sqref="C122">
    <cfRule type="duplicateValues" dxfId="173" priority="123"/>
  </conditionalFormatting>
  <conditionalFormatting sqref="C300">
    <cfRule type="duplicateValues" dxfId="172" priority="119"/>
  </conditionalFormatting>
  <conditionalFormatting sqref="C301:C304">
    <cfRule type="duplicateValues" dxfId="171" priority="118"/>
  </conditionalFormatting>
  <conditionalFormatting sqref="C195">
    <cfRule type="duplicateValues" dxfId="170" priority="117"/>
  </conditionalFormatting>
  <conditionalFormatting sqref="C233">
    <cfRule type="duplicateValues" dxfId="169" priority="115"/>
  </conditionalFormatting>
  <conditionalFormatting sqref="C78">
    <cfRule type="duplicateValues" dxfId="168" priority="112"/>
  </conditionalFormatting>
  <conditionalFormatting sqref="C79">
    <cfRule type="duplicateValues" dxfId="167" priority="110"/>
  </conditionalFormatting>
  <conditionalFormatting sqref="C162">
    <cfRule type="duplicateValues" dxfId="166" priority="109"/>
  </conditionalFormatting>
  <conditionalFormatting sqref="C80">
    <cfRule type="duplicateValues" dxfId="165" priority="108"/>
  </conditionalFormatting>
  <conditionalFormatting sqref="C81">
    <cfRule type="duplicateValues" dxfId="164" priority="107"/>
  </conditionalFormatting>
  <conditionalFormatting sqref="C82">
    <cfRule type="duplicateValues" dxfId="163" priority="106"/>
  </conditionalFormatting>
  <conditionalFormatting sqref="C83">
    <cfRule type="duplicateValues" dxfId="162" priority="105"/>
  </conditionalFormatting>
  <conditionalFormatting sqref="C234">
    <cfRule type="duplicateValues" dxfId="161" priority="102"/>
  </conditionalFormatting>
  <conditionalFormatting sqref="C85">
    <cfRule type="duplicateValues" dxfId="160" priority="99"/>
  </conditionalFormatting>
  <conditionalFormatting sqref="C163">
    <cfRule type="duplicateValues" dxfId="159" priority="98"/>
  </conditionalFormatting>
  <conditionalFormatting sqref="C123">
    <cfRule type="duplicateValues" dxfId="158" priority="97"/>
  </conditionalFormatting>
  <conditionalFormatting sqref="C196">
    <cfRule type="duplicateValues" dxfId="157" priority="96"/>
  </conditionalFormatting>
  <conditionalFormatting sqref="C164">
    <cfRule type="duplicateValues" dxfId="156" priority="89"/>
  </conditionalFormatting>
  <conditionalFormatting sqref="C86">
    <cfRule type="duplicateValues" dxfId="155" priority="88"/>
  </conditionalFormatting>
  <conditionalFormatting sqref="C87">
    <cfRule type="duplicateValues" dxfId="154" priority="87"/>
  </conditionalFormatting>
  <conditionalFormatting sqref="C88">
    <cfRule type="duplicateValues" dxfId="153" priority="86"/>
  </conditionalFormatting>
  <conditionalFormatting sqref="C90">
    <cfRule type="duplicateValues" dxfId="152" priority="85"/>
  </conditionalFormatting>
  <conditionalFormatting sqref="C201">
    <cfRule type="duplicateValues" dxfId="151" priority="84"/>
  </conditionalFormatting>
  <conditionalFormatting sqref="C198">
    <cfRule type="duplicateValues" dxfId="150" priority="83"/>
  </conditionalFormatting>
  <conditionalFormatting sqref="C197">
    <cfRule type="duplicateValues" dxfId="149" priority="82"/>
  </conditionalFormatting>
  <conditionalFormatting sqref="C166">
    <cfRule type="duplicateValues" dxfId="148" priority="80"/>
  </conditionalFormatting>
  <conditionalFormatting sqref="C165">
    <cfRule type="duplicateValues" dxfId="147" priority="79"/>
  </conditionalFormatting>
  <conditionalFormatting sqref="C237">
    <cfRule type="duplicateValues" dxfId="146" priority="77"/>
  </conditionalFormatting>
  <conditionalFormatting sqref="C236">
    <cfRule type="duplicateValues" dxfId="145" priority="75"/>
  </conditionalFormatting>
  <conditionalFormatting sqref="C235">
    <cfRule type="duplicateValues" dxfId="144" priority="73"/>
  </conditionalFormatting>
  <conditionalFormatting sqref="C47">
    <cfRule type="duplicateValues" dxfId="143" priority="71"/>
  </conditionalFormatting>
  <conditionalFormatting sqref="C46">
    <cfRule type="duplicateValues" dxfId="142" priority="70"/>
  </conditionalFormatting>
  <conditionalFormatting sqref="C89">
    <cfRule type="duplicateValues" dxfId="141" priority="69"/>
  </conditionalFormatting>
  <conditionalFormatting sqref="C238">
    <cfRule type="duplicateValues" dxfId="140" priority="64"/>
  </conditionalFormatting>
  <conditionalFormatting sqref="C167">
    <cfRule type="duplicateValues" dxfId="139" priority="63"/>
  </conditionalFormatting>
  <conditionalFormatting sqref="C169">
    <cfRule type="duplicateValues" dxfId="138" priority="62"/>
  </conditionalFormatting>
  <conditionalFormatting sqref="C168">
    <cfRule type="duplicateValues" dxfId="137" priority="61"/>
  </conditionalFormatting>
  <conditionalFormatting sqref="C92">
    <cfRule type="duplicateValues" dxfId="136" priority="55"/>
  </conditionalFormatting>
  <conditionalFormatting sqref="C422:C425">
    <cfRule type="duplicateValues" dxfId="135" priority="53"/>
  </conditionalFormatting>
  <conditionalFormatting sqref="C48">
    <cfRule type="duplicateValues" dxfId="134" priority="52"/>
  </conditionalFormatting>
  <conditionalFormatting sqref="C199">
    <cfRule type="duplicateValues" dxfId="133" priority="51"/>
  </conditionalFormatting>
  <conditionalFormatting sqref="C49">
    <cfRule type="duplicateValues" dxfId="132" priority="50"/>
  </conditionalFormatting>
  <conditionalFormatting sqref="C50">
    <cfRule type="duplicateValues" dxfId="131" priority="49"/>
  </conditionalFormatting>
  <conditionalFormatting sqref="C51">
    <cfRule type="duplicateValues" dxfId="130" priority="48"/>
  </conditionalFormatting>
  <conditionalFormatting sqref="C52">
    <cfRule type="duplicateValues" dxfId="129" priority="47"/>
  </conditionalFormatting>
  <conditionalFormatting sqref="C200">
    <cfRule type="duplicateValues" dxfId="128" priority="46"/>
  </conditionalFormatting>
  <conditionalFormatting sqref="C170:C180">
    <cfRule type="duplicateValues" dxfId="127" priority="45"/>
  </conditionalFormatting>
  <conditionalFormatting sqref="C202">
    <cfRule type="duplicateValues" dxfId="126" priority="44"/>
  </conditionalFormatting>
  <conditionalFormatting sqref="C203">
    <cfRule type="duplicateValues" dxfId="125" priority="43"/>
  </conditionalFormatting>
  <conditionalFormatting sqref="C439:C441">
    <cfRule type="duplicateValues" dxfId="124" priority="41"/>
  </conditionalFormatting>
  <conditionalFormatting sqref="C417">
    <cfRule type="duplicateValues" dxfId="123" priority="40"/>
  </conditionalFormatting>
  <conditionalFormatting sqref="C124">
    <cfRule type="duplicateValues" dxfId="122" priority="36"/>
  </conditionalFormatting>
  <conditionalFormatting sqref="C501">
    <cfRule type="duplicateValues" dxfId="121" priority="29"/>
  </conditionalFormatting>
  <conditionalFormatting sqref="C604 C503">
    <cfRule type="duplicateValues" dxfId="120" priority="32"/>
  </conditionalFormatting>
  <conditionalFormatting sqref="C611">
    <cfRule type="duplicateValues" dxfId="119" priority="33"/>
  </conditionalFormatting>
  <conditionalFormatting sqref="C607:C610">
    <cfRule type="duplicateValues" dxfId="118" priority="24"/>
  </conditionalFormatting>
  <conditionalFormatting sqref="C616">
    <cfRule type="duplicateValues" dxfId="117" priority="23"/>
  </conditionalFormatting>
  <conditionalFormatting sqref="C289">
    <cfRule type="duplicateValues" dxfId="116" priority="763"/>
  </conditionalFormatting>
  <conditionalFormatting sqref="C349 C299 C297 C305">
    <cfRule type="duplicateValues" dxfId="115" priority="766"/>
  </conditionalFormatting>
  <conditionalFormatting sqref="C349 C297">
    <cfRule type="duplicateValues" dxfId="114" priority="781"/>
  </conditionalFormatting>
  <conditionalFormatting sqref="C421">
    <cfRule type="duplicateValues" dxfId="113" priority="782"/>
  </conditionalFormatting>
  <conditionalFormatting sqref="C429">
    <cfRule type="duplicateValues" dxfId="112" priority="783"/>
  </conditionalFormatting>
  <conditionalFormatting sqref="C444">
    <cfRule type="duplicateValues" dxfId="111" priority="784"/>
  </conditionalFormatting>
  <conditionalFormatting sqref="C84">
    <cfRule type="duplicateValues" dxfId="110" priority="14"/>
  </conditionalFormatting>
  <conditionalFormatting sqref="C84">
    <cfRule type="duplicateValues" dxfId="109" priority="15"/>
  </conditionalFormatting>
  <conditionalFormatting sqref="C91">
    <cfRule type="duplicateValues" dxfId="108" priority="12"/>
  </conditionalFormatting>
  <conditionalFormatting sqref="C91">
    <cfRule type="duplicateValues" dxfId="107" priority="13"/>
  </conditionalFormatting>
  <conditionalFormatting sqref="C331:C334">
    <cfRule type="duplicateValues" dxfId="106" priority="10"/>
  </conditionalFormatting>
  <conditionalFormatting sqref="C355:C358">
    <cfRule type="duplicateValues" dxfId="105" priority="799"/>
  </conditionalFormatting>
  <conditionalFormatting sqref="C411">
    <cfRule type="duplicateValues" dxfId="104" priority="814"/>
  </conditionalFormatting>
  <conditionalFormatting sqref="C447:C449">
    <cfRule type="duplicateValues" dxfId="103" priority="815"/>
  </conditionalFormatting>
  <conditionalFormatting sqref="C606">
    <cfRule type="duplicateValues" dxfId="102" priority="816"/>
  </conditionalFormatting>
  <conditionalFormatting sqref="C613">
    <cfRule type="duplicateValues" dxfId="101" priority="817"/>
  </conditionalFormatting>
  <conditionalFormatting sqref="C369:C370">
    <cfRule type="duplicateValues" dxfId="100" priority="7"/>
  </conditionalFormatting>
  <conditionalFormatting sqref="C452:C500">
    <cfRule type="duplicateValues" dxfId="99" priority="826"/>
  </conditionalFormatting>
  <conditionalFormatting sqref="C504:C603">
    <cfRule type="duplicateValues" dxfId="98" priority="828"/>
  </conditionalFormatting>
  <conditionalFormatting sqref="C409:C410">
    <cfRule type="duplicateValues" dxfId="97" priority="835"/>
  </conditionalFormatting>
  <conditionalFormatting sqref="C414:C416">
    <cfRule type="duplicateValues" dxfId="96" priority="841"/>
  </conditionalFormatting>
  <conditionalFormatting sqref="C398:C400">
    <cfRule type="duplicateValues" dxfId="95" priority="844"/>
  </conditionalFormatting>
  <conditionalFormatting sqref="C390:C391">
    <cfRule type="duplicateValues" dxfId="94" priority="854"/>
  </conditionalFormatting>
  <conditionalFormatting sqref="C383:C384">
    <cfRule type="duplicateValues" dxfId="93" priority="863"/>
  </conditionalFormatting>
  <conditionalFormatting sqref="C373:C376 C378">
    <cfRule type="duplicateValues" dxfId="92" priority="872"/>
  </conditionalFormatting>
  <conditionalFormatting sqref="C367">
    <cfRule type="duplicateValues" dxfId="91" priority="6"/>
  </conditionalFormatting>
  <conditionalFormatting sqref="C365:C366">
    <cfRule type="duplicateValues" dxfId="90" priority="892"/>
  </conditionalFormatting>
  <conditionalFormatting sqref="C360:C361">
    <cfRule type="duplicateValues" dxfId="89" priority="903"/>
  </conditionalFormatting>
  <conditionalFormatting sqref="C351:C352">
    <cfRule type="duplicateValues" dxfId="88" priority="914"/>
  </conditionalFormatting>
  <conditionalFormatting sqref="C344:C345">
    <cfRule type="duplicateValues" dxfId="87" priority="925"/>
  </conditionalFormatting>
  <conditionalFormatting sqref="C341">
    <cfRule type="duplicateValues" dxfId="86" priority="940"/>
  </conditionalFormatting>
  <conditionalFormatting sqref="C323 C325">
    <cfRule type="duplicateValues" dxfId="85" priority="958"/>
  </conditionalFormatting>
  <conditionalFormatting sqref="C315">
    <cfRule type="duplicateValues" dxfId="84" priority="4"/>
  </conditionalFormatting>
  <conditionalFormatting sqref="C315">
    <cfRule type="duplicateValues" dxfId="83" priority="5"/>
  </conditionalFormatting>
  <conditionalFormatting sqref="C291:C294">
    <cfRule type="duplicateValues" dxfId="82" priority="961"/>
  </conditionalFormatting>
  <conditionalFormatting sqref="C259:C260">
    <cfRule type="duplicateValues" dxfId="81" priority="974"/>
  </conditionalFormatting>
  <conditionalFormatting sqref="C239:C256">
    <cfRule type="duplicateValues" dxfId="80" priority="987"/>
  </conditionalFormatting>
  <conditionalFormatting sqref="C204:C223">
    <cfRule type="duplicateValues" dxfId="79" priority="1001"/>
  </conditionalFormatting>
  <conditionalFormatting sqref="C93:C99">
    <cfRule type="duplicateValues" dxfId="78" priority="1023"/>
  </conditionalFormatting>
  <conditionalFormatting sqref="C53:C70">
    <cfRule type="duplicateValues" dxfId="77" priority="1045"/>
  </conditionalFormatting>
  <conditionalFormatting sqref="C614:C615">
    <cfRule type="duplicateValues" dxfId="76" priority="1063"/>
  </conditionalFormatting>
  <conditionalFormatting sqref="C274">
    <cfRule type="duplicateValues" dxfId="75" priority="3"/>
  </conditionalFormatting>
  <conditionalFormatting sqref="C324">
    <cfRule type="duplicateValues" dxfId="74" priority="2"/>
  </conditionalFormatting>
  <conditionalFormatting sqref="C377">
    <cfRule type="duplicateValues" dxfId="73" priority="1"/>
  </conditionalFormatting>
  <dataValidations count="1">
    <dataValidation type="list" allowBlank="1" showInputMessage="1" showErrorMessage="1" sqref="AK24:AL70 AK147:AL180 AK184:AL223 R226:S231 AK297:AL304 BD317:BE318 R421:S421 R12:S14 AK259:AL260 AK382:AL384 R263:S266 AK321:AL325 AK355:AL357 R433:S436 R397:S400 AK421:AL425 R408:S408 AK413:AL416 R413:S413 AK408:AL410 R184:S192 R24:S38 AK226:AL256 R328:S328 R147:S157 R382:S382 R307:S308 R297:S299 R73:S77 AK433:AL436 AK397:AL400 R102:S115 AK439:AL441 AK344:AL345 AK351:AL352 AK360:AL361 AK607:AL610 AK614:AL615 AK373:AL378 R373:S378 AK73:AL99 AK328:AL334 R321:S322 AK102:AL144 BD24:BE70 BD102:BE144 BD184:BE223 BD291:BE292 R284:S285 BD259:BE260 BD382:BE384 BD321:BE325 BD355:BE357 BD421:BE425 BD413:BE416 BD12:BE21 BD408:BE410 BD226:BE256 BD433:BE436 BD397:BE400 BD147:BE180 BD439:BE441 BD344:BE345 BD351:BE352 BD360:BE361 BD607:BE610 BD614:BE615 BD373:BE378 BD73:BE99 BD328:BE334 BD284:BE285 AK284:AL285 AK307:AL314 BD307:BE314 AK317:AL318 BD297:BE304 BD365:BE365 BD369:BE369 BD390:BE390 BD404:BE405 R452:S500 AK452:AL500 BD452:BE500 AK504:AL603 BD504:BE603 AK12:AL21 BD263:BE277 AK263:AL277">
      <formula1>способ</formula1>
    </dataValidation>
  </dataValidations>
  <pageMargins left="0.19685039370078741" right="0.15748031496062992" top="0.59055118110236227" bottom="0.59055118110236227" header="0" footer="0"/>
  <pageSetup paperSize="9" scale="46" orientation="landscape" r:id="rId1"/>
  <rowBreaks count="2" manualBreakCount="2">
    <brk id="440" max="60" man="1"/>
    <brk id="491" max="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273"/>
  <sheetViews>
    <sheetView view="pageBreakPreview" zoomScale="70" zoomScaleNormal="65" zoomScaleSheetLayoutView="70" workbookViewId="0">
      <pane ySplit="9" topLeftCell="A91" activePane="bottomLeft" state="frozen"/>
      <selection pane="bottomLeft" activeCell="AQ102" sqref="AQ102"/>
    </sheetView>
  </sheetViews>
  <sheetFormatPr defaultColWidth="9.109375" defaultRowHeight="14.4" outlineLevelCol="3" x14ac:dyDescent="0.3"/>
  <cols>
    <col min="1" max="1" width="9.33203125" style="317" customWidth="1"/>
    <col min="2" max="2" width="35.77734375" style="312" customWidth="1"/>
    <col min="3" max="3" width="15.5546875" style="312" customWidth="1"/>
    <col min="4" max="4" width="8.88671875" style="372" customWidth="1"/>
    <col min="5" max="5" width="9.109375" style="509" hidden="1" customWidth="1" outlineLevel="3"/>
    <col min="6" max="7" width="9.109375" style="6" hidden="1" customWidth="1" outlineLevel="3"/>
    <col min="8" max="8" width="14.77734375" style="6" hidden="1" customWidth="1" outlineLevel="3"/>
    <col min="9" max="17" width="13.77734375" style="6" hidden="1" customWidth="1" outlineLevel="3"/>
    <col min="18" max="20" width="9.77734375" style="6" hidden="1" customWidth="1" outlineLevel="3"/>
    <col min="21" max="21" width="9.77734375" style="3" hidden="1" customWidth="1" outlineLevel="3"/>
    <col min="22" max="22" width="10.77734375" style="314" hidden="1" customWidth="1" outlineLevel="3"/>
    <col min="23" max="23" width="9.77734375" style="314" hidden="1" customWidth="1" outlineLevel="3"/>
    <col min="24" max="24" width="9.109375" style="509" hidden="1" customWidth="1" outlineLevel="2" collapsed="1"/>
    <col min="25" max="26" width="9.109375" style="6" hidden="1" customWidth="1" outlineLevel="2"/>
    <col min="27" max="27" width="14.77734375" style="6" hidden="1" customWidth="1" outlineLevel="2"/>
    <col min="28" max="36" width="13.77734375" style="6" hidden="1" customWidth="1" outlineLevel="2"/>
    <col min="37" max="39" width="9.77734375" style="6" hidden="1" customWidth="1" outlineLevel="2"/>
    <col min="40" max="40" width="9.77734375" style="3" hidden="1" customWidth="1" outlineLevel="2"/>
    <col min="41" max="41" width="10.77734375" style="314" hidden="1" customWidth="1" outlineLevel="2"/>
    <col min="42" max="42" width="9.77734375" style="314" hidden="1" customWidth="1" outlineLevel="2"/>
    <col min="43" max="43" width="9.109375" style="509" customWidth="1" outlineLevel="1" collapsed="1"/>
    <col min="44" max="45" width="9.109375" style="6" customWidth="1" outlineLevel="1"/>
    <col min="46" max="46" width="14.77734375" style="6" customWidth="1" outlineLevel="1"/>
    <col min="47" max="55" width="13.77734375" style="6" customWidth="1" outlineLevel="1"/>
    <col min="56" max="58" width="9.77734375" style="6" customWidth="1" outlineLevel="1"/>
    <col min="59" max="59" width="9.77734375" style="3" customWidth="1" outlineLevel="1"/>
    <col min="60" max="60" width="10.77734375" style="314" customWidth="1" outlineLevel="1"/>
    <col min="61" max="61" width="9.77734375" style="314" customWidth="1" outlineLevel="1"/>
    <col min="62" max="70" width="9.109375" style="46"/>
    <col min="71" max="16384" width="9.109375" style="6"/>
  </cols>
  <sheetData>
    <row r="1" spans="1:70" s="46" customFormat="1" x14ac:dyDescent="0.3">
      <c r="A1" s="317"/>
      <c r="B1" s="312"/>
      <c r="C1" s="312"/>
      <c r="D1" s="372"/>
      <c r="E1" s="496"/>
      <c r="U1" s="315"/>
      <c r="X1" s="496"/>
      <c r="AN1" s="315"/>
      <c r="AQ1" s="496"/>
      <c r="BG1" s="315"/>
    </row>
    <row r="2" spans="1:70" s="46" customFormat="1" ht="21" x14ac:dyDescent="0.3">
      <c r="A2" s="317"/>
      <c r="B2" s="312"/>
      <c r="C2" s="312"/>
      <c r="D2" s="37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c r="AW2" s="542"/>
      <c r="AX2" s="542"/>
      <c r="AY2" s="542"/>
      <c r="AZ2" s="542"/>
      <c r="BA2" s="542"/>
      <c r="BB2" s="542"/>
      <c r="BC2" s="542"/>
      <c r="BD2" s="542"/>
      <c r="BE2" s="542"/>
      <c r="BF2" s="542"/>
      <c r="BG2" s="542"/>
      <c r="BH2" s="542"/>
      <c r="BI2" s="542"/>
    </row>
    <row r="3" spans="1:70" s="46" customFormat="1" ht="21" x14ac:dyDescent="0.3">
      <c r="A3" s="317"/>
      <c r="B3" s="605" t="s">
        <v>403</v>
      </c>
      <c r="C3" s="606"/>
      <c r="D3" s="606"/>
      <c r="E3" s="607"/>
      <c r="F3" s="607"/>
      <c r="G3" s="607"/>
      <c r="H3" s="607"/>
      <c r="I3" s="607"/>
      <c r="J3" s="607"/>
      <c r="K3" s="607"/>
      <c r="L3" s="607"/>
      <c r="M3" s="607"/>
      <c r="N3" s="607"/>
      <c r="O3" s="607"/>
      <c r="P3" s="607"/>
      <c r="Q3" s="607"/>
      <c r="R3" s="607"/>
      <c r="S3" s="607"/>
      <c r="T3" s="607"/>
      <c r="U3" s="607"/>
      <c r="V3" s="607"/>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608"/>
      <c r="BH3" s="608"/>
      <c r="BI3" s="542"/>
    </row>
    <row r="4" spans="1:70" s="46" customFormat="1" ht="21" x14ac:dyDescent="0.3">
      <c r="A4" s="317"/>
      <c r="B4" s="606"/>
      <c r="C4" s="606"/>
      <c r="D4" s="606"/>
      <c r="E4" s="607"/>
      <c r="F4" s="607"/>
      <c r="G4" s="607"/>
      <c r="H4" s="607"/>
      <c r="I4" s="607"/>
      <c r="J4" s="607"/>
      <c r="K4" s="607"/>
      <c r="L4" s="607"/>
      <c r="M4" s="607"/>
      <c r="N4" s="607"/>
      <c r="O4" s="607"/>
      <c r="P4" s="607"/>
      <c r="Q4" s="607"/>
      <c r="R4" s="607"/>
      <c r="S4" s="607"/>
      <c r="T4" s="607"/>
      <c r="U4" s="607"/>
      <c r="V4" s="607"/>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542"/>
    </row>
    <row r="5" spans="1:70" s="46" customFormat="1" ht="21" x14ac:dyDescent="0.3">
      <c r="A5" s="317"/>
      <c r="B5" s="606"/>
      <c r="C5" s="606"/>
      <c r="D5" s="606"/>
      <c r="E5" s="607"/>
      <c r="F5" s="607"/>
      <c r="G5" s="607"/>
      <c r="H5" s="607"/>
      <c r="I5" s="607"/>
      <c r="J5" s="607"/>
      <c r="K5" s="607"/>
      <c r="L5" s="607"/>
      <c r="M5" s="607"/>
      <c r="N5" s="607"/>
      <c r="O5" s="607"/>
      <c r="P5" s="607"/>
      <c r="Q5" s="607"/>
      <c r="R5" s="607"/>
      <c r="S5" s="607"/>
      <c r="T5" s="607"/>
      <c r="U5" s="607"/>
      <c r="V5" s="607"/>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542"/>
    </row>
    <row r="6" spans="1:70" s="46" customFormat="1" x14ac:dyDescent="0.3">
      <c r="A6" s="317"/>
      <c r="B6" s="312"/>
      <c r="C6" s="312"/>
      <c r="D6" s="372"/>
      <c r="E6" s="496"/>
      <c r="U6" s="315"/>
      <c r="X6" s="496"/>
      <c r="AN6" s="315"/>
      <c r="AQ6" s="496"/>
      <c r="BG6" s="315"/>
    </row>
    <row r="7" spans="1:70" s="232" customFormat="1" ht="24" customHeight="1" thickBot="1" x14ac:dyDescent="0.35">
      <c r="A7" s="317"/>
      <c r="B7" s="312"/>
      <c r="C7" s="312"/>
      <c r="D7" s="372"/>
      <c r="E7" s="1">
        <v>2018</v>
      </c>
      <c r="F7" s="1"/>
      <c r="G7" s="1"/>
      <c r="H7" s="1"/>
      <c r="I7" s="1"/>
      <c r="J7" s="1"/>
      <c r="K7" s="1"/>
      <c r="L7" s="1"/>
      <c r="M7" s="1"/>
      <c r="N7" s="1"/>
      <c r="O7" s="1"/>
      <c r="P7" s="1"/>
      <c r="Q7" s="1"/>
      <c r="R7" s="1"/>
      <c r="S7" s="1"/>
      <c r="T7" s="1"/>
      <c r="U7" s="1"/>
      <c r="V7" s="1"/>
      <c r="W7" s="1"/>
      <c r="X7" s="609">
        <v>2019</v>
      </c>
      <c r="Y7" s="609"/>
      <c r="Z7" s="609"/>
      <c r="AA7" s="609"/>
      <c r="AB7" s="609"/>
      <c r="AC7" s="609"/>
      <c r="AD7" s="609"/>
      <c r="AE7" s="609"/>
      <c r="AF7" s="609"/>
      <c r="AG7" s="609"/>
      <c r="AH7" s="609"/>
      <c r="AI7" s="609"/>
      <c r="AJ7" s="609"/>
      <c r="AK7" s="609"/>
      <c r="AL7" s="609"/>
      <c r="AM7" s="609"/>
      <c r="AN7" s="609"/>
      <c r="AO7" s="609"/>
      <c r="AP7" s="609"/>
      <c r="AQ7" s="604">
        <v>2020</v>
      </c>
      <c r="AR7" s="604"/>
      <c r="AS7" s="604"/>
      <c r="AT7" s="604"/>
      <c r="AU7" s="604"/>
      <c r="AV7" s="604"/>
      <c r="AW7" s="604"/>
      <c r="AX7" s="604"/>
      <c r="AY7" s="604"/>
      <c r="AZ7" s="604"/>
      <c r="BA7" s="604"/>
      <c r="BB7" s="604"/>
      <c r="BC7" s="604"/>
      <c r="BD7" s="604"/>
      <c r="BE7" s="604"/>
      <c r="BF7" s="604"/>
      <c r="BG7" s="604"/>
      <c r="BH7" s="604"/>
      <c r="BI7" s="604"/>
      <c r="BJ7" s="46"/>
      <c r="BK7" s="46"/>
      <c r="BL7" s="46"/>
      <c r="BM7" s="46"/>
      <c r="BN7" s="46"/>
      <c r="BO7" s="46"/>
      <c r="BP7" s="46"/>
      <c r="BQ7" s="46"/>
      <c r="BR7" s="46"/>
    </row>
    <row r="8" spans="1:70" s="46" customFormat="1" ht="144" x14ac:dyDescent="0.3">
      <c r="A8" s="318" t="s">
        <v>0</v>
      </c>
      <c r="B8" s="313" t="s">
        <v>1</v>
      </c>
      <c r="C8" s="337" t="s">
        <v>390</v>
      </c>
      <c r="D8" s="337" t="s">
        <v>163</v>
      </c>
      <c r="E8" s="497" t="s">
        <v>2</v>
      </c>
      <c r="F8" s="339" t="s">
        <v>140</v>
      </c>
      <c r="G8" s="339" t="s">
        <v>138</v>
      </c>
      <c r="H8" s="339" t="s">
        <v>139</v>
      </c>
      <c r="I8" s="316" t="s">
        <v>168</v>
      </c>
      <c r="J8" s="340" t="s">
        <v>172</v>
      </c>
      <c r="K8" s="340" t="s">
        <v>171</v>
      </c>
      <c r="L8" s="316" t="s">
        <v>141</v>
      </c>
      <c r="M8" s="316" t="s">
        <v>164</v>
      </c>
      <c r="N8" s="316" t="s">
        <v>165</v>
      </c>
      <c r="O8" s="339" t="s">
        <v>166</v>
      </c>
      <c r="P8" s="339" t="s">
        <v>170</v>
      </c>
      <c r="Q8" s="339" t="s">
        <v>169</v>
      </c>
      <c r="R8" s="339" t="s">
        <v>142</v>
      </c>
      <c r="S8" s="339" t="s">
        <v>177</v>
      </c>
      <c r="T8" s="339" t="s">
        <v>176</v>
      </c>
      <c r="U8" s="339" t="s">
        <v>173</v>
      </c>
      <c r="V8" s="469" t="s">
        <v>85</v>
      </c>
      <c r="W8" s="469" t="s">
        <v>86</v>
      </c>
      <c r="X8" s="497" t="s">
        <v>2</v>
      </c>
      <c r="Y8" s="339" t="s">
        <v>140</v>
      </c>
      <c r="Z8" s="339" t="s">
        <v>138</v>
      </c>
      <c r="AA8" s="339" t="s">
        <v>139</v>
      </c>
      <c r="AB8" s="316" t="s">
        <v>168</v>
      </c>
      <c r="AC8" s="340" t="s">
        <v>172</v>
      </c>
      <c r="AD8" s="340" t="s">
        <v>171</v>
      </c>
      <c r="AE8" s="316" t="s">
        <v>141</v>
      </c>
      <c r="AF8" s="316" t="s">
        <v>164</v>
      </c>
      <c r="AG8" s="316" t="s">
        <v>165</v>
      </c>
      <c r="AH8" s="339" t="s">
        <v>166</v>
      </c>
      <c r="AI8" s="339" t="s">
        <v>170</v>
      </c>
      <c r="AJ8" s="339" t="s">
        <v>169</v>
      </c>
      <c r="AK8" s="339" t="s">
        <v>142</v>
      </c>
      <c r="AL8" s="339" t="s">
        <v>177</v>
      </c>
      <c r="AM8" s="339" t="s">
        <v>176</v>
      </c>
      <c r="AN8" s="339" t="s">
        <v>173</v>
      </c>
      <c r="AO8" s="469" t="s">
        <v>85</v>
      </c>
      <c r="AP8" s="469" t="s">
        <v>86</v>
      </c>
      <c r="AQ8" s="497" t="s">
        <v>2</v>
      </c>
      <c r="AR8" s="339" t="s">
        <v>140</v>
      </c>
      <c r="AS8" s="339" t="s">
        <v>138</v>
      </c>
      <c r="AT8" s="339" t="s">
        <v>139</v>
      </c>
      <c r="AU8" s="316" t="s">
        <v>168</v>
      </c>
      <c r="AV8" s="339" t="s">
        <v>172</v>
      </c>
      <c r="AW8" s="339" t="s">
        <v>171</v>
      </c>
      <c r="AX8" s="316" t="s">
        <v>141</v>
      </c>
      <c r="AY8" s="316" t="s">
        <v>164</v>
      </c>
      <c r="AZ8" s="316" t="s">
        <v>165</v>
      </c>
      <c r="BA8" s="316" t="s">
        <v>166</v>
      </c>
      <c r="BB8" s="339" t="s">
        <v>170</v>
      </c>
      <c r="BC8" s="339" t="s">
        <v>169</v>
      </c>
      <c r="BD8" s="339" t="s">
        <v>142</v>
      </c>
      <c r="BE8" s="339" t="s">
        <v>177</v>
      </c>
      <c r="BF8" s="339" t="s">
        <v>176</v>
      </c>
      <c r="BG8" s="339" t="s">
        <v>173</v>
      </c>
      <c r="BH8" s="469" t="s">
        <v>85</v>
      </c>
      <c r="BI8" s="469" t="s">
        <v>86</v>
      </c>
    </row>
    <row r="9" spans="1:70" s="387" customFormat="1" x14ac:dyDescent="0.3">
      <c r="A9" s="370">
        <v>1</v>
      </c>
      <c r="B9" s="371">
        <v>2</v>
      </c>
      <c r="C9" s="440"/>
      <c r="D9" s="370">
        <v>3</v>
      </c>
      <c r="E9" s="498">
        <v>42</v>
      </c>
      <c r="F9" s="370">
        <v>43</v>
      </c>
      <c r="G9" s="371">
        <v>44</v>
      </c>
      <c r="H9" s="370">
        <v>45</v>
      </c>
      <c r="I9" s="370">
        <v>46</v>
      </c>
      <c r="J9" s="371">
        <v>47</v>
      </c>
      <c r="K9" s="370">
        <v>48</v>
      </c>
      <c r="L9" s="370">
        <v>49</v>
      </c>
      <c r="M9" s="371">
        <v>50</v>
      </c>
      <c r="N9" s="370">
        <v>51</v>
      </c>
      <c r="O9" s="370">
        <v>52</v>
      </c>
      <c r="P9" s="371">
        <v>53</v>
      </c>
      <c r="Q9" s="370">
        <v>54</v>
      </c>
      <c r="R9" s="370">
        <v>55</v>
      </c>
      <c r="S9" s="371">
        <v>56</v>
      </c>
      <c r="T9" s="370">
        <v>57</v>
      </c>
      <c r="U9" s="370">
        <v>58</v>
      </c>
      <c r="V9" s="371">
        <v>59</v>
      </c>
      <c r="W9" s="370">
        <v>60</v>
      </c>
      <c r="X9" s="498">
        <v>42</v>
      </c>
      <c r="Y9" s="370">
        <v>43</v>
      </c>
      <c r="Z9" s="371">
        <v>44</v>
      </c>
      <c r="AA9" s="370">
        <v>45</v>
      </c>
      <c r="AB9" s="370">
        <v>46</v>
      </c>
      <c r="AC9" s="371">
        <v>47</v>
      </c>
      <c r="AD9" s="370">
        <v>48</v>
      </c>
      <c r="AE9" s="370">
        <v>49</v>
      </c>
      <c r="AF9" s="371">
        <v>50</v>
      </c>
      <c r="AG9" s="370">
        <v>51</v>
      </c>
      <c r="AH9" s="370">
        <v>52</v>
      </c>
      <c r="AI9" s="371">
        <v>53</v>
      </c>
      <c r="AJ9" s="370">
        <v>54</v>
      </c>
      <c r="AK9" s="370">
        <v>55</v>
      </c>
      <c r="AL9" s="371">
        <v>56</v>
      </c>
      <c r="AM9" s="370">
        <v>57</v>
      </c>
      <c r="AN9" s="370">
        <v>58</v>
      </c>
      <c r="AO9" s="371">
        <v>59</v>
      </c>
      <c r="AP9" s="370">
        <v>60</v>
      </c>
      <c r="AQ9" s="498">
        <v>42</v>
      </c>
      <c r="AR9" s="370">
        <v>43</v>
      </c>
      <c r="AS9" s="371">
        <v>44</v>
      </c>
      <c r="AT9" s="370">
        <v>45</v>
      </c>
      <c r="AU9" s="370">
        <v>46</v>
      </c>
      <c r="AV9" s="371">
        <v>47</v>
      </c>
      <c r="AW9" s="370">
        <v>48</v>
      </c>
      <c r="AX9" s="370">
        <v>49</v>
      </c>
      <c r="AY9" s="371">
        <v>50</v>
      </c>
      <c r="AZ9" s="370">
        <v>51</v>
      </c>
      <c r="BA9" s="370">
        <v>52</v>
      </c>
      <c r="BB9" s="371">
        <v>53</v>
      </c>
      <c r="BC9" s="370">
        <v>54</v>
      </c>
      <c r="BD9" s="370">
        <v>55</v>
      </c>
      <c r="BE9" s="371">
        <v>56</v>
      </c>
      <c r="BF9" s="370">
        <v>57</v>
      </c>
      <c r="BG9" s="370">
        <v>58</v>
      </c>
      <c r="BH9" s="371">
        <v>59</v>
      </c>
      <c r="BI9" s="370">
        <v>60</v>
      </c>
    </row>
    <row r="10" spans="1:70" s="359" customFormat="1" ht="76.2" customHeight="1" x14ac:dyDescent="0.3">
      <c r="A10" s="441" t="s">
        <v>181</v>
      </c>
      <c r="B10" s="463" t="s">
        <v>182</v>
      </c>
      <c r="C10" s="463"/>
      <c r="D10" s="444"/>
      <c r="E10" s="499">
        <f t="shared" ref="E10:Q10" si="0">E11+E14+E22+E26</f>
        <v>142</v>
      </c>
      <c r="F10" s="464">
        <f t="shared" si="0"/>
        <v>30</v>
      </c>
      <c r="G10" s="464">
        <f t="shared" si="0"/>
        <v>30</v>
      </c>
      <c r="H10" s="465">
        <f t="shared" si="0"/>
        <v>43.064729999999997</v>
      </c>
      <c r="I10" s="465">
        <f t="shared" si="0"/>
        <v>28.243210000000001</v>
      </c>
      <c r="J10" s="465">
        <f t="shared" si="0"/>
        <v>8.3157999999999994</v>
      </c>
      <c r="K10" s="465">
        <f t="shared" si="0"/>
        <v>18.498069999999998</v>
      </c>
      <c r="L10" s="465">
        <f t="shared" si="0"/>
        <v>6.9426300000000003</v>
      </c>
      <c r="M10" s="465">
        <f t="shared" si="0"/>
        <v>0</v>
      </c>
      <c r="N10" s="465">
        <f t="shared" si="0"/>
        <v>0</v>
      </c>
      <c r="O10" s="465">
        <f t="shared" si="0"/>
        <v>3.5208399999999997</v>
      </c>
      <c r="P10" s="465">
        <f t="shared" si="0"/>
        <v>115.24000000000001</v>
      </c>
      <c r="Q10" s="465">
        <f t="shared" si="0"/>
        <v>18.498069999999998</v>
      </c>
      <c r="R10" s="466"/>
      <c r="S10" s="466"/>
      <c r="T10" s="466"/>
      <c r="U10" s="525"/>
      <c r="V10" s="467">
        <f t="shared" ref="V10:V11" si="1">H10/E10*1000</f>
        <v>303.27274647887322</v>
      </c>
      <c r="W10" s="467">
        <f t="shared" ref="W10:W11" si="2">H10/F10</f>
        <v>1.4354909999999999</v>
      </c>
      <c r="X10" s="499">
        <f t="shared" ref="X10:AJ10" si="3">X11+X14+X22+X26</f>
        <v>95</v>
      </c>
      <c r="Y10" s="464">
        <f t="shared" si="3"/>
        <v>30</v>
      </c>
      <c r="Z10" s="464">
        <f t="shared" si="3"/>
        <v>30</v>
      </c>
      <c r="AA10" s="465">
        <f t="shared" si="3"/>
        <v>77.976339999999993</v>
      </c>
      <c r="AB10" s="465">
        <f t="shared" si="3"/>
        <v>53.356119999999997</v>
      </c>
      <c r="AC10" s="465">
        <f t="shared" si="3"/>
        <v>6.5137</v>
      </c>
      <c r="AD10" s="465">
        <f t="shared" si="3"/>
        <v>40</v>
      </c>
      <c r="AE10" s="465">
        <f t="shared" si="3"/>
        <v>10.69609</v>
      </c>
      <c r="AF10" s="465">
        <f t="shared" si="3"/>
        <v>0</v>
      </c>
      <c r="AG10" s="465">
        <f t="shared" si="3"/>
        <v>0</v>
      </c>
      <c r="AH10" s="465">
        <f t="shared" si="3"/>
        <v>6.7575799999999999</v>
      </c>
      <c r="AI10" s="465">
        <f t="shared" si="3"/>
        <v>129.11000000000001</v>
      </c>
      <c r="AJ10" s="465">
        <f t="shared" si="3"/>
        <v>20</v>
      </c>
      <c r="AK10" s="466"/>
      <c r="AL10" s="466"/>
      <c r="AM10" s="466"/>
      <c r="AN10" s="525"/>
      <c r="AO10" s="467">
        <f t="shared" ref="AO10:AO11" si="4">AA10/X10*1000</f>
        <v>820.80357894736835</v>
      </c>
      <c r="AP10" s="467">
        <f t="shared" ref="AP10:AP11" si="5">AA10/Y10</f>
        <v>2.5992113333333333</v>
      </c>
      <c r="AQ10" s="499">
        <f t="shared" ref="AQ10:BC10" si="6">AQ11+AQ14+AQ22+AQ26</f>
        <v>76</v>
      </c>
      <c r="AR10" s="464">
        <f t="shared" si="6"/>
        <v>30</v>
      </c>
      <c r="AS10" s="464">
        <f t="shared" si="6"/>
        <v>30</v>
      </c>
      <c r="AT10" s="465">
        <f t="shared" si="6"/>
        <v>42.394680000000001</v>
      </c>
      <c r="AU10" s="465">
        <f t="shared" si="6"/>
        <v>28.90456</v>
      </c>
      <c r="AV10" s="465">
        <f t="shared" si="6"/>
        <v>4.6055999999999999</v>
      </c>
      <c r="AW10" s="465">
        <f t="shared" si="6"/>
        <v>19.751150000000003</v>
      </c>
      <c r="AX10" s="465">
        <f t="shared" si="6"/>
        <v>6.0364500000000003</v>
      </c>
      <c r="AY10" s="465">
        <f t="shared" si="6"/>
        <v>0</v>
      </c>
      <c r="AZ10" s="465">
        <f t="shared" si="6"/>
        <v>0</v>
      </c>
      <c r="BA10" s="465">
        <f t="shared" si="6"/>
        <v>3.6587399999999999</v>
      </c>
      <c r="BB10" s="465">
        <f t="shared" si="6"/>
        <v>121.2</v>
      </c>
      <c r="BC10" s="465">
        <f t="shared" si="6"/>
        <v>19.751150000000003</v>
      </c>
      <c r="BD10" s="466"/>
      <c r="BE10" s="466"/>
      <c r="BF10" s="466"/>
      <c r="BG10" s="525"/>
      <c r="BH10" s="467">
        <f t="shared" ref="BH10:BH11" si="7">AT10/AQ10*1000</f>
        <v>557.82473684210527</v>
      </c>
      <c r="BI10" s="467">
        <f t="shared" ref="BI10:BI11" si="8">AT10/AR10</f>
        <v>1.4131560000000001</v>
      </c>
    </row>
    <row r="11" spans="1:70" s="359" customFormat="1" ht="24.75" customHeight="1" x14ac:dyDescent="0.3">
      <c r="A11" s="355" t="s">
        <v>179</v>
      </c>
      <c r="B11" s="356" t="s">
        <v>213</v>
      </c>
      <c r="C11" s="356"/>
      <c r="D11" s="357">
        <v>0.4</v>
      </c>
      <c r="E11" s="500">
        <f t="shared" ref="E11:Q11" si="9">SUM(E12:E13)</f>
        <v>0</v>
      </c>
      <c r="F11" s="347">
        <f t="shared" si="9"/>
        <v>0</v>
      </c>
      <c r="G11" s="347">
        <f t="shared" si="9"/>
        <v>0</v>
      </c>
      <c r="H11" s="375">
        <f t="shared" si="9"/>
        <v>0</v>
      </c>
      <c r="I11" s="375">
        <f t="shared" si="9"/>
        <v>0</v>
      </c>
      <c r="J11" s="375">
        <f t="shared" si="9"/>
        <v>0</v>
      </c>
      <c r="K11" s="375">
        <f t="shared" si="9"/>
        <v>0</v>
      </c>
      <c r="L11" s="375">
        <f t="shared" si="9"/>
        <v>0</v>
      </c>
      <c r="M11" s="375">
        <f t="shared" si="9"/>
        <v>0</v>
      </c>
      <c r="N11" s="375">
        <f t="shared" si="9"/>
        <v>0</v>
      </c>
      <c r="O11" s="375">
        <f t="shared" si="9"/>
        <v>0</v>
      </c>
      <c r="P11" s="375">
        <f t="shared" si="9"/>
        <v>0</v>
      </c>
      <c r="Q11" s="375">
        <f t="shared" si="9"/>
        <v>0</v>
      </c>
      <c r="R11" s="358"/>
      <c r="S11" s="358"/>
      <c r="T11" s="358"/>
      <c r="U11" s="526"/>
      <c r="V11" s="384" t="e">
        <f t="shared" si="1"/>
        <v>#DIV/0!</v>
      </c>
      <c r="W11" s="384" t="e">
        <f t="shared" si="2"/>
        <v>#DIV/0!</v>
      </c>
      <c r="X11" s="500">
        <f t="shared" ref="X11:AJ11" si="10">SUM(X12:X13)</f>
        <v>0</v>
      </c>
      <c r="Y11" s="347">
        <f t="shared" si="10"/>
        <v>0</v>
      </c>
      <c r="Z11" s="347">
        <f t="shared" si="10"/>
        <v>0</v>
      </c>
      <c r="AA11" s="375">
        <f t="shared" si="10"/>
        <v>0</v>
      </c>
      <c r="AB11" s="375">
        <f t="shared" si="10"/>
        <v>0</v>
      </c>
      <c r="AC11" s="375">
        <f t="shared" si="10"/>
        <v>0</v>
      </c>
      <c r="AD11" s="375">
        <f t="shared" si="10"/>
        <v>0</v>
      </c>
      <c r="AE11" s="375">
        <f t="shared" si="10"/>
        <v>0</v>
      </c>
      <c r="AF11" s="375">
        <f t="shared" si="10"/>
        <v>0</v>
      </c>
      <c r="AG11" s="375">
        <f t="shared" si="10"/>
        <v>0</v>
      </c>
      <c r="AH11" s="375">
        <f t="shared" si="10"/>
        <v>0</v>
      </c>
      <c r="AI11" s="375">
        <f t="shared" si="10"/>
        <v>0</v>
      </c>
      <c r="AJ11" s="375">
        <f t="shared" si="10"/>
        <v>0</v>
      </c>
      <c r="AK11" s="358"/>
      <c r="AL11" s="358"/>
      <c r="AM11" s="358"/>
      <c r="AN11" s="526"/>
      <c r="AO11" s="384" t="e">
        <f t="shared" si="4"/>
        <v>#DIV/0!</v>
      </c>
      <c r="AP11" s="384" t="e">
        <f t="shared" si="5"/>
        <v>#DIV/0!</v>
      </c>
      <c r="AQ11" s="500">
        <f t="shared" ref="AQ11:BC11" si="11">SUM(AQ12:AQ13)</f>
        <v>0</v>
      </c>
      <c r="AR11" s="347">
        <f t="shared" si="11"/>
        <v>0</v>
      </c>
      <c r="AS11" s="347">
        <f t="shared" si="11"/>
        <v>0</v>
      </c>
      <c r="AT11" s="375">
        <f t="shared" si="11"/>
        <v>0</v>
      </c>
      <c r="AU11" s="375">
        <f t="shared" si="11"/>
        <v>0</v>
      </c>
      <c r="AV11" s="375">
        <f t="shared" si="11"/>
        <v>0</v>
      </c>
      <c r="AW11" s="375">
        <f t="shared" si="11"/>
        <v>0</v>
      </c>
      <c r="AX11" s="375">
        <f t="shared" si="11"/>
        <v>0</v>
      </c>
      <c r="AY11" s="375">
        <f t="shared" si="11"/>
        <v>0</v>
      </c>
      <c r="AZ11" s="375">
        <f t="shared" si="11"/>
        <v>0</v>
      </c>
      <c r="BA11" s="375">
        <f t="shared" si="11"/>
        <v>0</v>
      </c>
      <c r="BB11" s="375">
        <f t="shared" si="11"/>
        <v>0</v>
      </c>
      <c r="BC11" s="375">
        <f t="shared" si="11"/>
        <v>0</v>
      </c>
      <c r="BD11" s="358"/>
      <c r="BE11" s="358"/>
      <c r="BF11" s="358"/>
      <c r="BG11" s="526"/>
      <c r="BH11" s="384" t="e">
        <f t="shared" si="7"/>
        <v>#DIV/0!</v>
      </c>
      <c r="BI11" s="384" t="e">
        <f t="shared" si="8"/>
        <v>#DIV/0!</v>
      </c>
    </row>
    <row r="12" spans="1:70" s="359" customFormat="1" x14ac:dyDescent="0.3">
      <c r="A12" s="360" t="s">
        <v>143</v>
      </c>
      <c r="B12" s="386"/>
      <c r="C12" s="386"/>
      <c r="D12" s="361"/>
      <c r="E12" s="368"/>
      <c r="F12" s="341"/>
      <c r="G12" s="362"/>
      <c r="H12" s="381"/>
      <c r="I12" s="376"/>
      <c r="J12" s="376"/>
      <c r="K12" s="376"/>
      <c r="L12" s="376"/>
      <c r="M12" s="376"/>
      <c r="N12" s="376"/>
      <c r="O12" s="376"/>
      <c r="P12" s="376"/>
      <c r="Q12" s="376"/>
      <c r="R12" s="362"/>
      <c r="S12" s="362"/>
      <c r="T12" s="362"/>
      <c r="U12" s="363"/>
      <c r="V12" s="376"/>
      <c r="W12" s="376"/>
      <c r="X12" s="368"/>
      <c r="Y12" s="341"/>
      <c r="Z12" s="362"/>
      <c r="AA12" s="381"/>
      <c r="AB12" s="376"/>
      <c r="AC12" s="376"/>
      <c r="AD12" s="376"/>
      <c r="AE12" s="376"/>
      <c r="AF12" s="376"/>
      <c r="AG12" s="376"/>
      <c r="AH12" s="376"/>
      <c r="AI12" s="376"/>
      <c r="AJ12" s="376"/>
      <c r="AK12" s="362"/>
      <c r="AL12" s="362"/>
      <c r="AM12" s="362"/>
      <c r="AN12" s="363"/>
      <c r="AO12" s="376"/>
      <c r="AP12" s="376"/>
      <c r="AQ12" s="368"/>
      <c r="AR12" s="341"/>
      <c r="AS12" s="362"/>
      <c r="AT12" s="381"/>
      <c r="AU12" s="376"/>
      <c r="AV12" s="376"/>
      <c r="AW12" s="376"/>
      <c r="AX12" s="376"/>
      <c r="AY12" s="376"/>
      <c r="AZ12" s="376"/>
      <c r="BA12" s="376"/>
      <c r="BB12" s="376"/>
      <c r="BC12" s="376"/>
      <c r="BD12" s="362"/>
      <c r="BE12" s="362"/>
      <c r="BF12" s="362"/>
      <c r="BG12" s="363"/>
      <c r="BH12" s="376"/>
      <c r="BI12" s="376"/>
    </row>
    <row r="13" spans="1:70" s="359" customFormat="1" x14ac:dyDescent="0.3">
      <c r="A13" s="360"/>
      <c r="B13" s="386"/>
      <c r="C13" s="386"/>
      <c r="D13" s="361"/>
      <c r="E13" s="368"/>
      <c r="F13" s="341"/>
      <c r="G13" s="362"/>
      <c r="H13" s="381"/>
      <c r="I13" s="376"/>
      <c r="J13" s="376"/>
      <c r="K13" s="376"/>
      <c r="L13" s="376"/>
      <c r="M13" s="376"/>
      <c r="N13" s="376"/>
      <c r="O13" s="376"/>
      <c r="P13" s="376"/>
      <c r="Q13" s="376"/>
      <c r="R13" s="362"/>
      <c r="S13" s="362"/>
      <c r="T13" s="362"/>
      <c r="U13" s="363"/>
      <c r="V13" s="376"/>
      <c r="W13" s="376"/>
      <c r="X13" s="368"/>
      <c r="Y13" s="341"/>
      <c r="Z13" s="362"/>
      <c r="AA13" s="381"/>
      <c r="AB13" s="376"/>
      <c r="AC13" s="376"/>
      <c r="AD13" s="376"/>
      <c r="AE13" s="376"/>
      <c r="AF13" s="376"/>
      <c r="AG13" s="376"/>
      <c r="AH13" s="376"/>
      <c r="AI13" s="376"/>
      <c r="AJ13" s="376"/>
      <c r="AK13" s="362"/>
      <c r="AL13" s="362"/>
      <c r="AM13" s="362"/>
      <c r="AN13" s="363"/>
      <c r="AO13" s="376"/>
      <c r="AP13" s="376"/>
      <c r="AQ13" s="368"/>
      <c r="AR13" s="341"/>
      <c r="AS13" s="362"/>
      <c r="AT13" s="381"/>
      <c r="AU13" s="376"/>
      <c r="AV13" s="376"/>
      <c r="AW13" s="376"/>
      <c r="AX13" s="376"/>
      <c r="AY13" s="376"/>
      <c r="AZ13" s="376"/>
      <c r="BA13" s="376"/>
      <c r="BB13" s="376"/>
      <c r="BC13" s="376"/>
      <c r="BD13" s="362"/>
      <c r="BE13" s="362"/>
      <c r="BF13" s="362"/>
      <c r="BG13" s="363"/>
      <c r="BH13" s="376"/>
      <c r="BI13" s="376"/>
    </row>
    <row r="14" spans="1:70" s="359" customFormat="1" ht="24.75" customHeight="1" x14ac:dyDescent="0.3">
      <c r="A14" s="355" t="s">
        <v>183</v>
      </c>
      <c r="B14" s="356" t="s">
        <v>189</v>
      </c>
      <c r="C14" s="356"/>
      <c r="D14" s="357">
        <v>0.4</v>
      </c>
      <c r="E14" s="500">
        <f t="shared" ref="E14:Q14" si="12">SUM(E15:E21)</f>
        <v>142</v>
      </c>
      <c r="F14" s="347">
        <f t="shared" si="12"/>
        <v>30</v>
      </c>
      <c r="G14" s="347">
        <f t="shared" si="12"/>
        <v>30</v>
      </c>
      <c r="H14" s="375">
        <f t="shared" si="12"/>
        <v>43.064729999999997</v>
      </c>
      <c r="I14" s="375">
        <f t="shared" si="12"/>
        <v>28.243210000000001</v>
      </c>
      <c r="J14" s="375">
        <f t="shared" si="12"/>
        <v>8.3157999999999994</v>
      </c>
      <c r="K14" s="375">
        <f t="shared" si="12"/>
        <v>18.498069999999998</v>
      </c>
      <c r="L14" s="375">
        <f t="shared" si="12"/>
        <v>6.9426300000000003</v>
      </c>
      <c r="M14" s="375">
        <f t="shared" si="12"/>
        <v>0</v>
      </c>
      <c r="N14" s="375">
        <f t="shared" si="12"/>
        <v>0</v>
      </c>
      <c r="O14" s="375">
        <f t="shared" si="12"/>
        <v>3.5208399999999997</v>
      </c>
      <c r="P14" s="375">
        <f t="shared" si="12"/>
        <v>115.24000000000001</v>
      </c>
      <c r="Q14" s="375">
        <f t="shared" si="12"/>
        <v>18.498069999999998</v>
      </c>
      <c r="R14" s="358"/>
      <c r="S14" s="358"/>
      <c r="T14" s="358"/>
      <c r="U14" s="526"/>
      <c r="V14" s="384">
        <f t="shared" ref="V14:V33" si="13">H14/E14*1000</f>
        <v>303.27274647887322</v>
      </c>
      <c r="W14" s="384">
        <f t="shared" ref="W14:W33" si="14">H14/F14</f>
        <v>1.4354909999999999</v>
      </c>
      <c r="X14" s="500">
        <f t="shared" ref="X14:AJ14" si="15">SUM(X15:X21)</f>
        <v>30</v>
      </c>
      <c r="Y14" s="347">
        <f t="shared" si="15"/>
        <v>15</v>
      </c>
      <c r="Z14" s="347">
        <f t="shared" si="15"/>
        <v>15</v>
      </c>
      <c r="AA14" s="375">
        <f t="shared" si="15"/>
        <v>20.38711</v>
      </c>
      <c r="AB14" s="375">
        <f t="shared" si="15"/>
        <v>13.96463</v>
      </c>
      <c r="AC14" s="375">
        <f t="shared" si="15"/>
        <v>1.6101000000000001</v>
      </c>
      <c r="AD14" s="375">
        <f t="shared" si="15"/>
        <v>10</v>
      </c>
      <c r="AE14" s="375">
        <f t="shared" si="15"/>
        <v>2.7508699999999999</v>
      </c>
      <c r="AF14" s="375">
        <f t="shared" si="15"/>
        <v>0</v>
      </c>
      <c r="AG14" s="375">
        <f t="shared" si="15"/>
        <v>0</v>
      </c>
      <c r="AH14" s="375">
        <f t="shared" si="15"/>
        <v>1.7814099999999999</v>
      </c>
      <c r="AI14" s="375">
        <f t="shared" si="15"/>
        <v>53.67</v>
      </c>
      <c r="AJ14" s="375">
        <f t="shared" si="15"/>
        <v>10</v>
      </c>
      <c r="AK14" s="358"/>
      <c r="AL14" s="358"/>
      <c r="AM14" s="358"/>
      <c r="AN14" s="526"/>
      <c r="AO14" s="384">
        <f t="shared" ref="AO14:AO74" si="16">AA14/X14*1000</f>
        <v>679.57033333333322</v>
      </c>
      <c r="AP14" s="384">
        <f t="shared" ref="AP14:AP74" si="17">AA14/Y14</f>
        <v>1.3591406666666666</v>
      </c>
      <c r="AQ14" s="500">
        <f t="shared" ref="AQ14:BC14" si="18">SUM(AQ15:AQ21)</f>
        <v>76</v>
      </c>
      <c r="AR14" s="347">
        <f t="shared" si="18"/>
        <v>30</v>
      </c>
      <c r="AS14" s="347">
        <f t="shared" si="18"/>
        <v>30</v>
      </c>
      <c r="AT14" s="375">
        <f t="shared" si="18"/>
        <v>42.394680000000001</v>
      </c>
      <c r="AU14" s="375">
        <f t="shared" si="18"/>
        <v>28.90456</v>
      </c>
      <c r="AV14" s="375">
        <f t="shared" si="18"/>
        <v>4.6055999999999999</v>
      </c>
      <c r="AW14" s="375">
        <f t="shared" si="18"/>
        <v>19.751150000000003</v>
      </c>
      <c r="AX14" s="375">
        <f t="shared" si="18"/>
        <v>6.0364500000000003</v>
      </c>
      <c r="AY14" s="375">
        <f t="shared" si="18"/>
        <v>0</v>
      </c>
      <c r="AZ14" s="375">
        <f t="shared" si="18"/>
        <v>0</v>
      </c>
      <c r="BA14" s="375">
        <f t="shared" si="18"/>
        <v>3.6587399999999999</v>
      </c>
      <c r="BB14" s="375">
        <f t="shared" si="18"/>
        <v>121.2</v>
      </c>
      <c r="BC14" s="375">
        <f t="shared" si="18"/>
        <v>19.751150000000003</v>
      </c>
      <c r="BD14" s="358"/>
      <c r="BE14" s="358"/>
      <c r="BF14" s="358"/>
      <c r="BG14" s="526"/>
      <c r="BH14" s="384">
        <f t="shared" ref="BH14:BH77" si="19">AT14/AQ14*1000</f>
        <v>557.82473684210527</v>
      </c>
      <c r="BI14" s="384">
        <f t="shared" ref="BI14:BI77" si="20">AT14/AR14</f>
        <v>1.4131560000000001</v>
      </c>
    </row>
    <row r="15" spans="1:70" s="359" customFormat="1" ht="19.2" x14ac:dyDescent="0.3">
      <c r="A15" s="360" t="s">
        <v>215</v>
      </c>
      <c r="B15" s="515" t="s">
        <v>329</v>
      </c>
      <c r="C15" s="343" t="s">
        <v>330</v>
      </c>
      <c r="D15" s="361">
        <v>0.4</v>
      </c>
      <c r="E15" s="368">
        <v>90</v>
      </c>
      <c r="F15" s="367">
        <v>15</v>
      </c>
      <c r="G15" s="367">
        <v>15</v>
      </c>
      <c r="H15" s="424">
        <v>24.068159999999999</v>
      </c>
      <c r="I15" s="376">
        <v>15.908860000000001</v>
      </c>
      <c r="J15" s="376">
        <v>5.5026000000000002</v>
      </c>
      <c r="K15" s="376">
        <v>9.5186399999999995</v>
      </c>
      <c r="L15" s="376">
        <v>3.8931800000000001</v>
      </c>
      <c r="M15" s="376">
        <v>0</v>
      </c>
      <c r="N15" s="376">
        <v>0</v>
      </c>
      <c r="O15" s="376">
        <v>1.9044399999999999</v>
      </c>
      <c r="P15" s="376">
        <v>61.14</v>
      </c>
      <c r="Q15" s="376">
        <v>9.5186399999999995</v>
      </c>
      <c r="R15" s="385" t="s">
        <v>167</v>
      </c>
      <c r="S15" s="439" t="s">
        <v>175</v>
      </c>
      <c r="T15" s="362"/>
      <c r="U15" s="363">
        <v>184</v>
      </c>
      <c r="V15" s="376">
        <f t="shared" ref="V15" si="21">H15/E15*1000</f>
        <v>267.42399999999998</v>
      </c>
      <c r="W15" s="376">
        <f t="shared" ref="W15" si="22">H15/F15</f>
        <v>1.604544</v>
      </c>
      <c r="X15" s="368"/>
      <c r="Y15" s="367"/>
      <c r="Z15" s="367"/>
      <c r="AA15" s="424"/>
      <c r="AB15" s="376"/>
      <c r="AC15" s="376"/>
      <c r="AD15" s="376"/>
      <c r="AE15" s="376"/>
      <c r="AF15" s="376"/>
      <c r="AG15" s="376"/>
      <c r="AH15" s="376"/>
      <c r="AI15" s="376"/>
      <c r="AJ15" s="376"/>
      <c r="AK15" s="385"/>
      <c r="AL15" s="439"/>
      <c r="AM15" s="362"/>
      <c r="AN15" s="363"/>
      <c r="AO15" s="376" t="e">
        <f t="shared" si="16"/>
        <v>#DIV/0!</v>
      </c>
      <c r="AP15" s="376" t="e">
        <f t="shared" si="17"/>
        <v>#DIV/0!</v>
      </c>
      <c r="AQ15" s="368"/>
      <c r="AR15" s="367"/>
      <c r="AS15" s="367"/>
      <c r="AT15" s="424"/>
      <c r="AU15" s="376"/>
      <c r="AV15" s="376"/>
      <c r="AW15" s="376"/>
      <c r="AX15" s="376"/>
      <c r="AY15" s="376"/>
      <c r="AZ15" s="376"/>
      <c r="BA15" s="376"/>
      <c r="BB15" s="376"/>
      <c r="BC15" s="376"/>
      <c r="BD15" s="385"/>
      <c r="BE15" s="439"/>
      <c r="BF15" s="362"/>
      <c r="BG15" s="363"/>
      <c r="BH15" s="376" t="e">
        <f t="shared" si="19"/>
        <v>#DIV/0!</v>
      </c>
      <c r="BI15" s="376" t="e">
        <f t="shared" si="20"/>
        <v>#DIV/0!</v>
      </c>
    </row>
    <row r="16" spans="1:70" s="359" customFormat="1" ht="19.2" x14ac:dyDescent="0.3">
      <c r="A16" s="360" t="s">
        <v>216</v>
      </c>
      <c r="B16" s="513" t="s">
        <v>360</v>
      </c>
      <c r="C16" s="530" t="s">
        <v>361</v>
      </c>
      <c r="D16" s="361">
        <v>0.4</v>
      </c>
      <c r="E16" s="368">
        <v>52</v>
      </c>
      <c r="F16" s="367">
        <v>15</v>
      </c>
      <c r="G16" s="367">
        <v>15</v>
      </c>
      <c r="H16" s="424">
        <v>18.996569999999998</v>
      </c>
      <c r="I16" s="376">
        <v>12.334350000000001</v>
      </c>
      <c r="J16" s="376">
        <v>2.8132000000000001</v>
      </c>
      <c r="K16" s="376">
        <v>8.9794300000000007</v>
      </c>
      <c r="L16" s="376">
        <v>3.0494500000000002</v>
      </c>
      <c r="M16" s="376">
        <v>0</v>
      </c>
      <c r="N16" s="376">
        <v>0</v>
      </c>
      <c r="O16" s="376">
        <v>1.6164000000000001</v>
      </c>
      <c r="P16" s="376">
        <v>54.1</v>
      </c>
      <c r="Q16" s="376">
        <v>8.9794300000000007</v>
      </c>
      <c r="R16" s="385" t="s">
        <v>167</v>
      </c>
      <c r="S16" s="439" t="s">
        <v>175</v>
      </c>
      <c r="T16" s="362"/>
      <c r="U16" s="363">
        <v>247</v>
      </c>
      <c r="V16" s="376">
        <f t="shared" ref="V16:V17" si="23">H16/E16*1000</f>
        <v>365.31865384615378</v>
      </c>
      <c r="W16" s="376">
        <f t="shared" ref="W16:W17" si="24">H16/F16</f>
        <v>1.266438</v>
      </c>
      <c r="X16" s="368"/>
      <c r="Y16" s="367"/>
      <c r="Z16" s="367"/>
      <c r="AA16" s="424"/>
      <c r="AB16" s="376"/>
      <c r="AC16" s="376"/>
      <c r="AD16" s="376"/>
      <c r="AE16" s="376"/>
      <c r="AF16" s="376"/>
      <c r="AG16" s="376"/>
      <c r="AH16" s="376"/>
      <c r="AI16" s="376"/>
      <c r="AJ16" s="376"/>
      <c r="AK16" s="385"/>
      <c r="AL16" s="439"/>
      <c r="AM16" s="362"/>
      <c r="AN16" s="363"/>
      <c r="AO16" s="376" t="e">
        <f t="shared" si="16"/>
        <v>#DIV/0!</v>
      </c>
      <c r="AP16" s="376" t="e">
        <f t="shared" si="17"/>
        <v>#DIV/0!</v>
      </c>
      <c r="AQ16" s="368"/>
      <c r="AR16" s="367"/>
      <c r="AS16" s="367"/>
      <c r="AT16" s="424"/>
      <c r="AU16" s="376"/>
      <c r="AV16" s="376"/>
      <c r="AW16" s="376"/>
      <c r="AX16" s="376"/>
      <c r="AY16" s="376"/>
      <c r="AZ16" s="376"/>
      <c r="BA16" s="376"/>
      <c r="BB16" s="376"/>
      <c r="BC16" s="376"/>
      <c r="BD16" s="385"/>
      <c r="BE16" s="439"/>
      <c r="BF16" s="362"/>
      <c r="BG16" s="363"/>
      <c r="BH16" s="376" t="e">
        <f t="shared" si="19"/>
        <v>#DIV/0!</v>
      </c>
      <c r="BI16" s="376" t="e">
        <f t="shared" si="20"/>
        <v>#DIV/0!</v>
      </c>
    </row>
    <row r="17" spans="1:61" s="359" customFormat="1" ht="19.2" x14ac:dyDescent="0.3">
      <c r="A17" s="360" t="s">
        <v>179</v>
      </c>
      <c r="B17" s="543" t="s">
        <v>507</v>
      </c>
      <c r="C17" s="433" t="s">
        <v>483</v>
      </c>
      <c r="D17" s="361">
        <v>0.4</v>
      </c>
      <c r="E17" s="403"/>
      <c r="F17" s="404"/>
      <c r="G17" s="400"/>
      <c r="H17" s="401"/>
      <c r="I17" s="401"/>
      <c r="J17" s="401"/>
      <c r="K17" s="401"/>
      <c r="L17" s="401"/>
      <c r="M17" s="401"/>
      <c r="N17" s="401"/>
      <c r="O17" s="401"/>
      <c r="P17" s="401"/>
      <c r="Q17" s="401"/>
      <c r="R17" s="389"/>
      <c r="S17" s="389"/>
      <c r="T17" s="389"/>
      <c r="U17" s="521"/>
      <c r="V17" s="402" t="e">
        <f t="shared" si="23"/>
        <v>#DIV/0!</v>
      </c>
      <c r="W17" s="402" t="e">
        <f t="shared" si="24"/>
        <v>#DIV/0!</v>
      </c>
      <c r="X17" s="403">
        <v>30</v>
      </c>
      <c r="Y17" s="404">
        <v>15</v>
      </c>
      <c r="Z17" s="400">
        <v>15</v>
      </c>
      <c r="AA17" s="545">
        <v>20.38711</v>
      </c>
      <c r="AB17" s="401">
        <v>13.96463</v>
      </c>
      <c r="AC17" s="401">
        <v>1.6101000000000001</v>
      </c>
      <c r="AD17" s="401">
        <v>10</v>
      </c>
      <c r="AE17" s="401">
        <v>2.7508699999999999</v>
      </c>
      <c r="AF17" s="401">
        <v>0</v>
      </c>
      <c r="AG17" s="401">
        <v>0</v>
      </c>
      <c r="AH17" s="401">
        <v>1.7814099999999999</v>
      </c>
      <c r="AI17" s="401">
        <v>53.67</v>
      </c>
      <c r="AJ17" s="401">
        <v>10</v>
      </c>
      <c r="AK17" s="385" t="s">
        <v>167</v>
      </c>
      <c r="AL17" s="439" t="s">
        <v>175</v>
      </c>
      <c r="AM17" s="389"/>
      <c r="AN17" s="521">
        <v>449</v>
      </c>
      <c r="AO17" s="402">
        <f t="shared" si="16"/>
        <v>679.57033333333322</v>
      </c>
      <c r="AP17" s="402">
        <f t="shared" si="17"/>
        <v>1.3591406666666666</v>
      </c>
      <c r="AQ17" s="403"/>
      <c r="AR17" s="404"/>
      <c r="AS17" s="400"/>
      <c r="AT17" s="545"/>
      <c r="AU17" s="401"/>
      <c r="AV17" s="401"/>
      <c r="AW17" s="401"/>
      <c r="AX17" s="401"/>
      <c r="AY17" s="401"/>
      <c r="AZ17" s="401"/>
      <c r="BA17" s="401"/>
      <c r="BB17" s="401"/>
      <c r="BC17" s="401"/>
      <c r="BD17" s="385"/>
      <c r="BE17" s="439"/>
      <c r="BF17" s="389"/>
      <c r="BG17" s="521"/>
      <c r="BH17" s="402" t="e">
        <f t="shared" si="19"/>
        <v>#DIV/0!</v>
      </c>
      <c r="BI17" s="402" t="e">
        <f t="shared" si="20"/>
        <v>#DIV/0!</v>
      </c>
    </row>
    <row r="18" spans="1:61" s="359" customFormat="1" ht="19.2" x14ac:dyDescent="0.3">
      <c r="A18" s="360" t="s">
        <v>179</v>
      </c>
      <c r="B18" s="579" t="s">
        <v>800</v>
      </c>
      <c r="C18" s="433" t="s">
        <v>642</v>
      </c>
      <c r="D18" s="361">
        <v>0.4</v>
      </c>
      <c r="E18" s="403"/>
      <c r="F18" s="404"/>
      <c r="G18" s="400"/>
      <c r="H18" s="401"/>
      <c r="I18" s="401"/>
      <c r="J18" s="401"/>
      <c r="K18" s="401"/>
      <c r="L18" s="401"/>
      <c r="M18" s="401"/>
      <c r="N18" s="401"/>
      <c r="O18" s="401"/>
      <c r="P18" s="401"/>
      <c r="Q18" s="401"/>
      <c r="R18" s="389"/>
      <c r="S18" s="389"/>
      <c r="T18" s="389"/>
      <c r="U18" s="521"/>
      <c r="V18" s="402"/>
      <c r="W18" s="402"/>
      <c r="X18" s="403"/>
      <c r="Y18" s="404"/>
      <c r="Z18" s="400"/>
      <c r="AA18" s="401"/>
      <c r="AB18" s="401"/>
      <c r="AC18" s="401"/>
      <c r="AD18" s="401"/>
      <c r="AE18" s="401"/>
      <c r="AF18" s="401"/>
      <c r="AG18" s="401"/>
      <c r="AH18" s="401"/>
      <c r="AI18" s="401"/>
      <c r="AJ18" s="401"/>
      <c r="AK18" s="385"/>
      <c r="AL18" s="439"/>
      <c r="AM18" s="389"/>
      <c r="AN18" s="521"/>
      <c r="AO18" s="402"/>
      <c r="AP18" s="402"/>
      <c r="AQ18" s="403">
        <v>36</v>
      </c>
      <c r="AR18" s="404">
        <v>15</v>
      </c>
      <c r="AS18" s="400">
        <v>15</v>
      </c>
      <c r="AT18" s="578">
        <v>20.33492</v>
      </c>
      <c r="AU18" s="401">
        <v>13.64575</v>
      </c>
      <c r="AV18" s="401">
        <v>2.1816</v>
      </c>
      <c r="AW18" s="401">
        <v>9.8877000000000006</v>
      </c>
      <c r="AX18" s="401">
        <v>3.0168499999999998</v>
      </c>
      <c r="AY18" s="401">
        <v>0</v>
      </c>
      <c r="AZ18" s="401">
        <v>0</v>
      </c>
      <c r="BA18" s="401">
        <v>1.8122</v>
      </c>
      <c r="BB18" s="401">
        <v>60.6</v>
      </c>
      <c r="BC18" s="401">
        <v>9.8877000000000006</v>
      </c>
      <c r="BD18" s="385" t="s">
        <v>167</v>
      </c>
      <c r="BE18" s="439" t="s">
        <v>175</v>
      </c>
      <c r="BF18" s="389"/>
      <c r="BG18" s="521">
        <v>910</v>
      </c>
      <c r="BH18" s="402">
        <f t="shared" ref="BH18:BH19" si="25">AT18/AQ18*1000</f>
        <v>564.85888888888894</v>
      </c>
      <c r="BI18" s="402">
        <f t="shared" ref="BI18:BI19" si="26">AT18/AR18</f>
        <v>1.3556613333333334</v>
      </c>
    </row>
    <row r="19" spans="1:61" s="359" customFormat="1" ht="19.2" x14ac:dyDescent="0.3">
      <c r="A19" s="360" t="s">
        <v>183</v>
      </c>
      <c r="B19" s="579" t="s">
        <v>801</v>
      </c>
      <c r="C19" s="433" t="s">
        <v>681</v>
      </c>
      <c r="D19" s="361">
        <v>0.4</v>
      </c>
      <c r="E19" s="403"/>
      <c r="F19" s="404"/>
      <c r="G19" s="400"/>
      <c r="H19" s="401"/>
      <c r="I19" s="401"/>
      <c r="J19" s="401"/>
      <c r="K19" s="401"/>
      <c r="L19" s="401"/>
      <c r="M19" s="401"/>
      <c r="N19" s="401"/>
      <c r="O19" s="401"/>
      <c r="P19" s="401"/>
      <c r="Q19" s="401"/>
      <c r="R19" s="389"/>
      <c r="S19" s="389"/>
      <c r="T19" s="389"/>
      <c r="U19" s="521"/>
      <c r="V19" s="402"/>
      <c r="W19" s="402"/>
      <c r="X19" s="403"/>
      <c r="Y19" s="404"/>
      <c r="Z19" s="400"/>
      <c r="AA19" s="401"/>
      <c r="AB19" s="401"/>
      <c r="AC19" s="401"/>
      <c r="AD19" s="401"/>
      <c r="AE19" s="401"/>
      <c r="AF19" s="401"/>
      <c r="AG19" s="401"/>
      <c r="AH19" s="401"/>
      <c r="AI19" s="401"/>
      <c r="AJ19" s="401"/>
      <c r="AK19" s="385"/>
      <c r="AL19" s="439"/>
      <c r="AM19" s="389"/>
      <c r="AN19" s="521"/>
      <c r="AO19" s="402"/>
      <c r="AP19" s="402"/>
      <c r="AQ19" s="403">
        <v>40</v>
      </c>
      <c r="AR19" s="404">
        <v>15</v>
      </c>
      <c r="AS19" s="400">
        <v>15</v>
      </c>
      <c r="AT19" s="578">
        <v>22.059760000000001</v>
      </c>
      <c r="AU19" s="401">
        <v>15.25881</v>
      </c>
      <c r="AV19" s="401">
        <v>2.4239999999999999</v>
      </c>
      <c r="AW19" s="401">
        <v>9.8634500000000003</v>
      </c>
      <c r="AX19" s="401">
        <v>3.0196000000000001</v>
      </c>
      <c r="AY19" s="401">
        <v>0</v>
      </c>
      <c r="AZ19" s="401">
        <v>0</v>
      </c>
      <c r="BA19" s="401">
        <v>1.8465400000000001</v>
      </c>
      <c r="BB19" s="401">
        <v>60.6</v>
      </c>
      <c r="BC19" s="401">
        <v>9.8634500000000003</v>
      </c>
      <c r="BD19" s="385" t="s">
        <v>167</v>
      </c>
      <c r="BE19" s="439" t="s">
        <v>175</v>
      </c>
      <c r="BF19" s="389"/>
      <c r="BG19" s="521">
        <v>914</v>
      </c>
      <c r="BH19" s="402">
        <f t="shared" si="25"/>
        <v>551.49400000000003</v>
      </c>
      <c r="BI19" s="402">
        <f t="shared" si="26"/>
        <v>1.4706506666666668</v>
      </c>
    </row>
    <row r="20" spans="1:61" s="359" customFormat="1" x14ac:dyDescent="0.3">
      <c r="A20" s="360"/>
      <c r="B20" s="382"/>
      <c r="C20" s="433"/>
      <c r="D20" s="361">
        <v>0.4</v>
      </c>
      <c r="E20" s="403"/>
      <c r="F20" s="404"/>
      <c r="G20" s="400"/>
      <c r="H20" s="401"/>
      <c r="I20" s="401"/>
      <c r="J20" s="401"/>
      <c r="K20" s="401"/>
      <c r="L20" s="401"/>
      <c r="M20" s="401"/>
      <c r="N20" s="401"/>
      <c r="O20" s="401"/>
      <c r="P20" s="401"/>
      <c r="Q20" s="401"/>
      <c r="R20" s="389"/>
      <c r="S20" s="389"/>
      <c r="T20" s="389"/>
      <c r="U20" s="521"/>
      <c r="V20" s="402"/>
      <c r="W20" s="402"/>
      <c r="X20" s="403"/>
      <c r="Y20" s="404"/>
      <c r="Z20" s="400"/>
      <c r="AA20" s="401"/>
      <c r="AB20" s="401"/>
      <c r="AC20" s="401"/>
      <c r="AD20" s="401"/>
      <c r="AE20" s="401"/>
      <c r="AF20" s="401"/>
      <c r="AG20" s="401"/>
      <c r="AH20" s="401"/>
      <c r="AI20" s="401"/>
      <c r="AJ20" s="401"/>
      <c r="AK20" s="385"/>
      <c r="AL20" s="439"/>
      <c r="AM20" s="389"/>
      <c r="AN20" s="521"/>
      <c r="AO20" s="402"/>
      <c r="AP20" s="402"/>
      <c r="AQ20" s="403"/>
      <c r="AR20" s="404"/>
      <c r="AS20" s="400"/>
      <c r="AT20" s="401"/>
      <c r="AU20" s="401"/>
      <c r="AV20" s="401"/>
      <c r="AW20" s="401"/>
      <c r="AX20" s="401"/>
      <c r="AY20" s="401"/>
      <c r="AZ20" s="401"/>
      <c r="BA20" s="401"/>
      <c r="BB20" s="401"/>
      <c r="BC20" s="401"/>
      <c r="BD20" s="385"/>
      <c r="BE20" s="439"/>
      <c r="BF20" s="389"/>
      <c r="BG20" s="521"/>
      <c r="BH20" s="402" t="e">
        <f t="shared" ref="BH20" si="27">AT20/AQ20*1000</f>
        <v>#DIV/0!</v>
      </c>
      <c r="BI20" s="402" t="e">
        <f t="shared" ref="BI20" si="28">AT20/AR20</f>
        <v>#DIV/0!</v>
      </c>
    </row>
    <row r="21" spans="1:61" s="359" customFormat="1" x14ac:dyDescent="0.3">
      <c r="A21" s="360"/>
      <c r="B21" s="342"/>
      <c r="C21" s="343"/>
      <c r="D21" s="361"/>
      <c r="E21" s="368"/>
      <c r="F21" s="341"/>
      <c r="G21" s="362"/>
      <c r="H21" s="381"/>
      <c r="I21" s="376"/>
      <c r="J21" s="376"/>
      <c r="K21" s="376"/>
      <c r="L21" s="376"/>
      <c r="M21" s="376"/>
      <c r="N21" s="376"/>
      <c r="O21" s="376"/>
      <c r="P21" s="376"/>
      <c r="Q21" s="376"/>
      <c r="R21" s="362"/>
      <c r="S21" s="362"/>
      <c r="T21" s="362"/>
      <c r="U21" s="363"/>
      <c r="V21" s="376" t="e">
        <f t="shared" si="13"/>
        <v>#DIV/0!</v>
      </c>
      <c r="W21" s="376" t="e">
        <f t="shared" si="14"/>
        <v>#DIV/0!</v>
      </c>
      <c r="X21" s="368"/>
      <c r="Y21" s="341"/>
      <c r="Z21" s="362"/>
      <c r="AA21" s="381"/>
      <c r="AB21" s="376"/>
      <c r="AC21" s="376"/>
      <c r="AD21" s="376"/>
      <c r="AE21" s="376"/>
      <c r="AF21" s="376"/>
      <c r="AG21" s="376"/>
      <c r="AH21" s="376"/>
      <c r="AI21" s="376"/>
      <c r="AJ21" s="376"/>
      <c r="AK21" s="362"/>
      <c r="AL21" s="362"/>
      <c r="AM21" s="362"/>
      <c r="AN21" s="363"/>
      <c r="AO21" s="376" t="e">
        <f t="shared" si="16"/>
        <v>#DIV/0!</v>
      </c>
      <c r="AP21" s="376" t="e">
        <f t="shared" si="17"/>
        <v>#DIV/0!</v>
      </c>
      <c r="AQ21" s="368"/>
      <c r="AR21" s="341"/>
      <c r="AS21" s="362"/>
      <c r="AT21" s="381"/>
      <c r="AU21" s="376"/>
      <c r="AV21" s="376"/>
      <c r="AW21" s="376"/>
      <c r="AX21" s="376"/>
      <c r="AY21" s="376"/>
      <c r="AZ21" s="376"/>
      <c r="BA21" s="376"/>
      <c r="BB21" s="376"/>
      <c r="BC21" s="376"/>
      <c r="BD21" s="362"/>
      <c r="BE21" s="362"/>
      <c r="BF21" s="362"/>
      <c r="BG21" s="363"/>
      <c r="BH21" s="376" t="e">
        <f t="shared" si="19"/>
        <v>#DIV/0!</v>
      </c>
      <c r="BI21" s="376" t="e">
        <f t="shared" si="20"/>
        <v>#DIV/0!</v>
      </c>
    </row>
    <row r="22" spans="1:61" s="359" customFormat="1" ht="24.75" customHeight="1" x14ac:dyDescent="0.3">
      <c r="A22" s="355" t="s">
        <v>185</v>
      </c>
      <c r="B22" s="356" t="s">
        <v>232</v>
      </c>
      <c r="C22" s="356"/>
      <c r="D22" s="357">
        <v>0.4</v>
      </c>
      <c r="E22" s="500">
        <f t="shared" ref="E22:Q22" si="29">SUM(E23:E25)</f>
        <v>0</v>
      </c>
      <c r="F22" s="347">
        <f t="shared" si="29"/>
        <v>0</v>
      </c>
      <c r="G22" s="347">
        <f t="shared" si="29"/>
        <v>0</v>
      </c>
      <c r="H22" s="375">
        <f t="shared" si="29"/>
        <v>0</v>
      </c>
      <c r="I22" s="375">
        <f t="shared" si="29"/>
        <v>0</v>
      </c>
      <c r="J22" s="375">
        <f t="shared" si="29"/>
        <v>0</v>
      </c>
      <c r="K22" s="375">
        <f t="shared" si="29"/>
        <v>0</v>
      </c>
      <c r="L22" s="375">
        <f t="shared" si="29"/>
        <v>0</v>
      </c>
      <c r="M22" s="375">
        <f t="shared" si="29"/>
        <v>0</v>
      </c>
      <c r="N22" s="375">
        <f t="shared" si="29"/>
        <v>0</v>
      </c>
      <c r="O22" s="375">
        <f t="shared" si="29"/>
        <v>0</v>
      </c>
      <c r="P22" s="375">
        <f t="shared" si="29"/>
        <v>0</v>
      </c>
      <c r="Q22" s="375">
        <f t="shared" si="29"/>
        <v>0</v>
      </c>
      <c r="R22" s="358"/>
      <c r="S22" s="358"/>
      <c r="T22" s="358"/>
      <c r="U22" s="526"/>
      <c r="V22" s="384" t="e">
        <f t="shared" si="13"/>
        <v>#DIV/0!</v>
      </c>
      <c r="W22" s="384" t="e">
        <f t="shared" si="14"/>
        <v>#DIV/0!</v>
      </c>
      <c r="X22" s="500">
        <f t="shared" ref="X22:AJ22" si="30">SUM(X23:X25)</f>
        <v>65</v>
      </c>
      <c r="Y22" s="347">
        <f t="shared" si="30"/>
        <v>15</v>
      </c>
      <c r="Z22" s="347">
        <f t="shared" si="30"/>
        <v>15</v>
      </c>
      <c r="AA22" s="375">
        <f t="shared" si="30"/>
        <v>57.589230000000001</v>
      </c>
      <c r="AB22" s="375">
        <f t="shared" si="30"/>
        <v>39.391489999999997</v>
      </c>
      <c r="AC22" s="375">
        <f t="shared" si="30"/>
        <v>4.9036</v>
      </c>
      <c r="AD22" s="375">
        <f t="shared" si="30"/>
        <v>30</v>
      </c>
      <c r="AE22" s="375">
        <f t="shared" si="30"/>
        <v>7.9452199999999999</v>
      </c>
      <c r="AF22" s="375">
        <f t="shared" si="30"/>
        <v>0</v>
      </c>
      <c r="AG22" s="375">
        <f t="shared" si="30"/>
        <v>0</v>
      </c>
      <c r="AH22" s="375">
        <f t="shared" si="30"/>
        <v>4.9761699999999998</v>
      </c>
      <c r="AI22" s="375">
        <f t="shared" si="30"/>
        <v>75.44</v>
      </c>
      <c r="AJ22" s="375">
        <f t="shared" si="30"/>
        <v>10</v>
      </c>
      <c r="AK22" s="358"/>
      <c r="AL22" s="358"/>
      <c r="AM22" s="358"/>
      <c r="AN22" s="526"/>
      <c r="AO22" s="384">
        <f t="shared" si="16"/>
        <v>885.98815384615386</v>
      </c>
      <c r="AP22" s="384">
        <f t="shared" si="17"/>
        <v>3.8392819999999999</v>
      </c>
      <c r="AQ22" s="500">
        <f t="shared" ref="AQ22:BC22" si="31">SUM(AQ23:AQ25)</f>
        <v>0</v>
      </c>
      <c r="AR22" s="347">
        <f t="shared" si="31"/>
        <v>0</v>
      </c>
      <c r="AS22" s="347">
        <f t="shared" si="31"/>
        <v>0</v>
      </c>
      <c r="AT22" s="375">
        <f t="shared" si="31"/>
        <v>0</v>
      </c>
      <c r="AU22" s="375">
        <f t="shared" si="31"/>
        <v>0</v>
      </c>
      <c r="AV22" s="375">
        <f t="shared" si="31"/>
        <v>0</v>
      </c>
      <c r="AW22" s="375">
        <f t="shared" si="31"/>
        <v>0</v>
      </c>
      <c r="AX22" s="375">
        <f t="shared" si="31"/>
        <v>0</v>
      </c>
      <c r="AY22" s="375">
        <f t="shared" si="31"/>
        <v>0</v>
      </c>
      <c r="AZ22" s="375">
        <f t="shared" si="31"/>
        <v>0</v>
      </c>
      <c r="BA22" s="375">
        <f t="shared" si="31"/>
        <v>0</v>
      </c>
      <c r="BB22" s="375">
        <f t="shared" si="31"/>
        <v>0</v>
      </c>
      <c r="BC22" s="375">
        <f t="shared" si="31"/>
        <v>0</v>
      </c>
      <c r="BD22" s="358"/>
      <c r="BE22" s="358"/>
      <c r="BF22" s="358"/>
      <c r="BG22" s="526"/>
      <c r="BH22" s="384" t="e">
        <f t="shared" si="19"/>
        <v>#DIV/0!</v>
      </c>
      <c r="BI22" s="384" t="e">
        <f t="shared" si="20"/>
        <v>#DIV/0!</v>
      </c>
    </row>
    <row r="23" spans="1:61" s="359" customFormat="1" ht="19.2" x14ac:dyDescent="0.3">
      <c r="A23" s="360" t="s">
        <v>179</v>
      </c>
      <c r="B23" s="543" t="s">
        <v>524</v>
      </c>
      <c r="C23" s="433" t="s">
        <v>484</v>
      </c>
      <c r="D23" s="361">
        <v>0.4</v>
      </c>
      <c r="E23" s="403"/>
      <c r="F23" s="404"/>
      <c r="G23" s="400"/>
      <c r="H23" s="401"/>
      <c r="I23" s="401"/>
      <c r="J23" s="401"/>
      <c r="K23" s="401"/>
      <c r="L23" s="401"/>
      <c r="M23" s="401"/>
      <c r="N23" s="401"/>
      <c r="O23" s="401"/>
      <c r="P23" s="401"/>
      <c r="Q23" s="401"/>
      <c r="R23" s="389"/>
      <c r="S23" s="389"/>
      <c r="T23" s="389"/>
      <c r="U23" s="521"/>
      <c r="V23" s="402" t="e">
        <f t="shared" si="13"/>
        <v>#DIV/0!</v>
      </c>
      <c r="W23" s="402" t="e">
        <f t="shared" si="14"/>
        <v>#DIV/0!</v>
      </c>
      <c r="X23" s="403">
        <v>65</v>
      </c>
      <c r="Y23" s="404">
        <v>15</v>
      </c>
      <c r="Z23" s="400">
        <v>15</v>
      </c>
      <c r="AA23" s="545">
        <v>57.589230000000001</v>
      </c>
      <c r="AB23" s="401">
        <v>39.391489999999997</v>
      </c>
      <c r="AC23" s="401">
        <v>4.9036</v>
      </c>
      <c r="AD23" s="401">
        <f>10+20</f>
        <v>30</v>
      </c>
      <c r="AE23" s="401">
        <v>7.9452199999999999</v>
      </c>
      <c r="AF23" s="401">
        <v>0</v>
      </c>
      <c r="AG23" s="401">
        <v>0</v>
      </c>
      <c r="AH23" s="401">
        <v>4.9761699999999998</v>
      </c>
      <c r="AI23" s="401">
        <v>75.44</v>
      </c>
      <c r="AJ23" s="401">
        <v>10</v>
      </c>
      <c r="AK23" s="385" t="s">
        <v>167</v>
      </c>
      <c r="AL23" s="439" t="s">
        <v>175</v>
      </c>
      <c r="AM23" s="389"/>
      <c r="AN23" s="521">
        <v>454</v>
      </c>
      <c r="AO23" s="402">
        <f t="shared" si="16"/>
        <v>885.98815384615386</v>
      </c>
      <c r="AP23" s="402">
        <f t="shared" si="17"/>
        <v>3.8392819999999999</v>
      </c>
      <c r="AQ23" s="403"/>
      <c r="AR23" s="404"/>
      <c r="AS23" s="400"/>
      <c r="AT23" s="545"/>
      <c r="AU23" s="401"/>
      <c r="AV23" s="401"/>
      <c r="AW23" s="401"/>
      <c r="AX23" s="401"/>
      <c r="AY23" s="401"/>
      <c r="AZ23" s="401"/>
      <c r="BA23" s="401"/>
      <c r="BB23" s="401"/>
      <c r="BC23" s="401"/>
      <c r="BD23" s="385"/>
      <c r="BE23" s="439"/>
      <c r="BF23" s="389"/>
      <c r="BG23" s="521"/>
      <c r="BH23" s="402" t="e">
        <f t="shared" si="19"/>
        <v>#DIV/0!</v>
      </c>
      <c r="BI23" s="402" t="e">
        <f t="shared" si="20"/>
        <v>#DIV/0!</v>
      </c>
    </row>
    <row r="24" spans="1:61" s="359" customFormat="1" x14ac:dyDescent="0.3">
      <c r="A24" s="360"/>
      <c r="B24" s="382"/>
      <c r="C24" s="433"/>
      <c r="D24" s="361">
        <v>0.4</v>
      </c>
      <c r="E24" s="403"/>
      <c r="F24" s="404"/>
      <c r="G24" s="400"/>
      <c r="H24" s="401"/>
      <c r="I24" s="401"/>
      <c r="J24" s="401"/>
      <c r="K24" s="401"/>
      <c r="L24" s="401"/>
      <c r="M24" s="401"/>
      <c r="N24" s="401"/>
      <c r="O24" s="401"/>
      <c r="P24" s="401"/>
      <c r="Q24" s="401"/>
      <c r="R24" s="389"/>
      <c r="S24" s="389"/>
      <c r="T24" s="389"/>
      <c r="U24" s="521"/>
      <c r="V24" s="402"/>
      <c r="W24" s="402"/>
      <c r="X24" s="403"/>
      <c r="Y24" s="404"/>
      <c r="Z24" s="400"/>
      <c r="AA24" s="401"/>
      <c r="AB24" s="401"/>
      <c r="AC24" s="401"/>
      <c r="AD24" s="401"/>
      <c r="AE24" s="401"/>
      <c r="AF24" s="401"/>
      <c r="AG24" s="401"/>
      <c r="AH24" s="401"/>
      <c r="AI24" s="401"/>
      <c r="AJ24" s="401"/>
      <c r="AK24" s="385"/>
      <c r="AL24" s="439"/>
      <c r="AM24" s="389"/>
      <c r="AN24" s="521"/>
      <c r="AO24" s="402"/>
      <c r="AP24" s="402"/>
      <c r="AQ24" s="403"/>
      <c r="AR24" s="404"/>
      <c r="AS24" s="400"/>
      <c r="AT24" s="401"/>
      <c r="AU24" s="401"/>
      <c r="AV24" s="401"/>
      <c r="AW24" s="401"/>
      <c r="AX24" s="401"/>
      <c r="AY24" s="401"/>
      <c r="AZ24" s="401"/>
      <c r="BA24" s="401"/>
      <c r="BB24" s="401"/>
      <c r="BC24" s="401"/>
      <c r="BD24" s="385"/>
      <c r="BE24" s="439"/>
      <c r="BF24" s="389"/>
      <c r="BG24" s="521"/>
      <c r="BH24" s="402" t="e">
        <f t="shared" ref="BH24" si="32">AT24/AQ24*1000</f>
        <v>#DIV/0!</v>
      </c>
      <c r="BI24" s="402" t="e">
        <f t="shared" ref="BI24" si="33">AT24/AR24</f>
        <v>#DIV/0!</v>
      </c>
    </row>
    <row r="25" spans="1:61" s="359" customFormat="1" x14ac:dyDescent="0.3">
      <c r="A25" s="360"/>
      <c r="B25" s="342"/>
      <c r="C25" s="362"/>
      <c r="D25" s="361"/>
      <c r="E25" s="368"/>
      <c r="F25" s="341"/>
      <c r="G25" s="362"/>
      <c r="H25" s="381"/>
      <c r="I25" s="376"/>
      <c r="J25" s="376"/>
      <c r="K25" s="376"/>
      <c r="L25" s="376"/>
      <c r="M25" s="376"/>
      <c r="N25" s="376"/>
      <c r="O25" s="376"/>
      <c r="P25" s="376"/>
      <c r="Q25" s="376"/>
      <c r="R25" s="362"/>
      <c r="S25" s="362"/>
      <c r="T25" s="362"/>
      <c r="U25" s="363"/>
      <c r="V25" s="376" t="e">
        <f t="shared" si="13"/>
        <v>#DIV/0!</v>
      </c>
      <c r="W25" s="376" t="e">
        <f t="shared" si="14"/>
        <v>#DIV/0!</v>
      </c>
      <c r="X25" s="368"/>
      <c r="Y25" s="341"/>
      <c r="Z25" s="362"/>
      <c r="AA25" s="381"/>
      <c r="AB25" s="376"/>
      <c r="AC25" s="376"/>
      <c r="AD25" s="376"/>
      <c r="AE25" s="376"/>
      <c r="AF25" s="376"/>
      <c r="AG25" s="376"/>
      <c r="AH25" s="376"/>
      <c r="AI25" s="376"/>
      <c r="AJ25" s="376"/>
      <c r="AK25" s="362"/>
      <c r="AL25" s="362"/>
      <c r="AM25" s="362"/>
      <c r="AN25" s="363"/>
      <c r="AO25" s="376" t="e">
        <f t="shared" si="16"/>
        <v>#DIV/0!</v>
      </c>
      <c r="AP25" s="376" t="e">
        <f t="shared" si="17"/>
        <v>#DIV/0!</v>
      </c>
      <c r="AQ25" s="368"/>
      <c r="AR25" s="341"/>
      <c r="AS25" s="362"/>
      <c r="AT25" s="381"/>
      <c r="AU25" s="376"/>
      <c r="AV25" s="376"/>
      <c r="AW25" s="376"/>
      <c r="AX25" s="376"/>
      <c r="AY25" s="376"/>
      <c r="AZ25" s="376"/>
      <c r="BA25" s="376"/>
      <c r="BB25" s="376"/>
      <c r="BC25" s="376"/>
      <c r="BD25" s="362"/>
      <c r="BE25" s="362"/>
      <c r="BF25" s="362"/>
      <c r="BG25" s="363"/>
      <c r="BH25" s="376" t="e">
        <f t="shared" si="19"/>
        <v>#DIV/0!</v>
      </c>
      <c r="BI25" s="376" t="e">
        <f t="shared" si="20"/>
        <v>#DIV/0!</v>
      </c>
    </row>
    <row r="26" spans="1:61" s="359" customFormat="1" ht="24.75" customHeight="1" x14ac:dyDescent="0.3">
      <c r="A26" s="355" t="s">
        <v>187</v>
      </c>
      <c r="B26" s="356" t="s">
        <v>193</v>
      </c>
      <c r="C26" s="356"/>
      <c r="D26" s="357">
        <v>0.4</v>
      </c>
      <c r="E26" s="500">
        <f t="shared" ref="E26:Q26" si="34">SUM(E27:E28)</f>
        <v>0</v>
      </c>
      <c r="F26" s="347">
        <f t="shared" si="34"/>
        <v>0</v>
      </c>
      <c r="G26" s="347">
        <f t="shared" si="34"/>
        <v>0</v>
      </c>
      <c r="H26" s="375">
        <f t="shared" si="34"/>
        <v>0</v>
      </c>
      <c r="I26" s="375">
        <f t="shared" si="34"/>
        <v>0</v>
      </c>
      <c r="J26" s="375">
        <f t="shared" si="34"/>
        <v>0</v>
      </c>
      <c r="K26" s="375">
        <f t="shared" si="34"/>
        <v>0</v>
      </c>
      <c r="L26" s="375">
        <f t="shared" si="34"/>
        <v>0</v>
      </c>
      <c r="M26" s="375">
        <f t="shared" si="34"/>
        <v>0</v>
      </c>
      <c r="N26" s="375">
        <f t="shared" si="34"/>
        <v>0</v>
      </c>
      <c r="O26" s="375">
        <f t="shared" si="34"/>
        <v>0</v>
      </c>
      <c r="P26" s="375">
        <f t="shared" si="34"/>
        <v>0</v>
      </c>
      <c r="Q26" s="375">
        <f t="shared" si="34"/>
        <v>0</v>
      </c>
      <c r="R26" s="358"/>
      <c r="S26" s="358"/>
      <c r="T26" s="358"/>
      <c r="U26" s="526"/>
      <c r="V26" s="384" t="e">
        <f t="shared" si="13"/>
        <v>#DIV/0!</v>
      </c>
      <c r="W26" s="384" t="e">
        <f t="shared" si="14"/>
        <v>#DIV/0!</v>
      </c>
      <c r="X26" s="500">
        <f t="shared" ref="X26:AJ26" si="35">SUM(X27:X28)</f>
        <v>0</v>
      </c>
      <c r="Y26" s="347">
        <f t="shared" si="35"/>
        <v>0</v>
      </c>
      <c r="Z26" s="347">
        <f t="shared" si="35"/>
        <v>0</v>
      </c>
      <c r="AA26" s="375">
        <f t="shared" si="35"/>
        <v>0</v>
      </c>
      <c r="AB26" s="375">
        <f t="shared" si="35"/>
        <v>0</v>
      </c>
      <c r="AC26" s="375">
        <f t="shared" si="35"/>
        <v>0</v>
      </c>
      <c r="AD26" s="375">
        <f t="shared" si="35"/>
        <v>0</v>
      </c>
      <c r="AE26" s="375">
        <f t="shared" si="35"/>
        <v>0</v>
      </c>
      <c r="AF26" s="375">
        <f t="shared" si="35"/>
        <v>0</v>
      </c>
      <c r="AG26" s="375">
        <f t="shared" si="35"/>
        <v>0</v>
      </c>
      <c r="AH26" s="375">
        <f t="shared" si="35"/>
        <v>0</v>
      </c>
      <c r="AI26" s="375">
        <f t="shared" si="35"/>
        <v>0</v>
      </c>
      <c r="AJ26" s="375">
        <f t="shared" si="35"/>
        <v>0</v>
      </c>
      <c r="AK26" s="358"/>
      <c r="AL26" s="358"/>
      <c r="AM26" s="358"/>
      <c r="AN26" s="526"/>
      <c r="AO26" s="384" t="e">
        <f t="shared" si="16"/>
        <v>#DIV/0!</v>
      </c>
      <c r="AP26" s="384" t="e">
        <f t="shared" si="17"/>
        <v>#DIV/0!</v>
      </c>
      <c r="AQ26" s="500">
        <f t="shared" ref="AQ26:BC26" si="36">SUM(AQ27:AQ28)</f>
        <v>0</v>
      </c>
      <c r="AR26" s="347">
        <f t="shared" si="36"/>
        <v>0</v>
      </c>
      <c r="AS26" s="347">
        <f t="shared" si="36"/>
        <v>0</v>
      </c>
      <c r="AT26" s="375">
        <f t="shared" si="36"/>
        <v>0</v>
      </c>
      <c r="AU26" s="375">
        <f t="shared" si="36"/>
        <v>0</v>
      </c>
      <c r="AV26" s="375">
        <f t="shared" si="36"/>
        <v>0</v>
      </c>
      <c r="AW26" s="375">
        <f t="shared" si="36"/>
        <v>0</v>
      </c>
      <c r="AX26" s="375">
        <f t="shared" si="36"/>
        <v>0</v>
      </c>
      <c r="AY26" s="375">
        <f t="shared" si="36"/>
        <v>0</v>
      </c>
      <c r="AZ26" s="375">
        <f t="shared" si="36"/>
        <v>0</v>
      </c>
      <c r="BA26" s="375">
        <f t="shared" si="36"/>
        <v>0</v>
      </c>
      <c r="BB26" s="375">
        <f t="shared" si="36"/>
        <v>0</v>
      </c>
      <c r="BC26" s="375">
        <f t="shared" si="36"/>
        <v>0</v>
      </c>
      <c r="BD26" s="358"/>
      <c r="BE26" s="358"/>
      <c r="BF26" s="358"/>
      <c r="BG26" s="526"/>
      <c r="BH26" s="384" t="e">
        <f t="shared" si="19"/>
        <v>#DIV/0!</v>
      </c>
      <c r="BI26" s="384" t="e">
        <f t="shared" si="20"/>
        <v>#DIV/0!</v>
      </c>
    </row>
    <row r="27" spans="1:61" s="359" customFormat="1" x14ac:dyDescent="0.3">
      <c r="A27" s="360"/>
      <c r="B27" s="570"/>
      <c r="C27" s="343"/>
      <c r="D27" s="361"/>
      <c r="E27" s="501"/>
      <c r="F27" s="367"/>
      <c r="G27" s="367"/>
      <c r="H27" s="381"/>
      <c r="I27" s="376"/>
      <c r="J27" s="376"/>
      <c r="K27" s="376"/>
      <c r="L27" s="376"/>
      <c r="M27" s="376"/>
      <c r="N27" s="376"/>
      <c r="O27" s="376"/>
      <c r="P27" s="376"/>
      <c r="Q27" s="376"/>
      <c r="R27" s="362"/>
      <c r="S27" s="362"/>
      <c r="T27" s="362"/>
      <c r="U27" s="363"/>
      <c r="V27" s="376"/>
      <c r="W27" s="376"/>
      <c r="X27" s="501"/>
      <c r="Y27" s="367"/>
      <c r="Z27" s="367"/>
      <c r="AA27" s="381"/>
      <c r="AB27" s="376"/>
      <c r="AC27" s="376"/>
      <c r="AD27" s="376"/>
      <c r="AE27" s="376"/>
      <c r="AF27" s="376"/>
      <c r="AG27" s="376"/>
      <c r="AH27" s="376"/>
      <c r="AI27" s="376"/>
      <c r="AJ27" s="376"/>
      <c r="AK27" s="362"/>
      <c r="AL27" s="362"/>
      <c r="AM27" s="362"/>
      <c r="AN27" s="363"/>
      <c r="AO27" s="376"/>
      <c r="AP27" s="376"/>
      <c r="AQ27" s="501"/>
      <c r="AR27" s="367"/>
      <c r="AS27" s="367"/>
      <c r="AT27" s="381"/>
      <c r="AU27" s="376"/>
      <c r="AV27" s="376"/>
      <c r="AW27" s="376"/>
      <c r="AX27" s="376"/>
      <c r="AY27" s="376"/>
      <c r="AZ27" s="376"/>
      <c r="BA27" s="376"/>
      <c r="BB27" s="376"/>
      <c r="BC27" s="376"/>
      <c r="BD27" s="362"/>
      <c r="BE27" s="362"/>
      <c r="BF27" s="362"/>
      <c r="BG27" s="363"/>
      <c r="BH27" s="376" t="e">
        <f t="shared" si="19"/>
        <v>#DIV/0!</v>
      </c>
      <c r="BI27" s="376" t="e">
        <f t="shared" si="20"/>
        <v>#DIV/0!</v>
      </c>
    </row>
    <row r="28" spans="1:61" s="359" customFormat="1" x14ac:dyDescent="0.3">
      <c r="A28" s="360"/>
      <c r="B28" s="342"/>
      <c r="C28" s="343"/>
      <c r="D28" s="361"/>
      <c r="E28" s="368"/>
      <c r="F28" s="341"/>
      <c r="G28" s="362"/>
      <c r="H28" s="381"/>
      <c r="I28" s="376"/>
      <c r="J28" s="376"/>
      <c r="K28" s="376"/>
      <c r="L28" s="376"/>
      <c r="M28" s="376"/>
      <c r="N28" s="376"/>
      <c r="O28" s="376"/>
      <c r="P28" s="376"/>
      <c r="Q28" s="376"/>
      <c r="R28" s="362"/>
      <c r="S28" s="362"/>
      <c r="T28" s="362"/>
      <c r="U28" s="363"/>
      <c r="V28" s="376" t="e">
        <f t="shared" si="13"/>
        <v>#DIV/0!</v>
      </c>
      <c r="W28" s="376" t="e">
        <f t="shared" si="14"/>
        <v>#DIV/0!</v>
      </c>
      <c r="X28" s="368"/>
      <c r="Y28" s="341"/>
      <c r="Z28" s="362"/>
      <c r="AA28" s="381"/>
      <c r="AB28" s="376"/>
      <c r="AC28" s="376"/>
      <c r="AD28" s="376"/>
      <c r="AE28" s="376"/>
      <c r="AF28" s="376"/>
      <c r="AG28" s="376"/>
      <c r="AH28" s="376"/>
      <c r="AI28" s="376"/>
      <c r="AJ28" s="376"/>
      <c r="AK28" s="362"/>
      <c r="AL28" s="362"/>
      <c r="AM28" s="362"/>
      <c r="AN28" s="363"/>
      <c r="AO28" s="376" t="e">
        <f t="shared" si="16"/>
        <v>#DIV/0!</v>
      </c>
      <c r="AP28" s="376" t="e">
        <f t="shared" si="17"/>
        <v>#DIV/0!</v>
      </c>
      <c r="AQ28" s="368"/>
      <c r="AR28" s="341"/>
      <c r="AS28" s="362"/>
      <c r="AT28" s="381"/>
      <c r="AU28" s="376"/>
      <c r="AV28" s="376"/>
      <c r="AW28" s="376"/>
      <c r="AX28" s="376"/>
      <c r="AY28" s="376"/>
      <c r="AZ28" s="376"/>
      <c r="BA28" s="376"/>
      <c r="BB28" s="376"/>
      <c r="BC28" s="376"/>
      <c r="BD28" s="362"/>
      <c r="BE28" s="362"/>
      <c r="BF28" s="362"/>
      <c r="BG28" s="363"/>
      <c r="BH28" s="376" t="e">
        <f t="shared" si="19"/>
        <v>#DIV/0!</v>
      </c>
      <c r="BI28" s="376" t="e">
        <f t="shared" si="20"/>
        <v>#DIV/0!</v>
      </c>
    </row>
    <row r="29" spans="1:61" s="359" customFormat="1" ht="91.2" customHeight="1" x14ac:dyDescent="0.3">
      <c r="A29" s="441" t="s">
        <v>195</v>
      </c>
      <c r="B29" s="463" t="s">
        <v>194</v>
      </c>
      <c r="C29" s="463"/>
      <c r="D29" s="444" t="s">
        <v>212</v>
      </c>
      <c r="E29" s="499">
        <f t="shared" ref="E29:Q29" si="37">E30+E33+E37+E41</f>
        <v>476</v>
      </c>
      <c r="F29" s="464">
        <f t="shared" si="37"/>
        <v>98</v>
      </c>
      <c r="G29" s="464">
        <f t="shared" si="37"/>
        <v>98</v>
      </c>
      <c r="H29" s="465">
        <f t="shared" si="37"/>
        <v>381.17160000000001</v>
      </c>
      <c r="I29" s="465">
        <f t="shared" si="37"/>
        <v>281.15685999999999</v>
      </c>
      <c r="J29" s="465">
        <f t="shared" si="37"/>
        <v>66.618600000000001</v>
      </c>
      <c r="K29" s="465">
        <f t="shared" si="37"/>
        <v>179.18600999999998</v>
      </c>
      <c r="L29" s="465">
        <f t="shared" si="37"/>
        <v>47.071750000000002</v>
      </c>
      <c r="M29" s="465">
        <f t="shared" si="37"/>
        <v>0</v>
      </c>
      <c r="N29" s="465">
        <f t="shared" si="37"/>
        <v>0</v>
      </c>
      <c r="O29" s="465">
        <f t="shared" si="37"/>
        <v>22.777920000000002</v>
      </c>
      <c r="P29" s="465">
        <f t="shared" si="37"/>
        <v>276.11</v>
      </c>
      <c r="Q29" s="465">
        <f t="shared" si="37"/>
        <v>18.851929999999999</v>
      </c>
      <c r="R29" s="466"/>
      <c r="S29" s="466"/>
      <c r="T29" s="466"/>
      <c r="U29" s="525"/>
      <c r="V29" s="467">
        <f t="shared" si="13"/>
        <v>800.78067226890755</v>
      </c>
      <c r="W29" s="467">
        <f t="shared" si="14"/>
        <v>3.8895061224489798</v>
      </c>
      <c r="X29" s="499">
        <f t="shared" ref="X29:AJ29" si="38">X30+X33+X37+X41</f>
        <v>1070</v>
      </c>
      <c r="Y29" s="464">
        <f t="shared" si="38"/>
        <v>55</v>
      </c>
      <c r="Z29" s="464">
        <f t="shared" si="38"/>
        <v>55</v>
      </c>
      <c r="AA29" s="465">
        <f t="shared" si="38"/>
        <v>307.92093</v>
      </c>
      <c r="AB29" s="465">
        <f t="shared" si="38"/>
        <v>202.13758000000001</v>
      </c>
      <c r="AC29" s="465">
        <f t="shared" si="38"/>
        <v>68.512100000000004</v>
      </c>
      <c r="AD29" s="465">
        <f t="shared" si="38"/>
        <v>188.80279999999999</v>
      </c>
      <c r="AE29" s="465">
        <f t="shared" si="38"/>
        <v>26.58999</v>
      </c>
      <c r="AF29" s="465">
        <f t="shared" si="38"/>
        <v>0</v>
      </c>
      <c r="AG29" s="465">
        <f t="shared" si="38"/>
        <v>0</v>
      </c>
      <c r="AH29" s="465">
        <f t="shared" si="38"/>
        <v>20.750240000000002</v>
      </c>
      <c r="AI29" s="465">
        <f t="shared" si="38"/>
        <v>64.03</v>
      </c>
      <c r="AJ29" s="465">
        <f t="shared" si="38"/>
        <v>9.4401399999999995</v>
      </c>
      <c r="AK29" s="466"/>
      <c r="AL29" s="466"/>
      <c r="AM29" s="466"/>
      <c r="AN29" s="525"/>
      <c r="AO29" s="467">
        <f t="shared" si="16"/>
        <v>287.77657009345791</v>
      </c>
      <c r="AP29" s="467">
        <f t="shared" si="17"/>
        <v>5.5985623636363639</v>
      </c>
      <c r="AQ29" s="499">
        <f t="shared" ref="AQ29:BC29" si="39">AQ30+AQ33+AQ37+AQ41</f>
        <v>0</v>
      </c>
      <c r="AR29" s="464">
        <f t="shared" si="39"/>
        <v>0</v>
      </c>
      <c r="AS29" s="464">
        <f t="shared" si="39"/>
        <v>0</v>
      </c>
      <c r="AT29" s="465">
        <f t="shared" si="39"/>
        <v>0</v>
      </c>
      <c r="AU29" s="465">
        <f t="shared" si="39"/>
        <v>0</v>
      </c>
      <c r="AV29" s="465">
        <f t="shared" si="39"/>
        <v>0</v>
      </c>
      <c r="AW29" s="465">
        <f t="shared" si="39"/>
        <v>0</v>
      </c>
      <c r="AX29" s="465">
        <f t="shared" si="39"/>
        <v>0</v>
      </c>
      <c r="AY29" s="465">
        <f t="shared" si="39"/>
        <v>0</v>
      </c>
      <c r="AZ29" s="465">
        <f t="shared" si="39"/>
        <v>0</v>
      </c>
      <c r="BA29" s="465">
        <f t="shared" si="39"/>
        <v>0</v>
      </c>
      <c r="BB29" s="465">
        <f t="shared" si="39"/>
        <v>0</v>
      </c>
      <c r="BC29" s="465">
        <f t="shared" si="39"/>
        <v>0</v>
      </c>
      <c r="BD29" s="466"/>
      <c r="BE29" s="466"/>
      <c r="BF29" s="466"/>
      <c r="BG29" s="525"/>
      <c r="BH29" s="467" t="e">
        <f t="shared" si="19"/>
        <v>#DIV/0!</v>
      </c>
      <c r="BI29" s="467" t="e">
        <f t="shared" si="20"/>
        <v>#DIV/0!</v>
      </c>
    </row>
    <row r="30" spans="1:61" s="359" customFormat="1" ht="24.75" customHeight="1" x14ac:dyDescent="0.3">
      <c r="A30" s="355" t="s">
        <v>179</v>
      </c>
      <c r="B30" s="356" t="s">
        <v>217</v>
      </c>
      <c r="C30" s="356"/>
      <c r="D30" s="357">
        <v>0.4</v>
      </c>
      <c r="E30" s="500">
        <f t="shared" ref="E30:Q30" si="40">SUM(E31:E32)</f>
        <v>216</v>
      </c>
      <c r="F30" s="347">
        <f t="shared" si="40"/>
        <v>15</v>
      </c>
      <c r="G30" s="347">
        <f t="shared" si="40"/>
        <v>15</v>
      </c>
      <c r="H30" s="375">
        <f t="shared" si="40"/>
        <v>172.18950000000001</v>
      </c>
      <c r="I30" s="375">
        <f t="shared" si="40"/>
        <v>125.25152</v>
      </c>
      <c r="J30" s="375">
        <f t="shared" si="40"/>
        <v>25.38</v>
      </c>
      <c r="K30" s="375">
        <f t="shared" si="40"/>
        <v>83.99960999999999</v>
      </c>
      <c r="L30" s="375">
        <f t="shared" si="40"/>
        <v>22.118400000000001</v>
      </c>
      <c r="M30" s="375">
        <f t="shared" si="40"/>
        <v>0</v>
      </c>
      <c r="N30" s="375">
        <f t="shared" si="40"/>
        <v>0</v>
      </c>
      <c r="O30" s="375">
        <f t="shared" si="40"/>
        <v>10.67324</v>
      </c>
      <c r="P30" s="375">
        <f t="shared" si="40"/>
        <v>117.5</v>
      </c>
      <c r="Q30" s="375">
        <f t="shared" si="40"/>
        <v>9.3332899999999999</v>
      </c>
      <c r="R30" s="358"/>
      <c r="S30" s="358"/>
      <c r="T30" s="358"/>
      <c r="U30" s="526"/>
      <c r="V30" s="384">
        <f t="shared" si="13"/>
        <v>797.1736111111112</v>
      </c>
      <c r="W30" s="384">
        <f t="shared" si="14"/>
        <v>11.4793</v>
      </c>
      <c r="X30" s="500">
        <f t="shared" ref="X30:AJ30" si="41">SUM(X31:X32)</f>
        <v>0</v>
      </c>
      <c r="Y30" s="347">
        <f t="shared" si="41"/>
        <v>0</v>
      </c>
      <c r="Z30" s="347">
        <f t="shared" si="41"/>
        <v>0</v>
      </c>
      <c r="AA30" s="375">
        <f t="shared" si="41"/>
        <v>0</v>
      </c>
      <c r="AB30" s="375">
        <f t="shared" si="41"/>
        <v>0</v>
      </c>
      <c r="AC30" s="375">
        <f t="shared" si="41"/>
        <v>0</v>
      </c>
      <c r="AD30" s="375">
        <f t="shared" si="41"/>
        <v>0</v>
      </c>
      <c r="AE30" s="375">
        <f t="shared" si="41"/>
        <v>0</v>
      </c>
      <c r="AF30" s="375">
        <f t="shared" si="41"/>
        <v>0</v>
      </c>
      <c r="AG30" s="375">
        <f t="shared" si="41"/>
        <v>0</v>
      </c>
      <c r="AH30" s="375">
        <f t="shared" si="41"/>
        <v>0</v>
      </c>
      <c r="AI30" s="375">
        <f t="shared" si="41"/>
        <v>0</v>
      </c>
      <c r="AJ30" s="375">
        <f t="shared" si="41"/>
        <v>0</v>
      </c>
      <c r="AK30" s="358"/>
      <c r="AL30" s="358"/>
      <c r="AM30" s="358"/>
      <c r="AN30" s="526"/>
      <c r="AO30" s="384" t="e">
        <f t="shared" si="16"/>
        <v>#DIV/0!</v>
      </c>
      <c r="AP30" s="384" t="e">
        <f t="shared" si="17"/>
        <v>#DIV/0!</v>
      </c>
      <c r="AQ30" s="500">
        <f t="shared" ref="AQ30:BC30" si="42">SUM(AQ31:AQ32)</f>
        <v>0</v>
      </c>
      <c r="AR30" s="347">
        <f t="shared" si="42"/>
        <v>0</v>
      </c>
      <c r="AS30" s="347">
        <f t="shared" si="42"/>
        <v>0</v>
      </c>
      <c r="AT30" s="375">
        <f t="shared" si="42"/>
        <v>0</v>
      </c>
      <c r="AU30" s="375">
        <f t="shared" si="42"/>
        <v>0</v>
      </c>
      <c r="AV30" s="375">
        <f t="shared" si="42"/>
        <v>0</v>
      </c>
      <c r="AW30" s="375">
        <f t="shared" si="42"/>
        <v>0</v>
      </c>
      <c r="AX30" s="375">
        <f t="shared" si="42"/>
        <v>0</v>
      </c>
      <c r="AY30" s="375">
        <f t="shared" si="42"/>
        <v>0</v>
      </c>
      <c r="AZ30" s="375">
        <f t="shared" si="42"/>
        <v>0</v>
      </c>
      <c r="BA30" s="375">
        <f t="shared" si="42"/>
        <v>0</v>
      </c>
      <c r="BB30" s="375">
        <f t="shared" si="42"/>
        <v>0</v>
      </c>
      <c r="BC30" s="375">
        <f t="shared" si="42"/>
        <v>0</v>
      </c>
      <c r="BD30" s="358"/>
      <c r="BE30" s="358"/>
      <c r="BF30" s="358"/>
      <c r="BG30" s="526"/>
      <c r="BH30" s="384" t="e">
        <f t="shared" si="19"/>
        <v>#DIV/0!</v>
      </c>
      <c r="BI30" s="384" t="e">
        <f t="shared" si="20"/>
        <v>#DIV/0!</v>
      </c>
    </row>
    <row r="31" spans="1:61" s="359" customFormat="1" ht="19.2" x14ac:dyDescent="0.3">
      <c r="A31" s="360" t="s">
        <v>191</v>
      </c>
      <c r="B31" s="513" t="s">
        <v>259</v>
      </c>
      <c r="C31" s="530" t="s">
        <v>260</v>
      </c>
      <c r="D31" s="361">
        <v>0.4</v>
      </c>
      <c r="E31" s="502">
        <v>216</v>
      </c>
      <c r="F31" s="344">
        <v>15</v>
      </c>
      <c r="G31" s="363">
        <v>15</v>
      </c>
      <c r="H31" s="424">
        <v>172.18950000000001</v>
      </c>
      <c r="I31" s="376">
        <v>125.25152</v>
      </c>
      <c r="J31" s="376">
        <v>25.38</v>
      </c>
      <c r="K31" s="376">
        <v>83.99960999999999</v>
      </c>
      <c r="L31" s="376">
        <v>22.118400000000001</v>
      </c>
      <c r="M31" s="376">
        <v>0</v>
      </c>
      <c r="N31" s="376">
        <v>0</v>
      </c>
      <c r="O31" s="376">
        <v>10.67324</v>
      </c>
      <c r="P31" s="376">
        <v>117.5</v>
      </c>
      <c r="Q31" s="376">
        <v>9.3332899999999999</v>
      </c>
      <c r="R31" s="385" t="s">
        <v>167</v>
      </c>
      <c r="S31" s="439" t="s">
        <v>175</v>
      </c>
      <c r="T31" s="362"/>
      <c r="U31" s="363">
        <v>11</v>
      </c>
      <c r="V31" s="376">
        <f t="shared" ref="V31" si="43">H31/E31*1000</f>
        <v>797.1736111111112</v>
      </c>
      <c r="W31" s="376">
        <f t="shared" ref="W31" si="44">H31/F31</f>
        <v>11.4793</v>
      </c>
      <c r="X31" s="502"/>
      <c r="Y31" s="344"/>
      <c r="Z31" s="363"/>
      <c r="AA31" s="424"/>
      <c r="AB31" s="376"/>
      <c r="AC31" s="376"/>
      <c r="AD31" s="376"/>
      <c r="AE31" s="376"/>
      <c r="AF31" s="376"/>
      <c r="AG31" s="376"/>
      <c r="AH31" s="376"/>
      <c r="AI31" s="376"/>
      <c r="AJ31" s="376"/>
      <c r="AK31" s="385"/>
      <c r="AL31" s="439"/>
      <c r="AM31" s="362"/>
      <c r="AN31" s="363"/>
      <c r="AO31" s="376" t="e">
        <f t="shared" si="16"/>
        <v>#DIV/0!</v>
      </c>
      <c r="AP31" s="376" t="e">
        <f t="shared" si="17"/>
        <v>#DIV/0!</v>
      </c>
      <c r="AQ31" s="502"/>
      <c r="AR31" s="344"/>
      <c r="AS31" s="363"/>
      <c r="AT31" s="424"/>
      <c r="AU31" s="376"/>
      <c r="AV31" s="376"/>
      <c r="AW31" s="376"/>
      <c r="AX31" s="376"/>
      <c r="AY31" s="376"/>
      <c r="AZ31" s="376"/>
      <c r="BA31" s="376"/>
      <c r="BB31" s="376"/>
      <c r="BC31" s="376"/>
      <c r="BD31" s="385"/>
      <c r="BE31" s="439"/>
      <c r="BF31" s="362"/>
      <c r="BG31" s="363"/>
      <c r="BH31" s="376" t="e">
        <f t="shared" si="19"/>
        <v>#DIV/0!</v>
      </c>
      <c r="BI31" s="376" t="e">
        <f t="shared" si="20"/>
        <v>#DIV/0!</v>
      </c>
    </row>
    <row r="32" spans="1:61" s="359" customFormat="1" x14ac:dyDescent="0.3">
      <c r="A32" s="360"/>
      <c r="B32" s="342"/>
      <c r="C32" s="348"/>
      <c r="D32" s="361">
        <v>0.4</v>
      </c>
      <c r="E32" s="368"/>
      <c r="F32" s="341"/>
      <c r="G32" s="362"/>
      <c r="H32" s="381"/>
      <c r="I32" s="376"/>
      <c r="J32" s="376"/>
      <c r="K32" s="376"/>
      <c r="L32" s="376"/>
      <c r="M32" s="376"/>
      <c r="N32" s="376"/>
      <c r="O32" s="376"/>
      <c r="P32" s="376"/>
      <c r="Q32" s="376"/>
      <c r="R32" s="362"/>
      <c r="S32" s="362"/>
      <c r="T32" s="362"/>
      <c r="U32" s="363"/>
      <c r="V32" s="376" t="e">
        <f t="shared" si="13"/>
        <v>#DIV/0!</v>
      </c>
      <c r="W32" s="376" t="e">
        <f t="shared" si="14"/>
        <v>#DIV/0!</v>
      </c>
      <c r="X32" s="368"/>
      <c r="Y32" s="341"/>
      <c r="Z32" s="362"/>
      <c r="AA32" s="381"/>
      <c r="AB32" s="376"/>
      <c r="AC32" s="376"/>
      <c r="AD32" s="376"/>
      <c r="AE32" s="376"/>
      <c r="AF32" s="376"/>
      <c r="AG32" s="376"/>
      <c r="AH32" s="376"/>
      <c r="AI32" s="376"/>
      <c r="AJ32" s="376"/>
      <c r="AK32" s="362"/>
      <c r="AL32" s="362"/>
      <c r="AM32" s="362"/>
      <c r="AN32" s="363"/>
      <c r="AO32" s="376" t="e">
        <f t="shared" si="16"/>
        <v>#DIV/0!</v>
      </c>
      <c r="AP32" s="376" t="e">
        <f t="shared" si="17"/>
        <v>#DIV/0!</v>
      </c>
      <c r="AQ32" s="368"/>
      <c r="AR32" s="341"/>
      <c r="AS32" s="362"/>
      <c r="AT32" s="381"/>
      <c r="AU32" s="376"/>
      <c r="AV32" s="376"/>
      <c r="AW32" s="376"/>
      <c r="AX32" s="376"/>
      <c r="AY32" s="376"/>
      <c r="AZ32" s="376"/>
      <c r="BA32" s="376"/>
      <c r="BB32" s="376"/>
      <c r="BC32" s="376"/>
      <c r="BD32" s="362"/>
      <c r="BE32" s="362"/>
      <c r="BF32" s="362"/>
      <c r="BG32" s="363"/>
      <c r="BH32" s="376" t="e">
        <f t="shared" si="19"/>
        <v>#DIV/0!</v>
      </c>
      <c r="BI32" s="376" t="e">
        <f t="shared" si="20"/>
        <v>#DIV/0!</v>
      </c>
    </row>
    <row r="33" spans="1:61" s="359" customFormat="1" ht="24.75" customHeight="1" x14ac:dyDescent="0.3">
      <c r="A33" s="355" t="s">
        <v>183</v>
      </c>
      <c r="B33" s="356" t="s">
        <v>218</v>
      </c>
      <c r="C33" s="356"/>
      <c r="D33" s="357">
        <v>0.4</v>
      </c>
      <c r="E33" s="500">
        <f t="shared" ref="E33:Q33" si="45">SUM(E34:E36)</f>
        <v>260</v>
      </c>
      <c r="F33" s="347">
        <f t="shared" si="45"/>
        <v>83</v>
      </c>
      <c r="G33" s="347">
        <f t="shared" si="45"/>
        <v>83</v>
      </c>
      <c r="H33" s="375">
        <f t="shared" si="45"/>
        <v>208.9821</v>
      </c>
      <c r="I33" s="375">
        <f t="shared" si="45"/>
        <v>155.90534</v>
      </c>
      <c r="J33" s="375">
        <f t="shared" si="45"/>
        <v>41.238599999999998</v>
      </c>
      <c r="K33" s="375">
        <f t="shared" si="45"/>
        <v>95.186399999999992</v>
      </c>
      <c r="L33" s="375">
        <f t="shared" si="45"/>
        <v>24.95335</v>
      </c>
      <c r="M33" s="375">
        <f t="shared" si="45"/>
        <v>0</v>
      </c>
      <c r="N33" s="375">
        <f t="shared" si="45"/>
        <v>0</v>
      </c>
      <c r="O33" s="375">
        <f t="shared" si="45"/>
        <v>12.10468</v>
      </c>
      <c r="P33" s="375">
        <f t="shared" si="45"/>
        <v>158.61000000000001</v>
      </c>
      <c r="Q33" s="375">
        <f t="shared" si="45"/>
        <v>9.5186399999999995</v>
      </c>
      <c r="R33" s="358"/>
      <c r="S33" s="358"/>
      <c r="T33" s="358"/>
      <c r="U33" s="526"/>
      <c r="V33" s="384">
        <f t="shared" si="13"/>
        <v>803.77730769230766</v>
      </c>
      <c r="W33" s="384">
        <f t="shared" si="14"/>
        <v>2.517856626506024</v>
      </c>
      <c r="X33" s="500">
        <f t="shared" ref="X33:AJ33" si="46">SUM(X34:X36)</f>
        <v>0</v>
      </c>
      <c r="Y33" s="347">
        <f t="shared" si="46"/>
        <v>0</v>
      </c>
      <c r="Z33" s="347">
        <f t="shared" si="46"/>
        <v>0</v>
      </c>
      <c r="AA33" s="375">
        <f t="shared" si="46"/>
        <v>0</v>
      </c>
      <c r="AB33" s="375">
        <f t="shared" si="46"/>
        <v>0</v>
      </c>
      <c r="AC33" s="375">
        <f t="shared" si="46"/>
        <v>0</v>
      </c>
      <c r="AD33" s="375">
        <f t="shared" si="46"/>
        <v>0</v>
      </c>
      <c r="AE33" s="375">
        <f t="shared" si="46"/>
        <v>0</v>
      </c>
      <c r="AF33" s="375">
        <f t="shared" si="46"/>
        <v>0</v>
      </c>
      <c r="AG33" s="375">
        <f t="shared" si="46"/>
        <v>0</v>
      </c>
      <c r="AH33" s="375">
        <f t="shared" si="46"/>
        <v>0</v>
      </c>
      <c r="AI33" s="375">
        <f t="shared" si="46"/>
        <v>0</v>
      </c>
      <c r="AJ33" s="375">
        <f t="shared" si="46"/>
        <v>0</v>
      </c>
      <c r="AK33" s="358"/>
      <c r="AL33" s="358"/>
      <c r="AM33" s="358"/>
      <c r="AN33" s="526"/>
      <c r="AO33" s="384" t="e">
        <f t="shared" si="16"/>
        <v>#DIV/0!</v>
      </c>
      <c r="AP33" s="384" t="e">
        <f t="shared" si="17"/>
        <v>#DIV/0!</v>
      </c>
      <c r="AQ33" s="500">
        <f t="shared" ref="AQ33:BC33" si="47">SUM(AQ34:AQ36)</f>
        <v>0</v>
      </c>
      <c r="AR33" s="347">
        <f t="shared" si="47"/>
        <v>0</v>
      </c>
      <c r="AS33" s="347">
        <f t="shared" si="47"/>
        <v>0</v>
      </c>
      <c r="AT33" s="375">
        <f t="shared" si="47"/>
        <v>0</v>
      </c>
      <c r="AU33" s="375">
        <f t="shared" si="47"/>
        <v>0</v>
      </c>
      <c r="AV33" s="375">
        <f t="shared" si="47"/>
        <v>0</v>
      </c>
      <c r="AW33" s="375">
        <f t="shared" si="47"/>
        <v>0</v>
      </c>
      <c r="AX33" s="375">
        <f t="shared" si="47"/>
        <v>0</v>
      </c>
      <c r="AY33" s="375">
        <f t="shared" si="47"/>
        <v>0</v>
      </c>
      <c r="AZ33" s="375">
        <f t="shared" si="47"/>
        <v>0</v>
      </c>
      <c r="BA33" s="375">
        <f t="shared" si="47"/>
        <v>0</v>
      </c>
      <c r="BB33" s="375">
        <f t="shared" si="47"/>
        <v>0</v>
      </c>
      <c r="BC33" s="375">
        <f t="shared" si="47"/>
        <v>0</v>
      </c>
      <c r="BD33" s="358"/>
      <c r="BE33" s="358"/>
      <c r="BF33" s="358"/>
      <c r="BG33" s="526"/>
      <c r="BH33" s="384" t="e">
        <f t="shared" si="19"/>
        <v>#DIV/0!</v>
      </c>
      <c r="BI33" s="384" t="e">
        <f t="shared" si="20"/>
        <v>#DIV/0!</v>
      </c>
    </row>
    <row r="34" spans="1:61" s="359" customFormat="1" ht="19.2" x14ac:dyDescent="0.3">
      <c r="A34" s="360" t="s">
        <v>214</v>
      </c>
      <c r="B34" s="513" t="s">
        <v>263</v>
      </c>
      <c r="C34" s="389" t="s">
        <v>264</v>
      </c>
      <c r="D34" s="361">
        <v>0.4</v>
      </c>
      <c r="E34" s="403">
        <v>260</v>
      </c>
      <c r="F34" s="404">
        <v>83</v>
      </c>
      <c r="G34" s="400">
        <v>83</v>
      </c>
      <c r="H34" s="419">
        <v>208.9821</v>
      </c>
      <c r="I34" s="401">
        <v>155.90534</v>
      </c>
      <c r="J34" s="401">
        <v>41.238599999999998</v>
      </c>
      <c r="K34" s="401">
        <f>57.11184+38.07456</f>
        <v>95.186399999999992</v>
      </c>
      <c r="L34" s="401">
        <v>24.95335</v>
      </c>
      <c r="M34" s="401">
        <v>0</v>
      </c>
      <c r="N34" s="401">
        <v>0</v>
      </c>
      <c r="O34" s="401">
        <v>12.10468</v>
      </c>
      <c r="P34" s="401">
        <v>158.61000000000001</v>
      </c>
      <c r="Q34" s="401">
        <v>9.5186399999999995</v>
      </c>
      <c r="R34" s="385" t="s">
        <v>167</v>
      </c>
      <c r="S34" s="439" t="s">
        <v>175</v>
      </c>
      <c r="T34" s="362"/>
      <c r="U34" s="363">
        <v>19</v>
      </c>
      <c r="V34" s="376">
        <f t="shared" ref="V34" si="48">H34/E34*1000</f>
        <v>803.77730769230766</v>
      </c>
      <c r="W34" s="376">
        <f t="shared" ref="W34" si="49">H34/F34</f>
        <v>2.517856626506024</v>
      </c>
      <c r="X34" s="403"/>
      <c r="Y34" s="404"/>
      <c r="Z34" s="400"/>
      <c r="AA34" s="419"/>
      <c r="AB34" s="401"/>
      <c r="AC34" s="401"/>
      <c r="AD34" s="401"/>
      <c r="AE34" s="401"/>
      <c r="AF34" s="401"/>
      <c r="AG34" s="401"/>
      <c r="AH34" s="401"/>
      <c r="AI34" s="401"/>
      <c r="AJ34" s="401"/>
      <c r="AK34" s="385"/>
      <c r="AL34" s="439"/>
      <c r="AM34" s="362"/>
      <c r="AN34" s="363"/>
      <c r="AO34" s="376" t="e">
        <f t="shared" si="16"/>
        <v>#DIV/0!</v>
      </c>
      <c r="AP34" s="376" t="e">
        <f t="shared" si="17"/>
        <v>#DIV/0!</v>
      </c>
      <c r="AQ34" s="403"/>
      <c r="AR34" s="404"/>
      <c r="AS34" s="400"/>
      <c r="AT34" s="419"/>
      <c r="AU34" s="401"/>
      <c r="AV34" s="401"/>
      <c r="AW34" s="401"/>
      <c r="AX34" s="401"/>
      <c r="AY34" s="401"/>
      <c r="AZ34" s="401"/>
      <c r="BA34" s="401"/>
      <c r="BB34" s="401"/>
      <c r="BC34" s="401"/>
      <c r="BD34" s="385"/>
      <c r="BE34" s="439"/>
      <c r="BF34" s="362"/>
      <c r="BG34" s="363"/>
      <c r="BH34" s="376" t="e">
        <f t="shared" si="19"/>
        <v>#DIV/0!</v>
      </c>
      <c r="BI34" s="376" t="e">
        <f t="shared" si="20"/>
        <v>#DIV/0!</v>
      </c>
    </row>
    <row r="35" spans="1:61" s="359" customFormat="1" x14ac:dyDescent="0.3">
      <c r="A35" s="360"/>
      <c r="B35" s="382"/>
      <c r="C35" s="389"/>
      <c r="D35" s="361">
        <v>0.4</v>
      </c>
      <c r="E35" s="403"/>
      <c r="F35" s="404"/>
      <c r="G35" s="400"/>
      <c r="H35" s="401"/>
      <c r="I35" s="401"/>
      <c r="J35" s="401"/>
      <c r="K35" s="401"/>
      <c r="L35" s="401"/>
      <c r="M35" s="401"/>
      <c r="N35" s="401"/>
      <c r="O35" s="401"/>
      <c r="P35" s="401"/>
      <c r="Q35" s="401"/>
      <c r="R35" s="385"/>
      <c r="S35" s="439"/>
      <c r="T35" s="362"/>
      <c r="U35" s="363"/>
      <c r="V35" s="376"/>
      <c r="W35" s="376"/>
      <c r="X35" s="403"/>
      <c r="Y35" s="404"/>
      <c r="Z35" s="400"/>
      <c r="AA35" s="401"/>
      <c r="AB35" s="401"/>
      <c r="AC35" s="401"/>
      <c r="AD35" s="401"/>
      <c r="AE35" s="401"/>
      <c r="AF35" s="401"/>
      <c r="AG35" s="401"/>
      <c r="AH35" s="401"/>
      <c r="AI35" s="401"/>
      <c r="AJ35" s="401"/>
      <c r="AK35" s="385"/>
      <c r="AL35" s="439"/>
      <c r="AM35" s="362"/>
      <c r="AN35" s="363"/>
      <c r="AO35" s="376"/>
      <c r="AP35" s="376"/>
      <c r="AQ35" s="403"/>
      <c r="AR35" s="404"/>
      <c r="AS35" s="400"/>
      <c r="AT35" s="401"/>
      <c r="AU35" s="401"/>
      <c r="AV35" s="401"/>
      <c r="AW35" s="401"/>
      <c r="AX35" s="401"/>
      <c r="AY35" s="401"/>
      <c r="AZ35" s="401"/>
      <c r="BA35" s="401"/>
      <c r="BB35" s="401"/>
      <c r="BC35" s="401"/>
      <c r="BD35" s="385"/>
      <c r="BE35" s="439"/>
      <c r="BF35" s="362"/>
      <c r="BG35" s="363"/>
      <c r="BH35" s="376" t="e">
        <f t="shared" ref="BH35" si="50">AT35/AQ35*1000</f>
        <v>#DIV/0!</v>
      </c>
      <c r="BI35" s="376" t="e">
        <f t="shared" ref="BI35" si="51">AT35/AR35</f>
        <v>#DIV/0!</v>
      </c>
    </row>
    <row r="36" spans="1:61" s="359" customFormat="1" x14ac:dyDescent="0.3">
      <c r="A36" s="360"/>
      <c r="B36" s="342"/>
      <c r="C36" s="349"/>
      <c r="D36" s="361"/>
      <c r="E36" s="368"/>
      <c r="F36" s="341"/>
      <c r="G36" s="362"/>
      <c r="H36" s="381"/>
      <c r="I36" s="376"/>
      <c r="J36" s="376"/>
      <c r="K36" s="376"/>
      <c r="L36" s="376"/>
      <c r="M36" s="376"/>
      <c r="N36" s="376"/>
      <c r="O36" s="376"/>
      <c r="P36" s="376"/>
      <c r="Q36" s="376"/>
      <c r="R36" s="362"/>
      <c r="S36" s="362"/>
      <c r="T36" s="362"/>
      <c r="U36" s="363"/>
      <c r="V36" s="376" t="e">
        <f t="shared" ref="V36:V62" si="52">H36/E36*1000</f>
        <v>#DIV/0!</v>
      </c>
      <c r="W36" s="376" t="e">
        <f t="shared" ref="W36:W62" si="53">H36/F36</f>
        <v>#DIV/0!</v>
      </c>
      <c r="X36" s="368"/>
      <c r="Y36" s="341"/>
      <c r="Z36" s="362"/>
      <c r="AA36" s="381"/>
      <c r="AB36" s="376"/>
      <c r="AC36" s="376"/>
      <c r="AD36" s="376"/>
      <c r="AE36" s="376"/>
      <c r="AF36" s="376"/>
      <c r="AG36" s="376"/>
      <c r="AH36" s="376"/>
      <c r="AI36" s="376"/>
      <c r="AJ36" s="376"/>
      <c r="AK36" s="362"/>
      <c r="AL36" s="362"/>
      <c r="AM36" s="362"/>
      <c r="AN36" s="363"/>
      <c r="AO36" s="376" t="e">
        <f t="shared" si="16"/>
        <v>#DIV/0!</v>
      </c>
      <c r="AP36" s="376" t="e">
        <f t="shared" si="17"/>
        <v>#DIV/0!</v>
      </c>
      <c r="AQ36" s="368"/>
      <c r="AR36" s="341"/>
      <c r="AS36" s="362"/>
      <c r="AT36" s="381"/>
      <c r="AU36" s="376"/>
      <c r="AV36" s="376"/>
      <c r="AW36" s="376"/>
      <c r="AX36" s="376"/>
      <c r="AY36" s="376"/>
      <c r="AZ36" s="376"/>
      <c r="BA36" s="376"/>
      <c r="BB36" s="376"/>
      <c r="BC36" s="376"/>
      <c r="BD36" s="362"/>
      <c r="BE36" s="362"/>
      <c r="BF36" s="362"/>
      <c r="BG36" s="363"/>
      <c r="BH36" s="376" t="e">
        <f t="shared" si="19"/>
        <v>#DIV/0!</v>
      </c>
      <c r="BI36" s="376" t="e">
        <f t="shared" si="20"/>
        <v>#DIV/0!</v>
      </c>
    </row>
    <row r="37" spans="1:61" s="359" customFormat="1" ht="24.75" customHeight="1" x14ac:dyDescent="0.3">
      <c r="A37" s="355" t="s">
        <v>185</v>
      </c>
      <c r="B37" s="356" t="s">
        <v>219</v>
      </c>
      <c r="C37" s="356"/>
      <c r="D37" s="357">
        <v>6</v>
      </c>
      <c r="E37" s="500">
        <f t="shared" ref="E37:Q37" si="54">SUM(E38:E40)</f>
        <v>0</v>
      </c>
      <c r="F37" s="347">
        <f t="shared" si="54"/>
        <v>0</v>
      </c>
      <c r="G37" s="347">
        <f t="shared" si="54"/>
        <v>0</v>
      </c>
      <c r="H37" s="375">
        <f t="shared" si="54"/>
        <v>0</v>
      </c>
      <c r="I37" s="375">
        <f t="shared" si="54"/>
        <v>0</v>
      </c>
      <c r="J37" s="375">
        <f t="shared" si="54"/>
        <v>0</v>
      </c>
      <c r="K37" s="375">
        <f t="shared" si="54"/>
        <v>0</v>
      </c>
      <c r="L37" s="375">
        <f t="shared" si="54"/>
        <v>0</v>
      </c>
      <c r="M37" s="375">
        <f t="shared" si="54"/>
        <v>0</v>
      </c>
      <c r="N37" s="375">
        <f t="shared" si="54"/>
        <v>0</v>
      </c>
      <c r="O37" s="375">
        <f t="shared" si="54"/>
        <v>0</v>
      </c>
      <c r="P37" s="375">
        <f t="shared" si="54"/>
        <v>0</v>
      </c>
      <c r="Q37" s="375">
        <f t="shared" si="54"/>
        <v>0</v>
      </c>
      <c r="R37" s="358"/>
      <c r="S37" s="358"/>
      <c r="T37" s="358"/>
      <c r="U37" s="526"/>
      <c r="V37" s="384" t="e">
        <f t="shared" si="52"/>
        <v>#DIV/0!</v>
      </c>
      <c r="W37" s="384" t="e">
        <f t="shared" si="53"/>
        <v>#DIV/0!</v>
      </c>
      <c r="X37" s="500">
        <f t="shared" ref="X37:AJ37" si="55">SUM(X38:X40)</f>
        <v>1070</v>
      </c>
      <c r="Y37" s="347">
        <f t="shared" si="55"/>
        <v>55</v>
      </c>
      <c r="Z37" s="347">
        <f t="shared" si="55"/>
        <v>55</v>
      </c>
      <c r="AA37" s="375">
        <f t="shared" si="55"/>
        <v>307.92093</v>
      </c>
      <c r="AB37" s="375">
        <f t="shared" si="55"/>
        <v>202.13758000000001</v>
      </c>
      <c r="AC37" s="375">
        <f t="shared" si="55"/>
        <v>68.512100000000004</v>
      </c>
      <c r="AD37" s="375">
        <f t="shared" si="55"/>
        <v>188.80279999999999</v>
      </c>
      <c r="AE37" s="375">
        <f t="shared" si="55"/>
        <v>26.58999</v>
      </c>
      <c r="AF37" s="375">
        <f t="shared" si="55"/>
        <v>0</v>
      </c>
      <c r="AG37" s="375">
        <f t="shared" si="55"/>
        <v>0</v>
      </c>
      <c r="AH37" s="375">
        <f t="shared" si="55"/>
        <v>20.750240000000002</v>
      </c>
      <c r="AI37" s="375">
        <f t="shared" si="55"/>
        <v>64.03</v>
      </c>
      <c r="AJ37" s="375">
        <f t="shared" si="55"/>
        <v>9.4401399999999995</v>
      </c>
      <c r="AK37" s="358"/>
      <c r="AL37" s="358"/>
      <c r="AM37" s="358"/>
      <c r="AN37" s="526"/>
      <c r="AO37" s="384">
        <f t="shared" si="16"/>
        <v>287.77657009345791</v>
      </c>
      <c r="AP37" s="384">
        <f t="shared" si="17"/>
        <v>5.5985623636363639</v>
      </c>
      <c r="AQ37" s="500">
        <f t="shared" ref="AQ37:BC37" si="56">SUM(AQ38:AQ40)</f>
        <v>0</v>
      </c>
      <c r="AR37" s="347">
        <f t="shared" si="56"/>
        <v>0</v>
      </c>
      <c r="AS37" s="347">
        <f t="shared" si="56"/>
        <v>0</v>
      </c>
      <c r="AT37" s="375">
        <f t="shared" si="56"/>
        <v>0</v>
      </c>
      <c r="AU37" s="375">
        <f t="shared" si="56"/>
        <v>0</v>
      </c>
      <c r="AV37" s="375">
        <f t="shared" si="56"/>
        <v>0</v>
      </c>
      <c r="AW37" s="375">
        <f t="shared" si="56"/>
        <v>0</v>
      </c>
      <c r="AX37" s="375">
        <f t="shared" si="56"/>
        <v>0</v>
      </c>
      <c r="AY37" s="375">
        <f t="shared" si="56"/>
        <v>0</v>
      </c>
      <c r="AZ37" s="375">
        <f t="shared" si="56"/>
        <v>0</v>
      </c>
      <c r="BA37" s="375">
        <f t="shared" si="56"/>
        <v>0</v>
      </c>
      <c r="BB37" s="375">
        <f t="shared" si="56"/>
        <v>0</v>
      </c>
      <c r="BC37" s="375">
        <f t="shared" si="56"/>
        <v>0</v>
      </c>
      <c r="BD37" s="358"/>
      <c r="BE37" s="358"/>
      <c r="BF37" s="358"/>
      <c r="BG37" s="526"/>
      <c r="BH37" s="384" t="e">
        <f t="shared" si="19"/>
        <v>#DIV/0!</v>
      </c>
      <c r="BI37" s="384" t="e">
        <f t="shared" si="20"/>
        <v>#DIV/0!</v>
      </c>
    </row>
    <row r="38" spans="1:61" s="359" customFormat="1" ht="19.2" x14ac:dyDescent="0.3">
      <c r="A38" s="360" t="s">
        <v>179</v>
      </c>
      <c r="B38" s="543" t="s">
        <v>589</v>
      </c>
      <c r="C38" s="530" t="s">
        <v>588</v>
      </c>
      <c r="D38" s="361">
        <v>6</v>
      </c>
      <c r="E38" s="368"/>
      <c r="F38" s="341"/>
      <c r="G38" s="341"/>
      <c r="H38" s="381"/>
      <c r="I38" s="376"/>
      <c r="J38" s="376"/>
      <c r="K38" s="376"/>
      <c r="L38" s="376"/>
      <c r="M38" s="376"/>
      <c r="N38" s="376"/>
      <c r="O38" s="376"/>
      <c r="P38" s="376"/>
      <c r="Q38" s="376"/>
      <c r="R38" s="362"/>
      <c r="S38" s="362"/>
      <c r="T38" s="362"/>
      <c r="U38" s="363"/>
      <c r="V38" s="376" t="e">
        <f t="shared" si="52"/>
        <v>#DIV/0!</v>
      </c>
      <c r="W38" s="376" t="e">
        <f t="shared" si="53"/>
        <v>#DIV/0!</v>
      </c>
      <c r="X38" s="368">
        <v>1070</v>
      </c>
      <c r="Y38" s="572">
        <v>55</v>
      </c>
      <c r="Z38" s="572">
        <v>55</v>
      </c>
      <c r="AA38" s="571">
        <v>307.92093</v>
      </c>
      <c r="AB38" s="376">
        <v>202.13758000000001</v>
      </c>
      <c r="AC38" s="376">
        <v>68.512100000000004</v>
      </c>
      <c r="AD38" s="376">
        <f>28.32042+75.52112+84.96126</f>
        <v>188.80279999999999</v>
      </c>
      <c r="AE38" s="376">
        <v>26.58999</v>
      </c>
      <c r="AF38" s="376">
        <v>0</v>
      </c>
      <c r="AG38" s="376">
        <v>0</v>
      </c>
      <c r="AH38" s="376">
        <v>20.750240000000002</v>
      </c>
      <c r="AI38" s="376">
        <v>64.03</v>
      </c>
      <c r="AJ38" s="376">
        <v>9.4401399999999995</v>
      </c>
      <c r="AK38" s="385" t="s">
        <v>167</v>
      </c>
      <c r="AL38" s="439" t="s">
        <v>175</v>
      </c>
      <c r="AM38" s="362"/>
      <c r="AN38" s="363"/>
      <c r="AO38" s="376">
        <f t="shared" si="16"/>
        <v>287.77657009345791</v>
      </c>
      <c r="AP38" s="376">
        <f t="shared" si="17"/>
        <v>5.5985623636363639</v>
      </c>
      <c r="AQ38" s="368"/>
      <c r="AR38" s="572"/>
      <c r="AS38" s="572"/>
      <c r="AT38" s="571"/>
      <c r="AU38" s="376"/>
      <c r="AV38" s="376"/>
      <c r="AW38" s="376"/>
      <c r="AX38" s="376"/>
      <c r="AY38" s="376"/>
      <c r="AZ38" s="376"/>
      <c r="BA38" s="376"/>
      <c r="BB38" s="376"/>
      <c r="BC38" s="376"/>
      <c r="BD38" s="385"/>
      <c r="BE38" s="439"/>
      <c r="BF38" s="362"/>
      <c r="BG38" s="363"/>
      <c r="BH38" s="376" t="e">
        <f t="shared" si="19"/>
        <v>#DIV/0!</v>
      </c>
      <c r="BI38" s="376" t="e">
        <f t="shared" si="20"/>
        <v>#DIV/0!</v>
      </c>
    </row>
    <row r="39" spans="1:61" s="359" customFormat="1" x14ac:dyDescent="0.3">
      <c r="A39" s="360"/>
      <c r="B39" s="382"/>
      <c r="C39" s="530"/>
      <c r="D39" s="361">
        <v>6</v>
      </c>
      <c r="E39" s="368"/>
      <c r="F39" s="341"/>
      <c r="G39" s="341"/>
      <c r="H39" s="381"/>
      <c r="I39" s="376"/>
      <c r="J39" s="376"/>
      <c r="K39" s="376"/>
      <c r="L39" s="376"/>
      <c r="M39" s="376"/>
      <c r="N39" s="376"/>
      <c r="O39" s="376"/>
      <c r="P39" s="376"/>
      <c r="Q39" s="376"/>
      <c r="R39" s="362"/>
      <c r="S39" s="362"/>
      <c r="T39" s="362"/>
      <c r="U39" s="363"/>
      <c r="V39" s="376"/>
      <c r="W39" s="376"/>
      <c r="X39" s="368"/>
      <c r="Y39" s="572"/>
      <c r="Z39" s="572"/>
      <c r="AA39" s="381"/>
      <c r="AB39" s="376"/>
      <c r="AC39" s="376"/>
      <c r="AD39" s="376"/>
      <c r="AE39" s="376"/>
      <c r="AF39" s="376"/>
      <c r="AG39" s="376"/>
      <c r="AH39" s="376"/>
      <c r="AI39" s="376"/>
      <c r="AJ39" s="376"/>
      <c r="AK39" s="385"/>
      <c r="AL39" s="439"/>
      <c r="AM39" s="362"/>
      <c r="AN39" s="363"/>
      <c r="AO39" s="376"/>
      <c r="AP39" s="376"/>
      <c r="AQ39" s="368"/>
      <c r="AR39" s="572"/>
      <c r="AS39" s="572"/>
      <c r="AT39" s="381"/>
      <c r="AU39" s="376"/>
      <c r="AV39" s="376"/>
      <c r="AW39" s="376"/>
      <c r="AX39" s="376"/>
      <c r="AY39" s="376"/>
      <c r="AZ39" s="376"/>
      <c r="BA39" s="376"/>
      <c r="BB39" s="376"/>
      <c r="BC39" s="376"/>
      <c r="BD39" s="385"/>
      <c r="BE39" s="439"/>
      <c r="BF39" s="362"/>
      <c r="BG39" s="363"/>
      <c r="BH39" s="376" t="e">
        <f t="shared" ref="BH39" si="57">AT39/AQ39*1000</f>
        <v>#DIV/0!</v>
      </c>
      <c r="BI39" s="376" t="e">
        <f t="shared" ref="BI39" si="58">AT39/AR39</f>
        <v>#DIV/0!</v>
      </c>
    </row>
    <row r="40" spans="1:61" s="359" customFormat="1" x14ac:dyDescent="0.3">
      <c r="A40" s="360"/>
      <c r="B40" s="342"/>
      <c r="C40" s="343"/>
      <c r="D40" s="361"/>
      <c r="E40" s="368"/>
      <c r="F40" s="341"/>
      <c r="G40" s="362"/>
      <c r="H40" s="381"/>
      <c r="I40" s="376"/>
      <c r="J40" s="376"/>
      <c r="K40" s="376"/>
      <c r="L40" s="376"/>
      <c r="M40" s="376"/>
      <c r="N40" s="376"/>
      <c r="O40" s="376"/>
      <c r="P40" s="376"/>
      <c r="Q40" s="376"/>
      <c r="R40" s="362"/>
      <c r="S40" s="362"/>
      <c r="T40" s="362"/>
      <c r="U40" s="363"/>
      <c r="V40" s="376" t="e">
        <f t="shared" si="52"/>
        <v>#DIV/0!</v>
      </c>
      <c r="W40" s="376" t="e">
        <f t="shared" si="53"/>
        <v>#DIV/0!</v>
      </c>
      <c r="X40" s="368"/>
      <c r="Y40" s="341"/>
      <c r="Z40" s="362"/>
      <c r="AA40" s="381"/>
      <c r="AB40" s="376"/>
      <c r="AC40" s="376"/>
      <c r="AD40" s="376"/>
      <c r="AE40" s="376"/>
      <c r="AF40" s="376"/>
      <c r="AG40" s="376"/>
      <c r="AH40" s="376"/>
      <c r="AI40" s="376"/>
      <c r="AJ40" s="376"/>
      <c r="AK40" s="362"/>
      <c r="AL40" s="362"/>
      <c r="AM40" s="362"/>
      <c r="AN40" s="363"/>
      <c r="AO40" s="376" t="e">
        <f t="shared" si="16"/>
        <v>#DIV/0!</v>
      </c>
      <c r="AP40" s="376" t="e">
        <f t="shared" si="17"/>
        <v>#DIV/0!</v>
      </c>
      <c r="AQ40" s="368"/>
      <c r="AR40" s="341"/>
      <c r="AS40" s="362"/>
      <c r="AT40" s="381"/>
      <c r="AU40" s="376"/>
      <c r="AV40" s="376"/>
      <c r="AW40" s="376"/>
      <c r="AX40" s="376"/>
      <c r="AY40" s="376"/>
      <c r="AZ40" s="376"/>
      <c r="BA40" s="376"/>
      <c r="BB40" s="376"/>
      <c r="BC40" s="376"/>
      <c r="BD40" s="362"/>
      <c r="BE40" s="362"/>
      <c r="BF40" s="362"/>
      <c r="BG40" s="363"/>
      <c r="BH40" s="376" t="e">
        <f t="shared" si="19"/>
        <v>#DIV/0!</v>
      </c>
      <c r="BI40" s="376" t="e">
        <f t="shared" si="20"/>
        <v>#DIV/0!</v>
      </c>
    </row>
    <row r="41" spans="1:61" s="359" customFormat="1" ht="24.75" customHeight="1" x14ac:dyDescent="0.3">
      <c r="A41" s="355" t="s">
        <v>187</v>
      </c>
      <c r="B41" s="356" t="s">
        <v>220</v>
      </c>
      <c r="C41" s="356"/>
      <c r="D41" s="357">
        <v>6</v>
      </c>
      <c r="E41" s="500">
        <f t="shared" ref="E41:Q41" si="59">SUM(E42:E43)</f>
        <v>0</v>
      </c>
      <c r="F41" s="347">
        <f t="shared" si="59"/>
        <v>0</v>
      </c>
      <c r="G41" s="347">
        <f t="shared" si="59"/>
        <v>0</v>
      </c>
      <c r="H41" s="375">
        <f t="shared" si="59"/>
        <v>0</v>
      </c>
      <c r="I41" s="375">
        <f t="shared" si="59"/>
        <v>0</v>
      </c>
      <c r="J41" s="375">
        <f t="shared" si="59"/>
        <v>0</v>
      </c>
      <c r="K41" s="375">
        <f t="shared" si="59"/>
        <v>0</v>
      </c>
      <c r="L41" s="375">
        <f t="shared" si="59"/>
        <v>0</v>
      </c>
      <c r="M41" s="375">
        <f t="shared" si="59"/>
        <v>0</v>
      </c>
      <c r="N41" s="375">
        <f t="shared" si="59"/>
        <v>0</v>
      </c>
      <c r="O41" s="375">
        <f t="shared" si="59"/>
        <v>0</v>
      </c>
      <c r="P41" s="375">
        <f t="shared" si="59"/>
        <v>0</v>
      </c>
      <c r="Q41" s="375">
        <f t="shared" si="59"/>
        <v>0</v>
      </c>
      <c r="R41" s="358"/>
      <c r="S41" s="358"/>
      <c r="T41" s="358"/>
      <c r="U41" s="526"/>
      <c r="V41" s="384" t="e">
        <f t="shared" si="52"/>
        <v>#DIV/0!</v>
      </c>
      <c r="W41" s="384" t="e">
        <f t="shared" si="53"/>
        <v>#DIV/0!</v>
      </c>
      <c r="X41" s="500">
        <f t="shared" ref="X41:AJ41" si="60">SUM(X42:X43)</f>
        <v>0</v>
      </c>
      <c r="Y41" s="347">
        <f t="shared" si="60"/>
        <v>0</v>
      </c>
      <c r="Z41" s="347">
        <f t="shared" si="60"/>
        <v>0</v>
      </c>
      <c r="AA41" s="375">
        <f t="shared" si="60"/>
        <v>0</v>
      </c>
      <c r="AB41" s="375">
        <f t="shared" si="60"/>
        <v>0</v>
      </c>
      <c r="AC41" s="375">
        <f t="shared" si="60"/>
        <v>0</v>
      </c>
      <c r="AD41" s="375">
        <f t="shared" si="60"/>
        <v>0</v>
      </c>
      <c r="AE41" s="375">
        <f t="shared" si="60"/>
        <v>0</v>
      </c>
      <c r="AF41" s="375">
        <f t="shared" si="60"/>
        <v>0</v>
      </c>
      <c r="AG41" s="375">
        <f t="shared" si="60"/>
        <v>0</v>
      </c>
      <c r="AH41" s="375">
        <f t="shared" si="60"/>
        <v>0</v>
      </c>
      <c r="AI41" s="375">
        <f t="shared" si="60"/>
        <v>0</v>
      </c>
      <c r="AJ41" s="375">
        <f t="shared" si="60"/>
        <v>0</v>
      </c>
      <c r="AK41" s="358"/>
      <c r="AL41" s="358"/>
      <c r="AM41" s="358"/>
      <c r="AN41" s="526"/>
      <c r="AO41" s="384" t="e">
        <f t="shared" si="16"/>
        <v>#DIV/0!</v>
      </c>
      <c r="AP41" s="384" t="e">
        <f t="shared" si="17"/>
        <v>#DIV/0!</v>
      </c>
      <c r="AQ41" s="500">
        <f t="shared" ref="AQ41:BC41" si="61">SUM(AQ42:AQ43)</f>
        <v>0</v>
      </c>
      <c r="AR41" s="347">
        <f t="shared" si="61"/>
        <v>0</v>
      </c>
      <c r="AS41" s="347">
        <f t="shared" si="61"/>
        <v>0</v>
      </c>
      <c r="AT41" s="375">
        <f t="shared" si="61"/>
        <v>0</v>
      </c>
      <c r="AU41" s="375">
        <f t="shared" si="61"/>
        <v>0</v>
      </c>
      <c r="AV41" s="375">
        <f t="shared" si="61"/>
        <v>0</v>
      </c>
      <c r="AW41" s="375">
        <f t="shared" si="61"/>
        <v>0</v>
      </c>
      <c r="AX41" s="375">
        <f t="shared" si="61"/>
        <v>0</v>
      </c>
      <c r="AY41" s="375">
        <f t="shared" si="61"/>
        <v>0</v>
      </c>
      <c r="AZ41" s="375">
        <f t="shared" si="61"/>
        <v>0</v>
      </c>
      <c r="BA41" s="375">
        <f t="shared" si="61"/>
        <v>0</v>
      </c>
      <c r="BB41" s="375">
        <f t="shared" si="61"/>
        <v>0</v>
      </c>
      <c r="BC41" s="375">
        <f t="shared" si="61"/>
        <v>0</v>
      </c>
      <c r="BD41" s="358"/>
      <c r="BE41" s="358"/>
      <c r="BF41" s="358"/>
      <c r="BG41" s="526"/>
      <c r="BH41" s="384" t="e">
        <f t="shared" si="19"/>
        <v>#DIV/0!</v>
      </c>
      <c r="BI41" s="384" t="e">
        <f t="shared" si="20"/>
        <v>#DIV/0!</v>
      </c>
    </row>
    <row r="42" spans="1:61" s="359" customFormat="1" x14ac:dyDescent="0.3">
      <c r="A42" s="360" t="s">
        <v>188</v>
      </c>
      <c r="B42" s="342"/>
      <c r="C42" s="343"/>
      <c r="D42" s="361">
        <v>6</v>
      </c>
      <c r="E42" s="368"/>
      <c r="F42" s="341"/>
      <c r="G42" s="341"/>
      <c r="H42" s="381"/>
      <c r="I42" s="376"/>
      <c r="J42" s="376"/>
      <c r="K42" s="376"/>
      <c r="L42" s="376"/>
      <c r="M42" s="376"/>
      <c r="N42" s="376"/>
      <c r="O42" s="376"/>
      <c r="P42" s="376"/>
      <c r="Q42" s="376"/>
      <c r="R42" s="362"/>
      <c r="S42" s="362"/>
      <c r="T42" s="362"/>
      <c r="U42" s="363"/>
      <c r="V42" s="376" t="e">
        <f t="shared" si="52"/>
        <v>#DIV/0!</v>
      </c>
      <c r="W42" s="376" t="e">
        <f t="shared" si="53"/>
        <v>#DIV/0!</v>
      </c>
      <c r="X42" s="368"/>
      <c r="Y42" s="341"/>
      <c r="Z42" s="341"/>
      <c r="AA42" s="381"/>
      <c r="AB42" s="376"/>
      <c r="AC42" s="376"/>
      <c r="AD42" s="376"/>
      <c r="AE42" s="376"/>
      <c r="AF42" s="376"/>
      <c r="AG42" s="376"/>
      <c r="AH42" s="376"/>
      <c r="AI42" s="376"/>
      <c r="AJ42" s="376"/>
      <c r="AK42" s="362"/>
      <c r="AL42" s="362"/>
      <c r="AM42" s="362"/>
      <c r="AN42" s="363"/>
      <c r="AO42" s="376" t="e">
        <f t="shared" si="16"/>
        <v>#DIV/0!</v>
      </c>
      <c r="AP42" s="376" t="e">
        <f t="shared" si="17"/>
        <v>#DIV/0!</v>
      </c>
      <c r="AQ42" s="368"/>
      <c r="AR42" s="341"/>
      <c r="AS42" s="341"/>
      <c r="AT42" s="381"/>
      <c r="AU42" s="376"/>
      <c r="AV42" s="376"/>
      <c r="AW42" s="376"/>
      <c r="AX42" s="376"/>
      <c r="AY42" s="376"/>
      <c r="AZ42" s="376"/>
      <c r="BA42" s="376"/>
      <c r="BB42" s="376"/>
      <c r="BC42" s="376"/>
      <c r="BD42" s="362"/>
      <c r="BE42" s="362"/>
      <c r="BF42" s="362"/>
      <c r="BG42" s="363"/>
      <c r="BH42" s="376" t="e">
        <f t="shared" si="19"/>
        <v>#DIV/0!</v>
      </c>
      <c r="BI42" s="376" t="e">
        <f t="shared" si="20"/>
        <v>#DIV/0!</v>
      </c>
    </row>
    <row r="43" spans="1:61" s="359" customFormat="1" x14ac:dyDescent="0.3">
      <c r="A43" s="360"/>
      <c r="B43" s="342"/>
      <c r="C43" s="350"/>
      <c r="D43" s="361"/>
      <c r="E43" s="503"/>
      <c r="F43" s="362"/>
      <c r="G43" s="362"/>
      <c r="H43" s="381"/>
      <c r="I43" s="376"/>
      <c r="J43" s="376"/>
      <c r="K43" s="376"/>
      <c r="L43" s="376"/>
      <c r="M43" s="376"/>
      <c r="N43" s="376"/>
      <c r="O43" s="376"/>
      <c r="P43" s="376"/>
      <c r="Q43" s="376"/>
      <c r="R43" s="362"/>
      <c r="S43" s="362"/>
      <c r="T43" s="362"/>
      <c r="U43" s="363"/>
      <c r="V43" s="376" t="e">
        <f t="shared" si="52"/>
        <v>#DIV/0!</v>
      </c>
      <c r="W43" s="376" t="e">
        <f t="shared" si="53"/>
        <v>#DIV/0!</v>
      </c>
      <c r="X43" s="503"/>
      <c r="Y43" s="362"/>
      <c r="Z43" s="362"/>
      <c r="AA43" s="381"/>
      <c r="AB43" s="376"/>
      <c r="AC43" s="376"/>
      <c r="AD43" s="376"/>
      <c r="AE43" s="376"/>
      <c r="AF43" s="376"/>
      <c r="AG43" s="376"/>
      <c r="AH43" s="376"/>
      <c r="AI43" s="376"/>
      <c r="AJ43" s="376"/>
      <c r="AK43" s="362"/>
      <c r="AL43" s="362"/>
      <c r="AM43" s="362"/>
      <c r="AN43" s="363"/>
      <c r="AO43" s="376" t="e">
        <f t="shared" si="16"/>
        <v>#DIV/0!</v>
      </c>
      <c r="AP43" s="376" t="e">
        <f t="shared" si="17"/>
        <v>#DIV/0!</v>
      </c>
      <c r="AQ43" s="503"/>
      <c r="AR43" s="362"/>
      <c r="AS43" s="362"/>
      <c r="AT43" s="381"/>
      <c r="AU43" s="376"/>
      <c r="AV43" s="376"/>
      <c r="AW43" s="376"/>
      <c r="AX43" s="376"/>
      <c r="AY43" s="376"/>
      <c r="AZ43" s="376"/>
      <c r="BA43" s="376"/>
      <c r="BB43" s="376"/>
      <c r="BC43" s="376"/>
      <c r="BD43" s="362"/>
      <c r="BE43" s="362"/>
      <c r="BF43" s="362"/>
      <c r="BG43" s="363"/>
      <c r="BH43" s="376" t="e">
        <f t="shared" si="19"/>
        <v>#DIV/0!</v>
      </c>
      <c r="BI43" s="376" t="e">
        <f t="shared" si="20"/>
        <v>#DIV/0!</v>
      </c>
    </row>
    <row r="44" spans="1:61" s="359" customFormat="1" ht="91.2" customHeight="1" x14ac:dyDescent="0.3">
      <c r="A44" s="441" t="s">
        <v>197</v>
      </c>
      <c r="B44" s="463" t="s">
        <v>196</v>
      </c>
      <c r="C44" s="463"/>
      <c r="D44" s="444"/>
      <c r="E44" s="499">
        <f t="shared" ref="E44:Q44" si="62">E45+E48</f>
        <v>0</v>
      </c>
      <c r="F44" s="464">
        <f t="shared" si="62"/>
        <v>0</v>
      </c>
      <c r="G44" s="464">
        <f t="shared" si="62"/>
        <v>0</v>
      </c>
      <c r="H44" s="465">
        <f t="shared" si="62"/>
        <v>0</v>
      </c>
      <c r="I44" s="465">
        <f t="shared" si="62"/>
        <v>0</v>
      </c>
      <c r="J44" s="465">
        <f t="shared" si="62"/>
        <v>0</v>
      </c>
      <c r="K44" s="465">
        <f t="shared" si="62"/>
        <v>0</v>
      </c>
      <c r="L44" s="465">
        <f t="shared" si="62"/>
        <v>0</v>
      </c>
      <c r="M44" s="465">
        <f t="shared" si="62"/>
        <v>0</v>
      </c>
      <c r="N44" s="465">
        <f t="shared" si="62"/>
        <v>0</v>
      </c>
      <c r="O44" s="465">
        <f t="shared" si="62"/>
        <v>0</v>
      </c>
      <c r="P44" s="465">
        <f t="shared" si="62"/>
        <v>0</v>
      </c>
      <c r="Q44" s="465">
        <f t="shared" si="62"/>
        <v>0</v>
      </c>
      <c r="R44" s="466"/>
      <c r="S44" s="466"/>
      <c r="T44" s="466"/>
      <c r="U44" s="525"/>
      <c r="V44" s="467" t="e">
        <f t="shared" si="52"/>
        <v>#DIV/0!</v>
      </c>
      <c r="W44" s="467" t="e">
        <f t="shared" si="53"/>
        <v>#DIV/0!</v>
      </c>
      <c r="X44" s="499">
        <f t="shared" ref="X44:AJ44" si="63">X45+X48</f>
        <v>0</v>
      </c>
      <c r="Y44" s="464">
        <f t="shared" si="63"/>
        <v>0</v>
      </c>
      <c r="Z44" s="464">
        <f t="shared" si="63"/>
        <v>0</v>
      </c>
      <c r="AA44" s="465">
        <f t="shared" si="63"/>
        <v>0</v>
      </c>
      <c r="AB44" s="465">
        <f t="shared" si="63"/>
        <v>0</v>
      </c>
      <c r="AC44" s="465">
        <f t="shared" si="63"/>
        <v>0</v>
      </c>
      <c r="AD44" s="465">
        <f t="shared" si="63"/>
        <v>0</v>
      </c>
      <c r="AE44" s="465">
        <f t="shared" si="63"/>
        <v>0</v>
      </c>
      <c r="AF44" s="465">
        <f t="shared" si="63"/>
        <v>0</v>
      </c>
      <c r="AG44" s="465">
        <f t="shared" si="63"/>
        <v>0</v>
      </c>
      <c r="AH44" s="465">
        <f t="shared" si="63"/>
        <v>0</v>
      </c>
      <c r="AI44" s="465">
        <f t="shared" si="63"/>
        <v>0</v>
      </c>
      <c r="AJ44" s="465">
        <f t="shared" si="63"/>
        <v>0</v>
      </c>
      <c r="AK44" s="466"/>
      <c r="AL44" s="466"/>
      <c r="AM44" s="466"/>
      <c r="AN44" s="525"/>
      <c r="AO44" s="467" t="e">
        <f t="shared" si="16"/>
        <v>#DIV/0!</v>
      </c>
      <c r="AP44" s="467" t="e">
        <f t="shared" si="17"/>
        <v>#DIV/0!</v>
      </c>
      <c r="AQ44" s="499">
        <f t="shared" ref="AQ44:BC44" si="64">AQ45+AQ48</f>
        <v>0</v>
      </c>
      <c r="AR44" s="464">
        <f t="shared" si="64"/>
        <v>0</v>
      </c>
      <c r="AS44" s="464">
        <f t="shared" si="64"/>
        <v>0</v>
      </c>
      <c r="AT44" s="465">
        <f t="shared" si="64"/>
        <v>0</v>
      </c>
      <c r="AU44" s="465">
        <f t="shared" si="64"/>
        <v>0</v>
      </c>
      <c r="AV44" s="465">
        <f t="shared" si="64"/>
        <v>0</v>
      </c>
      <c r="AW44" s="465">
        <f t="shared" si="64"/>
        <v>0</v>
      </c>
      <c r="AX44" s="465">
        <f t="shared" si="64"/>
        <v>0</v>
      </c>
      <c r="AY44" s="465">
        <f t="shared" si="64"/>
        <v>0</v>
      </c>
      <c r="AZ44" s="465">
        <f t="shared" si="64"/>
        <v>0</v>
      </c>
      <c r="BA44" s="465">
        <f t="shared" si="64"/>
        <v>0</v>
      </c>
      <c r="BB44" s="465">
        <f t="shared" si="64"/>
        <v>0</v>
      </c>
      <c r="BC44" s="465">
        <f t="shared" si="64"/>
        <v>0</v>
      </c>
      <c r="BD44" s="466"/>
      <c r="BE44" s="466"/>
      <c r="BF44" s="466"/>
      <c r="BG44" s="525"/>
      <c r="BH44" s="467" t="e">
        <f t="shared" si="19"/>
        <v>#DIV/0!</v>
      </c>
      <c r="BI44" s="467" t="e">
        <f t="shared" si="20"/>
        <v>#DIV/0!</v>
      </c>
    </row>
    <row r="45" spans="1:61" s="359" customFormat="1" ht="24.75" customHeight="1" x14ac:dyDescent="0.3">
      <c r="A45" s="355" t="s">
        <v>179</v>
      </c>
      <c r="B45" s="356" t="s">
        <v>180</v>
      </c>
      <c r="C45" s="356"/>
      <c r="D45" s="357">
        <v>0.4</v>
      </c>
      <c r="E45" s="500">
        <f t="shared" ref="E45:Q45" si="65">SUM(E46:E47)</f>
        <v>0</v>
      </c>
      <c r="F45" s="347">
        <f t="shared" si="65"/>
        <v>0</v>
      </c>
      <c r="G45" s="347">
        <f t="shared" si="65"/>
        <v>0</v>
      </c>
      <c r="H45" s="375">
        <f t="shared" si="65"/>
        <v>0</v>
      </c>
      <c r="I45" s="375">
        <f t="shared" si="65"/>
        <v>0</v>
      </c>
      <c r="J45" s="375">
        <f t="shared" si="65"/>
        <v>0</v>
      </c>
      <c r="K45" s="375">
        <f t="shared" si="65"/>
        <v>0</v>
      </c>
      <c r="L45" s="375">
        <f t="shared" si="65"/>
        <v>0</v>
      </c>
      <c r="M45" s="375">
        <f t="shared" si="65"/>
        <v>0</v>
      </c>
      <c r="N45" s="375">
        <f t="shared" si="65"/>
        <v>0</v>
      </c>
      <c r="O45" s="375">
        <f t="shared" si="65"/>
        <v>0</v>
      </c>
      <c r="P45" s="375">
        <f t="shared" si="65"/>
        <v>0</v>
      </c>
      <c r="Q45" s="375">
        <f t="shared" si="65"/>
        <v>0</v>
      </c>
      <c r="R45" s="358"/>
      <c r="S45" s="358"/>
      <c r="T45" s="358"/>
      <c r="U45" s="526"/>
      <c r="V45" s="384" t="e">
        <f t="shared" si="52"/>
        <v>#DIV/0!</v>
      </c>
      <c r="W45" s="384" t="e">
        <f t="shared" si="53"/>
        <v>#DIV/0!</v>
      </c>
      <c r="X45" s="500">
        <f t="shared" ref="X45:AJ45" si="66">SUM(X46:X47)</f>
        <v>0</v>
      </c>
      <c r="Y45" s="347">
        <f t="shared" si="66"/>
        <v>0</v>
      </c>
      <c r="Z45" s="347">
        <f t="shared" si="66"/>
        <v>0</v>
      </c>
      <c r="AA45" s="375">
        <f t="shared" si="66"/>
        <v>0</v>
      </c>
      <c r="AB45" s="375">
        <f t="shared" si="66"/>
        <v>0</v>
      </c>
      <c r="AC45" s="375">
        <f t="shared" si="66"/>
        <v>0</v>
      </c>
      <c r="AD45" s="375">
        <f t="shared" si="66"/>
        <v>0</v>
      </c>
      <c r="AE45" s="375">
        <f t="shared" si="66"/>
        <v>0</v>
      </c>
      <c r="AF45" s="375">
        <f t="shared" si="66"/>
        <v>0</v>
      </c>
      <c r="AG45" s="375">
        <f t="shared" si="66"/>
        <v>0</v>
      </c>
      <c r="AH45" s="375">
        <f t="shared" si="66"/>
        <v>0</v>
      </c>
      <c r="AI45" s="375">
        <f t="shared" si="66"/>
        <v>0</v>
      </c>
      <c r="AJ45" s="375">
        <f t="shared" si="66"/>
        <v>0</v>
      </c>
      <c r="AK45" s="358"/>
      <c r="AL45" s="358"/>
      <c r="AM45" s="358"/>
      <c r="AN45" s="526"/>
      <c r="AO45" s="384" t="e">
        <f t="shared" si="16"/>
        <v>#DIV/0!</v>
      </c>
      <c r="AP45" s="384" t="e">
        <f t="shared" si="17"/>
        <v>#DIV/0!</v>
      </c>
      <c r="AQ45" s="500">
        <f t="shared" ref="AQ45:BC45" si="67">SUM(AQ46:AQ47)</f>
        <v>0</v>
      </c>
      <c r="AR45" s="347">
        <f t="shared" si="67"/>
        <v>0</v>
      </c>
      <c r="AS45" s="347">
        <f t="shared" si="67"/>
        <v>0</v>
      </c>
      <c r="AT45" s="375">
        <f t="shared" si="67"/>
        <v>0</v>
      </c>
      <c r="AU45" s="375">
        <f t="shared" si="67"/>
        <v>0</v>
      </c>
      <c r="AV45" s="375">
        <f t="shared" si="67"/>
        <v>0</v>
      </c>
      <c r="AW45" s="375">
        <f t="shared" si="67"/>
        <v>0</v>
      </c>
      <c r="AX45" s="375">
        <f t="shared" si="67"/>
        <v>0</v>
      </c>
      <c r="AY45" s="375">
        <f t="shared" si="67"/>
        <v>0</v>
      </c>
      <c r="AZ45" s="375">
        <f t="shared" si="67"/>
        <v>0</v>
      </c>
      <c r="BA45" s="375">
        <f t="shared" si="67"/>
        <v>0</v>
      </c>
      <c r="BB45" s="375">
        <f t="shared" si="67"/>
        <v>0</v>
      </c>
      <c r="BC45" s="375">
        <f t="shared" si="67"/>
        <v>0</v>
      </c>
      <c r="BD45" s="358"/>
      <c r="BE45" s="358"/>
      <c r="BF45" s="358"/>
      <c r="BG45" s="526"/>
      <c r="BH45" s="384" t="e">
        <f t="shared" si="19"/>
        <v>#DIV/0!</v>
      </c>
      <c r="BI45" s="384" t="e">
        <f t="shared" si="20"/>
        <v>#DIV/0!</v>
      </c>
    </row>
    <row r="46" spans="1:61" s="359" customFormat="1" x14ac:dyDescent="0.3">
      <c r="A46" s="360" t="s">
        <v>143</v>
      </c>
      <c r="B46" s="342"/>
      <c r="C46" s="351"/>
      <c r="D46" s="361">
        <v>0.4</v>
      </c>
      <c r="E46" s="345"/>
      <c r="F46" s="345"/>
      <c r="G46" s="362"/>
      <c r="H46" s="381"/>
      <c r="I46" s="376"/>
      <c r="J46" s="376"/>
      <c r="K46" s="376"/>
      <c r="L46" s="376"/>
      <c r="M46" s="376"/>
      <c r="N46" s="376"/>
      <c r="O46" s="376"/>
      <c r="P46" s="376"/>
      <c r="Q46" s="376"/>
      <c r="R46" s="362"/>
      <c r="S46" s="362"/>
      <c r="T46" s="362"/>
      <c r="U46" s="363"/>
      <c r="V46" s="376" t="e">
        <f t="shared" si="52"/>
        <v>#DIV/0!</v>
      </c>
      <c r="W46" s="376" t="e">
        <f t="shared" si="53"/>
        <v>#DIV/0!</v>
      </c>
      <c r="X46" s="345"/>
      <c r="Y46" s="345"/>
      <c r="Z46" s="362"/>
      <c r="AA46" s="381"/>
      <c r="AB46" s="376"/>
      <c r="AC46" s="376"/>
      <c r="AD46" s="376"/>
      <c r="AE46" s="376"/>
      <c r="AF46" s="376"/>
      <c r="AG46" s="376"/>
      <c r="AH46" s="376"/>
      <c r="AI46" s="376"/>
      <c r="AJ46" s="376"/>
      <c r="AK46" s="362"/>
      <c r="AL46" s="362"/>
      <c r="AM46" s="362"/>
      <c r="AN46" s="363"/>
      <c r="AO46" s="376" t="e">
        <f t="shared" si="16"/>
        <v>#DIV/0!</v>
      </c>
      <c r="AP46" s="376" t="e">
        <f t="shared" si="17"/>
        <v>#DIV/0!</v>
      </c>
      <c r="AQ46" s="345"/>
      <c r="AR46" s="345"/>
      <c r="AS46" s="362"/>
      <c r="AT46" s="381"/>
      <c r="AU46" s="376"/>
      <c r="AV46" s="376"/>
      <c r="AW46" s="376"/>
      <c r="AX46" s="376"/>
      <c r="AY46" s="376"/>
      <c r="AZ46" s="376"/>
      <c r="BA46" s="376"/>
      <c r="BB46" s="376"/>
      <c r="BC46" s="376"/>
      <c r="BD46" s="362"/>
      <c r="BE46" s="362"/>
      <c r="BF46" s="362"/>
      <c r="BG46" s="363"/>
      <c r="BH46" s="376" t="e">
        <f t="shared" si="19"/>
        <v>#DIV/0!</v>
      </c>
      <c r="BI46" s="376" t="e">
        <f t="shared" si="20"/>
        <v>#DIV/0!</v>
      </c>
    </row>
    <row r="47" spans="1:61" s="359" customFormat="1" x14ac:dyDescent="0.3">
      <c r="A47" s="360"/>
      <c r="B47" s="342"/>
      <c r="C47" s="343"/>
      <c r="D47" s="361"/>
      <c r="E47" s="368"/>
      <c r="F47" s="341"/>
      <c r="G47" s="362"/>
      <c r="H47" s="381"/>
      <c r="I47" s="376"/>
      <c r="J47" s="376"/>
      <c r="K47" s="376"/>
      <c r="L47" s="376"/>
      <c r="M47" s="376"/>
      <c r="N47" s="376"/>
      <c r="O47" s="376"/>
      <c r="P47" s="376"/>
      <c r="Q47" s="376"/>
      <c r="R47" s="362"/>
      <c r="S47" s="362"/>
      <c r="T47" s="362"/>
      <c r="U47" s="363"/>
      <c r="V47" s="376" t="e">
        <f t="shared" si="52"/>
        <v>#DIV/0!</v>
      </c>
      <c r="W47" s="376" t="e">
        <f t="shared" si="53"/>
        <v>#DIV/0!</v>
      </c>
      <c r="X47" s="368"/>
      <c r="Y47" s="341"/>
      <c r="Z47" s="362"/>
      <c r="AA47" s="381"/>
      <c r="AB47" s="376"/>
      <c r="AC47" s="376"/>
      <c r="AD47" s="376"/>
      <c r="AE47" s="376"/>
      <c r="AF47" s="376"/>
      <c r="AG47" s="376"/>
      <c r="AH47" s="376"/>
      <c r="AI47" s="376"/>
      <c r="AJ47" s="376"/>
      <c r="AK47" s="362"/>
      <c r="AL47" s="362"/>
      <c r="AM47" s="362"/>
      <c r="AN47" s="363"/>
      <c r="AO47" s="376" t="e">
        <f t="shared" si="16"/>
        <v>#DIV/0!</v>
      </c>
      <c r="AP47" s="376" t="e">
        <f t="shared" si="17"/>
        <v>#DIV/0!</v>
      </c>
      <c r="AQ47" s="368"/>
      <c r="AR47" s="341"/>
      <c r="AS47" s="362"/>
      <c r="AT47" s="381"/>
      <c r="AU47" s="376"/>
      <c r="AV47" s="376"/>
      <c r="AW47" s="376"/>
      <c r="AX47" s="376"/>
      <c r="AY47" s="376"/>
      <c r="AZ47" s="376"/>
      <c r="BA47" s="376"/>
      <c r="BB47" s="376"/>
      <c r="BC47" s="376"/>
      <c r="BD47" s="362"/>
      <c r="BE47" s="362"/>
      <c r="BF47" s="362"/>
      <c r="BG47" s="363"/>
      <c r="BH47" s="376" t="e">
        <f t="shared" si="19"/>
        <v>#DIV/0!</v>
      </c>
      <c r="BI47" s="376" t="e">
        <f t="shared" si="20"/>
        <v>#DIV/0!</v>
      </c>
    </row>
    <row r="48" spans="1:61" s="359" customFormat="1" ht="24.75" customHeight="1" x14ac:dyDescent="0.3">
      <c r="A48" s="355" t="s">
        <v>183</v>
      </c>
      <c r="B48" s="356" t="s">
        <v>198</v>
      </c>
      <c r="C48" s="356"/>
      <c r="D48" s="357">
        <v>0.4</v>
      </c>
      <c r="E48" s="500">
        <f>SUM(E50)</f>
        <v>0</v>
      </c>
      <c r="F48" s="347">
        <f t="shared" ref="F48:Q48" si="68">SUM(F50)</f>
        <v>0</v>
      </c>
      <c r="G48" s="347">
        <f t="shared" si="68"/>
        <v>0</v>
      </c>
      <c r="H48" s="375">
        <f t="shared" si="68"/>
        <v>0</v>
      </c>
      <c r="I48" s="375">
        <f t="shared" si="68"/>
        <v>0</v>
      </c>
      <c r="J48" s="375">
        <f t="shared" si="68"/>
        <v>0</v>
      </c>
      <c r="K48" s="375">
        <f t="shared" si="68"/>
        <v>0</v>
      </c>
      <c r="L48" s="375">
        <f t="shared" si="68"/>
        <v>0</v>
      </c>
      <c r="M48" s="375">
        <f t="shared" si="68"/>
        <v>0</v>
      </c>
      <c r="N48" s="375">
        <f t="shared" si="68"/>
        <v>0</v>
      </c>
      <c r="O48" s="375">
        <f t="shared" si="68"/>
        <v>0</v>
      </c>
      <c r="P48" s="375">
        <f t="shared" si="68"/>
        <v>0</v>
      </c>
      <c r="Q48" s="375">
        <f t="shared" si="68"/>
        <v>0</v>
      </c>
      <c r="R48" s="358"/>
      <c r="S48" s="358"/>
      <c r="T48" s="358"/>
      <c r="U48" s="526"/>
      <c r="V48" s="384" t="e">
        <f t="shared" si="52"/>
        <v>#DIV/0!</v>
      </c>
      <c r="W48" s="384" t="e">
        <f t="shared" si="53"/>
        <v>#DIV/0!</v>
      </c>
      <c r="X48" s="500">
        <f>SUM(X50)</f>
        <v>0</v>
      </c>
      <c r="Y48" s="347">
        <f t="shared" ref="Y48:AJ48" si="69">SUM(Y50)</f>
        <v>0</v>
      </c>
      <c r="Z48" s="347">
        <f t="shared" si="69"/>
        <v>0</v>
      </c>
      <c r="AA48" s="375">
        <f t="shared" si="69"/>
        <v>0</v>
      </c>
      <c r="AB48" s="375">
        <f t="shared" si="69"/>
        <v>0</v>
      </c>
      <c r="AC48" s="375">
        <f t="shared" si="69"/>
        <v>0</v>
      </c>
      <c r="AD48" s="375">
        <f t="shared" si="69"/>
        <v>0</v>
      </c>
      <c r="AE48" s="375">
        <f t="shared" si="69"/>
        <v>0</v>
      </c>
      <c r="AF48" s="375">
        <f t="shared" si="69"/>
        <v>0</v>
      </c>
      <c r="AG48" s="375">
        <f t="shared" si="69"/>
        <v>0</v>
      </c>
      <c r="AH48" s="375">
        <f t="shared" si="69"/>
        <v>0</v>
      </c>
      <c r="AI48" s="375">
        <f t="shared" si="69"/>
        <v>0</v>
      </c>
      <c r="AJ48" s="375">
        <f t="shared" si="69"/>
        <v>0</v>
      </c>
      <c r="AK48" s="358"/>
      <c r="AL48" s="358"/>
      <c r="AM48" s="358"/>
      <c r="AN48" s="526"/>
      <c r="AO48" s="384" t="e">
        <f t="shared" si="16"/>
        <v>#DIV/0!</v>
      </c>
      <c r="AP48" s="384" t="e">
        <f t="shared" si="17"/>
        <v>#DIV/0!</v>
      </c>
      <c r="AQ48" s="500">
        <f>SUM(AQ50)</f>
        <v>0</v>
      </c>
      <c r="AR48" s="347">
        <f t="shared" ref="AR48:BC48" si="70">SUM(AR50)</f>
        <v>0</v>
      </c>
      <c r="AS48" s="347">
        <f t="shared" si="70"/>
        <v>0</v>
      </c>
      <c r="AT48" s="375">
        <f t="shared" si="70"/>
        <v>0</v>
      </c>
      <c r="AU48" s="375">
        <f t="shared" si="70"/>
        <v>0</v>
      </c>
      <c r="AV48" s="375">
        <f t="shared" si="70"/>
        <v>0</v>
      </c>
      <c r="AW48" s="375">
        <f t="shared" si="70"/>
        <v>0</v>
      </c>
      <c r="AX48" s="375">
        <f t="shared" si="70"/>
        <v>0</v>
      </c>
      <c r="AY48" s="375">
        <f t="shared" si="70"/>
        <v>0</v>
      </c>
      <c r="AZ48" s="375">
        <f t="shared" si="70"/>
        <v>0</v>
      </c>
      <c r="BA48" s="375">
        <f t="shared" si="70"/>
        <v>0</v>
      </c>
      <c r="BB48" s="375">
        <f t="shared" si="70"/>
        <v>0</v>
      </c>
      <c r="BC48" s="375">
        <f t="shared" si="70"/>
        <v>0</v>
      </c>
      <c r="BD48" s="358"/>
      <c r="BE48" s="358"/>
      <c r="BF48" s="358"/>
      <c r="BG48" s="526"/>
      <c r="BH48" s="384" t="e">
        <f t="shared" si="19"/>
        <v>#DIV/0!</v>
      </c>
      <c r="BI48" s="384" t="e">
        <f t="shared" si="20"/>
        <v>#DIV/0!</v>
      </c>
    </row>
    <row r="49" spans="1:61" s="359" customFormat="1" x14ac:dyDescent="0.3">
      <c r="A49" s="360"/>
      <c r="B49" s="342"/>
      <c r="C49" s="343"/>
      <c r="D49" s="361">
        <v>0.4</v>
      </c>
      <c r="E49" s="368"/>
      <c r="F49" s="341"/>
      <c r="G49" s="362"/>
      <c r="H49" s="381"/>
      <c r="I49" s="376"/>
      <c r="J49" s="376"/>
      <c r="K49" s="376"/>
      <c r="L49" s="376"/>
      <c r="M49" s="376"/>
      <c r="N49" s="376"/>
      <c r="O49" s="376"/>
      <c r="P49" s="376"/>
      <c r="Q49" s="376"/>
      <c r="R49" s="362"/>
      <c r="S49" s="362"/>
      <c r="T49" s="362"/>
      <c r="U49" s="363"/>
      <c r="V49" s="376" t="e">
        <f t="shared" ref="V49" si="71">H49/E49*1000</f>
        <v>#DIV/0!</v>
      </c>
      <c r="W49" s="376" t="e">
        <f t="shared" ref="W49" si="72">H49/F49</f>
        <v>#DIV/0!</v>
      </c>
      <c r="X49" s="368"/>
      <c r="Y49" s="341"/>
      <c r="Z49" s="362"/>
      <c r="AA49" s="381"/>
      <c r="AB49" s="376"/>
      <c r="AC49" s="376"/>
      <c r="AD49" s="376"/>
      <c r="AE49" s="376"/>
      <c r="AF49" s="376"/>
      <c r="AG49" s="376"/>
      <c r="AH49" s="376"/>
      <c r="AI49" s="376"/>
      <c r="AJ49" s="376"/>
      <c r="AK49" s="362"/>
      <c r="AL49" s="362"/>
      <c r="AM49" s="362"/>
      <c r="AN49" s="363"/>
      <c r="AO49" s="376" t="e">
        <f t="shared" si="16"/>
        <v>#DIV/0!</v>
      </c>
      <c r="AP49" s="376" t="e">
        <f t="shared" si="17"/>
        <v>#DIV/0!</v>
      </c>
      <c r="AQ49" s="368"/>
      <c r="AR49" s="341"/>
      <c r="AS49" s="362"/>
      <c r="AT49" s="381"/>
      <c r="AU49" s="376"/>
      <c r="AV49" s="376"/>
      <c r="AW49" s="376"/>
      <c r="AX49" s="376"/>
      <c r="AY49" s="376"/>
      <c r="AZ49" s="376"/>
      <c r="BA49" s="376"/>
      <c r="BB49" s="376"/>
      <c r="BC49" s="376"/>
      <c r="BD49" s="362"/>
      <c r="BE49" s="362"/>
      <c r="BF49" s="362"/>
      <c r="BG49" s="363"/>
      <c r="BH49" s="376" t="e">
        <f t="shared" si="19"/>
        <v>#DIV/0!</v>
      </c>
      <c r="BI49" s="376" t="e">
        <f t="shared" si="20"/>
        <v>#DIV/0!</v>
      </c>
    </row>
    <row r="50" spans="1:61" s="359" customFormat="1" x14ac:dyDescent="0.3">
      <c r="A50" s="360"/>
      <c r="B50" s="342"/>
      <c r="C50" s="343"/>
      <c r="D50" s="361"/>
      <c r="E50" s="368"/>
      <c r="F50" s="341"/>
      <c r="G50" s="362"/>
      <c r="H50" s="381"/>
      <c r="I50" s="376"/>
      <c r="J50" s="376"/>
      <c r="K50" s="376"/>
      <c r="L50" s="376"/>
      <c r="M50" s="376"/>
      <c r="N50" s="376"/>
      <c r="O50" s="376"/>
      <c r="P50" s="376"/>
      <c r="Q50" s="376"/>
      <c r="R50" s="362"/>
      <c r="S50" s="362"/>
      <c r="T50" s="362"/>
      <c r="U50" s="363"/>
      <c r="V50" s="376" t="e">
        <f t="shared" ref="V50" si="73">H50/E50*1000</f>
        <v>#DIV/0!</v>
      </c>
      <c r="W50" s="376" t="e">
        <f t="shared" ref="W50" si="74">H50/F50</f>
        <v>#DIV/0!</v>
      </c>
      <c r="X50" s="368"/>
      <c r="Y50" s="341"/>
      <c r="Z50" s="362"/>
      <c r="AA50" s="381"/>
      <c r="AB50" s="376"/>
      <c r="AC50" s="376"/>
      <c r="AD50" s="376"/>
      <c r="AE50" s="376"/>
      <c r="AF50" s="376"/>
      <c r="AG50" s="376"/>
      <c r="AH50" s="376"/>
      <c r="AI50" s="376"/>
      <c r="AJ50" s="376"/>
      <c r="AK50" s="362"/>
      <c r="AL50" s="362"/>
      <c r="AM50" s="362"/>
      <c r="AN50" s="363"/>
      <c r="AO50" s="376" t="e">
        <f t="shared" si="16"/>
        <v>#DIV/0!</v>
      </c>
      <c r="AP50" s="376" t="e">
        <f t="shared" si="17"/>
        <v>#DIV/0!</v>
      </c>
      <c r="AQ50" s="368"/>
      <c r="AR50" s="341"/>
      <c r="AS50" s="362"/>
      <c r="AT50" s="381"/>
      <c r="AU50" s="376"/>
      <c r="AV50" s="376"/>
      <c r="AW50" s="376"/>
      <c r="AX50" s="376"/>
      <c r="AY50" s="376"/>
      <c r="AZ50" s="376"/>
      <c r="BA50" s="376"/>
      <c r="BB50" s="376"/>
      <c r="BC50" s="376"/>
      <c r="BD50" s="362"/>
      <c r="BE50" s="362"/>
      <c r="BF50" s="362"/>
      <c r="BG50" s="363"/>
      <c r="BH50" s="376" t="e">
        <f t="shared" si="19"/>
        <v>#DIV/0!</v>
      </c>
      <c r="BI50" s="376" t="e">
        <f t="shared" si="20"/>
        <v>#DIV/0!</v>
      </c>
    </row>
    <row r="51" spans="1:61" s="359" customFormat="1" ht="69" x14ac:dyDescent="0.3">
      <c r="A51" s="449" t="s">
        <v>199</v>
      </c>
      <c r="B51" s="458" t="s">
        <v>200</v>
      </c>
      <c r="C51" s="458"/>
      <c r="D51" s="452"/>
      <c r="E51" s="504">
        <f>E52</f>
        <v>0</v>
      </c>
      <c r="F51" s="459">
        <f t="shared" ref="F51" si="75">F52</f>
        <v>0</v>
      </c>
      <c r="G51" s="459">
        <f t="shared" ref="G51" si="76">G52</f>
        <v>0</v>
      </c>
      <c r="H51" s="460">
        <f>H52</f>
        <v>0</v>
      </c>
      <c r="I51" s="460">
        <f t="shared" ref="I51" si="77">I52</f>
        <v>0</v>
      </c>
      <c r="J51" s="460">
        <f t="shared" ref="J51" si="78">J52</f>
        <v>0</v>
      </c>
      <c r="K51" s="460">
        <f t="shared" ref="K51" si="79">K52</f>
        <v>0</v>
      </c>
      <c r="L51" s="460">
        <f t="shared" ref="L51" si="80">L52</f>
        <v>0</v>
      </c>
      <c r="M51" s="460">
        <f t="shared" ref="M51" si="81">M52</f>
        <v>0</v>
      </c>
      <c r="N51" s="460">
        <f t="shared" ref="N51" si="82">N52</f>
        <v>0</v>
      </c>
      <c r="O51" s="460">
        <f t="shared" ref="O51" si="83">O52</f>
        <v>0</v>
      </c>
      <c r="P51" s="460">
        <f t="shared" ref="P51" si="84">P52</f>
        <v>0</v>
      </c>
      <c r="Q51" s="460">
        <f t="shared" ref="Q51" si="85">Q52</f>
        <v>0</v>
      </c>
      <c r="R51" s="461"/>
      <c r="S51" s="461"/>
      <c r="T51" s="461"/>
      <c r="U51" s="527"/>
      <c r="V51" s="462" t="e">
        <f t="shared" si="52"/>
        <v>#DIV/0!</v>
      </c>
      <c r="W51" s="462" t="e">
        <f t="shared" si="53"/>
        <v>#DIV/0!</v>
      </c>
      <c r="X51" s="504">
        <f>X52</f>
        <v>0</v>
      </c>
      <c r="Y51" s="459">
        <f t="shared" ref="Y51:Z51" si="86">Y52</f>
        <v>0</v>
      </c>
      <c r="Z51" s="459">
        <f t="shared" si="86"/>
        <v>0</v>
      </c>
      <c r="AA51" s="460">
        <f>AA52</f>
        <v>0</v>
      </c>
      <c r="AB51" s="460">
        <f t="shared" ref="AB51:AJ51" si="87">AB52</f>
        <v>0</v>
      </c>
      <c r="AC51" s="460">
        <f t="shared" si="87"/>
        <v>0</v>
      </c>
      <c r="AD51" s="460">
        <f t="shared" si="87"/>
        <v>0</v>
      </c>
      <c r="AE51" s="460">
        <f t="shared" si="87"/>
        <v>0</v>
      </c>
      <c r="AF51" s="460">
        <f t="shared" si="87"/>
        <v>0</v>
      </c>
      <c r="AG51" s="460">
        <f t="shared" si="87"/>
        <v>0</v>
      </c>
      <c r="AH51" s="460">
        <f t="shared" si="87"/>
        <v>0</v>
      </c>
      <c r="AI51" s="460">
        <f t="shared" si="87"/>
        <v>0</v>
      </c>
      <c r="AJ51" s="460">
        <f t="shared" si="87"/>
        <v>0</v>
      </c>
      <c r="AK51" s="461"/>
      <c r="AL51" s="461"/>
      <c r="AM51" s="461"/>
      <c r="AN51" s="527"/>
      <c r="AO51" s="462" t="e">
        <f t="shared" si="16"/>
        <v>#DIV/0!</v>
      </c>
      <c r="AP51" s="462" t="e">
        <f t="shared" si="17"/>
        <v>#DIV/0!</v>
      </c>
      <c r="AQ51" s="504">
        <f>AQ52</f>
        <v>0</v>
      </c>
      <c r="AR51" s="459">
        <f t="shared" ref="AR51:AS51" si="88">AR52</f>
        <v>0</v>
      </c>
      <c r="AS51" s="459">
        <f t="shared" si="88"/>
        <v>0</v>
      </c>
      <c r="AT51" s="460">
        <f>AT52</f>
        <v>0</v>
      </c>
      <c r="AU51" s="460">
        <f t="shared" ref="AU51:BC51" si="89">AU52</f>
        <v>0</v>
      </c>
      <c r="AV51" s="460">
        <f t="shared" si="89"/>
        <v>0</v>
      </c>
      <c r="AW51" s="460">
        <f t="shared" si="89"/>
        <v>0</v>
      </c>
      <c r="AX51" s="460">
        <f t="shared" si="89"/>
        <v>0</v>
      </c>
      <c r="AY51" s="460">
        <f t="shared" si="89"/>
        <v>0</v>
      </c>
      <c r="AZ51" s="460">
        <f t="shared" si="89"/>
        <v>0</v>
      </c>
      <c r="BA51" s="460">
        <f t="shared" si="89"/>
        <v>0</v>
      </c>
      <c r="BB51" s="460">
        <f t="shared" si="89"/>
        <v>0</v>
      </c>
      <c r="BC51" s="460">
        <f t="shared" si="89"/>
        <v>0</v>
      </c>
      <c r="BD51" s="461"/>
      <c r="BE51" s="461"/>
      <c r="BF51" s="461"/>
      <c r="BG51" s="527"/>
      <c r="BH51" s="462" t="e">
        <f t="shared" si="19"/>
        <v>#DIV/0!</v>
      </c>
      <c r="BI51" s="462" t="e">
        <f t="shared" si="20"/>
        <v>#DIV/0!</v>
      </c>
    </row>
    <row r="52" spans="1:61" s="359" customFormat="1" ht="24.75" customHeight="1" x14ac:dyDescent="0.3">
      <c r="A52" s="355" t="s">
        <v>179</v>
      </c>
      <c r="B52" s="356" t="s">
        <v>221</v>
      </c>
      <c r="C52" s="356"/>
      <c r="D52" s="357">
        <v>0.4</v>
      </c>
      <c r="E52" s="500">
        <f>SUM(E54)</f>
        <v>0</v>
      </c>
      <c r="F52" s="347">
        <f t="shared" ref="F52:Q52" si="90">SUM(F54)</f>
        <v>0</v>
      </c>
      <c r="G52" s="347">
        <f t="shared" si="90"/>
        <v>0</v>
      </c>
      <c r="H52" s="375">
        <f t="shared" si="90"/>
        <v>0</v>
      </c>
      <c r="I52" s="375">
        <f t="shared" si="90"/>
        <v>0</v>
      </c>
      <c r="J52" s="375">
        <f t="shared" si="90"/>
        <v>0</v>
      </c>
      <c r="K52" s="375">
        <f t="shared" si="90"/>
        <v>0</v>
      </c>
      <c r="L52" s="375">
        <f t="shared" si="90"/>
        <v>0</v>
      </c>
      <c r="M52" s="375">
        <f t="shared" si="90"/>
        <v>0</v>
      </c>
      <c r="N52" s="375">
        <f t="shared" si="90"/>
        <v>0</v>
      </c>
      <c r="O52" s="375">
        <f t="shared" si="90"/>
        <v>0</v>
      </c>
      <c r="P52" s="375">
        <f t="shared" si="90"/>
        <v>0</v>
      </c>
      <c r="Q52" s="375">
        <f t="shared" si="90"/>
        <v>0</v>
      </c>
      <c r="R52" s="358"/>
      <c r="S52" s="358"/>
      <c r="T52" s="358"/>
      <c r="U52" s="526"/>
      <c r="V52" s="384" t="e">
        <f t="shared" si="52"/>
        <v>#DIV/0!</v>
      </c>
      <c r="W52" s="384" t="e">
        <f t="shared" si="53"/>
        <v>#DIV/0!</v>
      </c>
      <c r="X52" s="500">
        <f>SUM(X54)</f>
        <v>0</v>
      </c>
      <c r="Y52" s="347">
        <f t="shared" ref="Y52:AJ52" si="91">SUM(Y54)</f>
        <v>0</v>
      </c>
      <c r="Z52" s="347">
        <f t="shared" si="91"/>
        <v>0</v>
      </c>
      <c r="AA52" s="375">
        <f t="shared" si="91"/>
        <v>0</v>
      </c>
      <c r="AB52" s="375">
        <f t="shared" si="91"/>
        <v>0</v>
      </c>
      <c r="AC52" s="375">
        <f t="shared" si="91"/>
        <v>0</v>
      </c>
      <c r="AD52" s="375">
        <f t="shared" si="91"/>
        <v>0</v>
      </c>
      <c r="AE52" s="375">
        <f t="shared" si="91"/>
        <v>0</v>
      </c>
      <c r="AF52" s="375">
        <f t="shared" si="91"/>
        <v>0</v>
      </c>
      <c r="AG52" s="375">
        <f t="shared" si="91"/>
        <v>0</v>
      </c>
      <c r="AH52" s="375">
        <f t="shared" si="91"/>
        <v>0</v>
      </c>
      <c r="AI52" s="375">
        <f t="shared" si="91"/>
        <v>0</v>
      </c>
      <c r="AJ52" s="375">
        <f t="shared" si="91"/>
        <v>0</v>
      </c>
      <c r="AK52" s="358"/>
      <c r="AL52" s="358"/>
      <c r="AM52" s="358"/>
      <c r="AN52" s="526"/>
      <c r="AO52" s="384" t="e">
        <f t="shared" si="16"/>
        <v>#DIV/0!</v>
      </c>
      <c r="AP52" s="384" t="e">
        <f t="shared" si="17"/>
        <v>#DIV/0!</v>
      </c>
      <c r="AQ52" s="500">
        <f>SUM(AQ54)</f>
        <v>0</v>
      </c>
      <c r="AR52" s="347">
        <f t="shared" ref="AR52:BC52" si="92">SUM(AR54)</f>
        <v>0</v>
      </c>
      <c r="AS52" s="347">
        <f t="shared" si="92"/>
        <v>0</v>
      </c>
      <c r="AT52" s="375">
        <f t="shared" si="92"/>
        <v>0</v>
      </c>
      <c r="AU52" s="375">
        <f t="shared" si="92"/>
        <v>0</v>
      </c>
      <c r="AV52" s="375">
        <f t="shared" si="92"/>
        <v>0</v>
      </c>
      <c r="AW52" s="375">
        <f t="shared" si="92"/>
        <v>0</v>
      </c>
      <c r="AX52" s="375">
        <f t="shared" si="92"/>
        <v>0</v>
      </c>
      <c r="AY52" s="375">
        <f t="shared" si="92"/>
        <v>0</v>
      </c>
      <c r="AZ52" s="375">
        <f t="shared" si="92"/>
        <v>0</v>
      </c>
      <c r="BA52" s="375">
        <f t="shared" si="92"/>
        <v>0</v>
      </c>
      <c r="BB52" s="375">
        <f t="shared" si="92"/>
        <v>0</v>
      </c>
      <c r="BC52" s="375">
        <f t="shared" si="92"/>
        <v>0</v>
      </c>
      <c r="BD52" s="358"/>
      <c r="BE52" s="358"/>
      <c r="BF52" s="358"/>
      <c r="BG52" s="526"/>
      <c r="BH52" s="384" t="e">
        <f t="shared" si="19"/>
        <v>#DIV/0!</v>
      </c>
      <c r="BI52" s="384" t="e">
        <f t="shared" si="20"/>
        <v>#DIV/0!</v>
      </c>
    </row>
    <row r="53" spans="1:61" s="359" customFormat="1" x14ac:dyDescent="0.3">
      <c r="A53" s="360" t="s">
        <v>143</v>
      </c>
      <c r="B53" s="342"/>
      <c r="C53" s="343"/>
      <c r="D53" s="361">
        <v>0.4</v>
      </c>
      <c r="E53" s="368"/>
      <c r="F53" s="341"/>
      <c r="G53" s="341"/>
      <c r="H53" s="381"/>
      <c r="I53" s="376"/>
      <c r="J53" s="376"/>
      <c r="K53" s="376"/>
      <c r="L53" s="376"/>
      <c r="M53" s="376"/>
      <c r="N53" s="376"/>
      <c r="O53" s="376"/>
      <c r="P53" s="376"/>
      <c r="Q53" s="376"/>
      <c r="R53" s="362"/>
      <c r="S53" s="362"/>
      <c r="T53" s="362"/>
      <c r="U53" s="363"/>
      <c r="V53" s="376" t="e">
        <f t="shared" ref="V53" si="93">H53/E53*1000</f>
        <v>#DIV/0!</v>
      </c>
      <c r="W53" s="376" t="e">
        <f t="shared" ref="W53" si="94">H53/F53</f>
        <v>#DIV/0!</v>
      </c>
      <c r="X53" s="368"/>
      <c r="Y53" s="341"/>
      <c r="Z53" s="341"/>
      <c r="AA53" s="381"/>
      <c r="AB53" s="376"/>
      <c r="AC53" s="376"/>
      <c r="AD53" s="376"/>
      <c r="AE53" s="376"/>
      <c r="AF53" s="376"/>
      <c r="AG53" s="376"/>
      <c r="AH53" s="376"/>
      <c r="AI53" s="376"/>
      <c r="AJ53" s="376"/>
      <c r="AK53" s="362"/>
      <c r="AL53" s="362"/>
      <c r="AM53" s="362"/>
      <c r="AN53" s="363"/>
      <c r="AO53" s="376" t="e">
        <f t="shared" si="16"/>
        <v>#DIV/0!</v>
      </c>
      <c r="AP53" s="376" t="e">
        <f t="shared" si="17"/>
        <v>#DIV/0!</v>
      </c>
      <c r="AQ53" s="368"/>
      <c r="AR53" s="341"/>
      <c r="AS53" s="341"/>
      <c r="AT53" s="381"/>
      <c r="AU53" s="376"/>
      <c r="AV53" s="376"/>
      <c r="AW53" s="376"/>
      <c r="AX53" s="376"/>
      <c r="AY53" s="376"/>
      <c r="AZ53" s="376"/>
      <c r="BA53" s="376"/>
      <c r="BB53" s="376"/>
      <c r="BC53" s="376"/>
      <c r="BD53" s="362"/>
      <c r="BE53" s="362"/>
      <c r="BF53" s="362"/>
      <c r="BG53" s="363"/>
      <c r="BH53" s="376" t="e">
        <f t="shared" si="19"/>
        <v>#DIV/0!</v>
      </c>
      <c r="BI53" s="376" t="e">
        <f t="shared" si="20"/>
        <v>#DIV/0!</v>
      </c>
    </row>
    <row r="54" spans="1:61" s="359" customFormat="1" x14ac:dyDescent="0.3">
      <c r="A54" s="360"/>
      <c r="B54" s="342"/>
      <c r="C54" s="343"/>
      <c r="D54" s="361"/>
      <c r="E54" s="368"/>
      <c r="F54" s="341"/>
      <c r="G54" s="341"/>
      <c r="H54" s="381"/>
      <c r="I54" s="376"/>
      <c r="J54" s="376"/>
      <c r="K54" s="376"/>
      <c r="L54" s="376"/>
      <c r="M54" s="376"/>
      <c r="N54" s="376"/>
      <c r="O54" s="376"/>
      <c r="P54" s="376"/>
      <c r="Q54" s="376"/>
      <c r="R54" s="362"/>
      <c r="S54" s="362"/>
      <c r="T54" s="362"/>
      <c r="U54" s="363"/>
      <c r="V54" s="376" t="e">
        <f t="shared" si="52"/>
        <v>#DIV/0!</v>
      </c>
      <c r="W54" s="376" t="e">
        <f t="shared" si="53"/>
        <v>#DIV/0!</v>
      </c>
      <c r="X54" s="368"/>
      <c r="Y54" s="341"/>
      <c r="Z54" s="341"/>
      <c r="AA54" s="381"/>
      <c r="AB54" s="376"/>
      <c r="AC54" s="376"/>
      <c r="AD54" s="376"/>
      <c r="AE54" s="376"/>
      <c r="AF54" s="376"/>
      <c r="AG54" s="376"/>
      <c r="AH54" s="376"/>
      <c r="AI54" s="376"/>
      <c r="AJ54" s="376"/>
      <c r="AK54" s="362"/>
      <c r="AL54" s="362"/>
      <c r="AM54" s="362"/>
      <c r="AN54" s="363"/>
      <c r="AO54" s="376" t="e">
        <f t="shared" si="16"/>
        <v>#DIV/0!</v>
      </c>
      <c r="AP54" s="376" t="e">
        <f t="shared" si="17"/>
        <v>#DIV/0!</v>
      </c>
      <c r="AQ54" s="368"/>
      <c r="AR54" s="341"/>
      <c r="AS54" s="341"/>
      <c r="AT54" s="381"/>
      <c r="AU54" s="376"/>
      <c r="AV54" s="376"/>
      <c r="AW54" s="376"/>
      <c r="AX54" s="376"/>
      <c r="AY54" s="376"/>
      <c r="AZ54" s="376"/>
      <c r="BA54" s="376"/>
      <c r="BB54" s="376"/>
      <c r="BC54" s="376"/>
      <c r="BD54" s="362"/>
      <c r="BE54" s="362"/>
      <c r="BF54" s="362"/>
      <c r="BG54" s="363"/>
      <c r="BH54" s="376" t="e">
        <f t="shared" si="19"/>
        <v>#DIV/0!</v>
      </c>
      <c r="BI54" s="376" t="e">
        <f t="shared" si="20"/>
        <v>#DIV/0!</v>
      </c>
    </row>
    <row r="55" spans="1:61" s="359" customFormat="1" ht="69" x14ac:dyDescent="0.3">
      <c r="A55" s="449" t="s">
        <v>202</v>
      </c>
      <c r="B55" s="458" t="s">
        <v>208</v>
      </c>
      <c r="C55" s="458"/>
      <c r="D55" s="452"/>
      <c r="E55" s="504">
        <f t="shared" ref="E55:Q55" si="95">E56+E59+E62+E66+E69</f>
        <v>0</v>
      </c>
      <c r="F55" s="459">
        <f t="shared" si="95"/>
        <v>0</v>
      </c>
      <c r="G55" s="459">
        <f t="shared" si="95"/>
        <v>0</v>
      </c>
      <c r="H55" s="460">
        <f t="shared" si="95"/>
        <v>0</v>
      </c>
      <c r="I55" s="460">
        <f t="shared" si="95"/>
        <v>0</v>
      </c>
      <c r="J55" s="460">
        <f t="shared" si="95"/>
        <v>0</v>
      </c>
      <c r="K55" s="460">
        <f t="shared" si="95"/>
        <v>0</v>
      </c>
      <c r="L55" s="460">
        <f t="shared" si="95"/>
        <v>0</v>
      </c>
      <c r="M55" s="460">
        <f t="shared" si="95"/>
        <v>0</v>
      </c>
      <c r="N55" s="460">
        <f t="shared" si="95"/>
        <v>0</v>
      </c>
      <c r="O55" s="460">
        <f t="shared" si="95"/>
        <v>0</v>
      </c>
      <c r="P55" s="460">
        <f t="shared" si="95"/>
        <v>0</v>
      </c>
      <c r="Q55" s="460">
        <f t="shared" si="95"/>
        <v>0</v>
      </c>
      <c r="R55" s="461"/>
      <c r="S55" s="461"/>
      <c r="T55" s="461"/>
      <c r="U55" s="527"/>
      <c r="V55" s="462" t="e">
        <f t="shared" si="52"/>
        <v>#DIV/0!</v>
      </c>
      <c r="W55" s="462" t="e">
        <f t="shared" si="53"/>
        <v>#DIV/0!</v>
      </c>
      <c r="X55" s="504">
        <f t="shared" ref="X55:AJ55" si="96">X56+X59+X62+X66+X69</f>
        <v>20</v>
      </c>
      <c r="Y55" s="459">
        <f t="shared" si="96"/>
        <v>55</v>
      </c>
      <c r="Z55" s="459">
        <f t="shared" si="96"/>
        <v>55</v>
      </c>
      <c r="AA55" s="460">
        <f t="shared" si="96"/>
        <v>120.29192999999999</v>
      </c>
      <c r="AB55" s="460">
        <f t="shared" si="96"/>
        <v>122.03756</v>
      </c>
      <c r="AC55" s="460">
        <f t="shared" si="96"/>
        <v>37.283239999999999</v>
      </c>
      <c r="AD55" s="460">
        <f t="shared" si="96"/>
        <v>7.0035600000000002</v>
      </c>
      <c r="AE55" s="460">
        <f t="shared" si="96"/>
        <v>12.589600000000001</v>
      </c>
      <c r="AF55" s="460">
        <f t="shared" si="96"/>
        <v>0</v>
      </c>
      <c r="AG55" s="460">
        <f t="shared" si="96"/>
        <v>0</v>
      </c>
      <c r="AH55" s="460">
        <f t="shared" si="96"/>
        <v>10.0524</v>
      </c>
      <c r="AI55" s="460">
        <f t="shared" si="96"/>
        <v>601.02</v>
      </c>
      <c r="AJ55" s="460">
        <f t="shared" si="96"/>
        <v>1.7508900000000001</v>
      </c>
      <c r="AK55" s="461"/>
      <c r="AL55" s="461"/>
      <c r="AM55" s="461"/>
      <c r="AN55" s="527"/>
      <c r="AO55" s="462">
        <f t="shared" si="16"/>
        <v>6014.5964999999997</v>
      </c>
      <c r="AP55" s="462">
        <f t="shared" si="17"/>
        <v>2.1871259999999997</v>
      </c>
      <c r="AQ55" s="504">
        <f t="shared" ref="AQ55:BC55" si="97">AQ56+AQ59+AQ62+AQ66+AQ69</f>
        <v>0</v>
      </c>
      <c r="AR55" s="459">
        <f t="shared" si="97"/>
        <v>0</v>
      </c>
      <c r="AS55" s="459">
        <f t="shared" si="97"/>
        <v>0</v>
      </c>
      <c r="AT55" s="460">
        <f t="shared" si="97"/>
        <v>0</v>
      </c>
      <c r="AU55" s="460">
        <f t="shared" si="97"/>
        <v>0</v>
      </c>
      <c r="AV55" s="460">
        <f t="shared" si="97"/>
        <v>0</v>
      </c>
      <c r="AW55" s="460">
        <f t="shared" si="97"/>
        <v>0</v>
      </c>
      <c r="AX55" s="460">
        <f t="shared" si="97"/>
        <v>0</v>
      </c>
      <c r="AY55" s="460">
        <f t="shared" si="97"/>
        <v>0</v>
      </c>
      <c r="AZ55" s="460">
        <f t="shared" si="97"/>
        <v>0</v>
      </c>
      <c r="BA55" s="460">
        <f t="shared" si="97"/>
        <v>0</v>
      </c>
      <c r="BB55" s="460">
        <f t="shared" si="97"/>
        <v>0</v>
      </c>
      <c r="BC55" s="460">
        <f t="shared" si="97"/>
        <v>0</v>
      </c>
      <c r="BD55" s="461"/>
      <c r="BE55" s="461"/>
      <c r="BF55" s="461"/>
      <c r="BG55" s="527"/>
      <c r="BH55" s="462" t="e">
        <f t="shared" si="19"/>
        <v>#DIV/0!</v>
      </c>
      <c r="BI55" s="462" t="e">
        <f t="shared" si="20"/>
        <v>#DIV/0!</v>
      </c>
    </row>
    <row r="56" spans="1:61" s="359" customFormat="1" ht="24.75" customHeight="1" x14ac:dyDescent="0.3">
      <c r="A56" s="355" t="s">
        <v>179</v>
      </c>
      <c r="B56" s="356" t="s">
        <v>222</v>
      </c>
      <c r="C56" s="356"/>
      <c r="D56" s="357">
        <v>0.4</v>
      </c>
      <c r="E56" s="500">
        <f t="shared" ref="E56:Q56" si="98">SUM(E57:E58)</f>
        <v>0</v>
      </c>
      <c r="F56" s="347">
        <f t="shared" si="98"/>
        <v>0</v>
      </c>
      <c r="G56" s="347">
        <f t="shared" si="98"/>
        <v>0</v>
      </c>
      <c r="H56" s="375">
        <f t="shared" si="98"/>
        <v>0</v>
      </c>
      <c r="I56" s="375">
        <f t="shared" si="98"/>
        <v>0</v>
      </c>
      <c r="J56" s="375">
        <f t="shared" si="98"/>
        <v>0</v>
      </c>
      <c r="K56" s="375">
        <f t="shared" si="98"/>
        <v>0</v>
      </c>
      <c r="L56" s="375">
        <f t="shared" si="98"/>
        <v>0</v>
      </c>
      <c r="M56" s="375">
        <f t="shared" si="98"/>
        <v>0</v>
      </c>
      <c r="N56" s="375">
        <f t="shared" si="98"/>
        <v>0</v>
      </c>
      <c r="O56" s="375">
        <f t="shared" si="98"/>
        <v>0</v>
      </c>
      <c r="P56" s="375">
        <f t="shared" si="98"/>
        <v>0</v>
      </c>
      <c r="Q56" s="375">
        <f t="shared" si="98"/>
        <v>0</v>
      </c>
      <c r="R56" s="358"/>
      <c r="S56" s="358"/>
      <c r="T56" s="358"/>
      <c r="U56" s="526"/>
      <c r="V56" s="384" t="e">
        <f t="shared" si="52"/>
        <v>#DIV/0!</v>
      </c>
      <c r="W56" s="384" t="e">
        <f t="shared" si="53"/>
        <v>#DIV/0!</v>
      </c>
      <c r="X56" s="500">
        <f t="shared" ref="X56:AJ56" si="99">SUM(X57:X58)</f>
        <v>0</v>
      </c>
      <c r="Y56" s="347">
        <f t="shared" si="99"/>
        <v>0</v>
      </c>
      <c r="Z56" s="347">
        <f t="shared" si="99"/>
        <v>0</v>
      </c>
      <c r="AA56" s="375">
        <f t="shared" si="99"/>
        <v>0</v>
      </c>
      <c r="AB56" s="375">
        <f t="shared" si="99"/>
        <v>0</v>
      </c>
      <c r="AC56" s="375">
        <f t="shared" si="99"/>
        <v>0</v>
      </c>
      <c r="AD56" s="375">
        <f t="shared" si="99"/>
        <v>0</v>
      </c>
      <c r="AE56" s="375">
        <f t="shared" si="99"/>
        <v>0</v>
      </c>
      <c r="AF56" s="375">
        <f t="shared" si="99"/>
        <v>0</v>
      </c>
      <c r="AG56" s="375">
        <f t="shared" si="99"/>
        <v>0</v>
      </c>
      <c r="AH56" s="375">
        <f t="shared" si="99"/>
        <v>0</v>
      </c>
      <c r="AI56" s="375">
        <f t="shared" si="99"/>
        <v>0</v>
      </c>
      <c r="AJ56" s="375">
        <f t="shared" si="99"/>
        <v>0</v>
      </c>
      <c r="AK56" s="358"/>
      <c r="AL56" s="358"/>
      <c r="AM56" s="358"/>
      <c r="AN56" s="526"/>
      <c r="AO56" s="384" t="e">
        <f t="shared" si="16"/>
        <v>#DIV/0!</v>
      </c>
      <c r="AP56" s="384" t="e">
        <f t="shared" si="17"/>
        <v>#DIV/0!</v>
      </c>
      <c r="AQ56" s="500">
        <f t="shared" ref="AQ56:BC56" si="100">SUM(AQ57:AQ58)</f>
        <v>0</v>
      </c>
      <c r="AR56" s="347">
        <f t="shared" si="100"/>
        <v>0</v>
      </c>
      <c r="AS56" s="347">
        <f t="shared" si="100"/>
        <v>0</v>
      </c>
      <c r="AT56" s="375">
        <f t="shared" si="100"/>
        <v>0</v>
      </c>
      <c r="AU56" s="375">
        <f t="shared" si="100"/>
        <v>0</v>
      </c>
      <c r="AV56" s="375">
        <f t="shared" si="100"/>
        <v>0</v>
      </c>
      <c r="AW56" s="375">
        <f t="shared" si="100"/>
        <v>0</v>
      </c>
      <c r="AX56" s="375">
        <f t="shared" si="100"/>
        <v>0</v>
      </c>
      <c r="AY56" s="375">
        <f t="shared" si="100"/>
        <v>0</v>
      </c>
      <c r="AZ56" s="375">
        <f t="shared" si="100"/>
        <v>0</v>
      </c>
      <c r="BA56" s="375">
        <f t="shared" si="100"/>
        <v>0</v>
      </c>
      <c r="BB56" s="375">
        <f t="shared" si="100"/>
        <v>0</v>
      </c>
      <c r="BC56" s="375">
        <f t="shared" si="100"/>
        <v>0</v>
      </c>
      <c r="BD56" s="358"/>
      <c r="BE56" s="358"/>
      <c r="BF56" s="358"/>
      <c r="BG56" s="526"/>
      <c r="BH56" s="384" t="e">
        <f t="shared" si="19"/>
        <v>#DIV/0!</v>
      </c>
      <c r="BI56" s="384" t="e">
        <f t="shared" si="20"/>
        <v>#DIV/0!</v>
      </c>
    </row>
    <row r="57" spans="1:61" s="359" customFormat="1" ht="21.75" customHeight="1" x14ac:dyDescent="0.3">
      <c r="A57" s="360" t="s">
        <v>143</v>
      </c>
      <c r="B57" s="342"/>
      <c r="C57" s="380"/>
      <c r="D57" s="361">
        <v>0.4</v>
      </c>
      <c r="E57" s="505"/>
      <c r="F57" s="344"/>
      <c r="G57" s="344"/>
      <c r="H57" s="376"/>
      <c r="I57" s="376"/>
      <c r="J57" s="376"/>
      <c r="K57" s="376"/>
      <c r="L57" s="376"/>
      <c r="M57" s="376"/>
      <c r="N57" s="376"/>
      <c r="O57" s="376"/>
      <c r="P57" s="376"/>
      <c r="Q57" s="376"/>
      <c r="R57" s="362"/>
      <c r="S57" s="362"/>
      <c r="T57" s="362"/>
      <c r="U57" s="363"/>
      <c r="V57" s="376" t="e">
        <f t="shared" si="52"/>
        <v>#DIV/0!</v>
      </c>
      <c r="W57" s="376" t="e">
        <f t="shared" si="53"/>
        <v>#DIV/0!</v>
      </c>
      <c r="X57" s="505"/>
      <c r="Y57" s="344"/>
      <c r="Z57" s="344"/>
      <c r="AA57" s="376"/>
      <c r="AB57" s="376"/>
      <c r="AC57" s="376"/>
      <c r="AD57" s="376"/>
      <c r="AE57" s="376"/>
      <c r="AF57" s="376"/>
      <c r="AG57" s="376"/>
      <c r="AH57" s="376"/>
      <c r="AI57" s="376"/>
      <c r="AJ57" s="376"/>
      <c r="AK57" s="362"/>
      <c r="AL57" s="362"/>
      <c r="AM57" s="362"/>
      <c r="AN57" s="363"/>
      <c r="AO57" s="376" t="e">
        <f t="shared" si="16"/>
        <v>#DIV/0!</v>
      </c>
      <c r="AP57" s="376" t="e">
        <f t="shared" si="17"/>
        <v>#DIV/0!</v>
      </c>
      <c r="AQ57" s="505"/>
      <c r="AR57" s="344"/>
      <c r="AS57" s="344"/>
      <c r="AT57" s="376"/>
      <c r="AU57" s="376"/>
      <c r="AV57" s="376"/>
      <c r="AW57" s="376"/>
      <c r="AX57" s="376"/>
      <c r="AY57" s="376"/>
      <c r="AZ57" s="376"/>
      <c r="BA57" s="376"/>
      <c r="BB57" s="376"/>
      <c r="BC57" s="376"/>
      <c r="BD57" s="362"/>
      <c r="BE57" s="362"/>
      <c r="BF57" s="362"/>
      <c r="BG57" s="363"/>
      <c r="BH57" s="376" t="e">
        <f t="shared" si="19"/>
        <v>#DIV/0!</v>
      </c>
      <c r="BI57" s="376" t="e">
        <f t="shared" si="20"/>
        <v>#DIV/0!</v>
      </c>
    </row>
    <row r="58" spans="1:61" s="359" customFormat="1" x14ac:dyDescent="0.3">
      <c r="A58" s="360"/>
      <c r="B58" s="342"/>
      <c r="C58" s="343"/>
      <c r="D58" s="361"/>
      <c r="E58" s="368"/>
      <c r="F58" s="346"/>
      <c r="G58" s="362"/>
      <c r="H58" s="378"/>
      <c r="I58" s="376"/>
      <c r="J58" s="376"/>
      <c r="K58" s="376"/>
      <c r="L58" s="376"/>
      <c r="M58" s="376"/>
      <c r="N58" s="376"/>
      <c r="O58" s="376"/>
      <c r="P58" s="376"/>
      <c r="Q58" s="376"/>
      <c r="R58" s="362"/>
      <c r="S58" s="362"/>
      <c r="T58" s="362"/>
      <c r="U58" s="363"/>
      <c r="V58" s="376" t="e">
        <f t="shared" si="52"/>
        <v>#DIV/0!</v>
      </c>
      <c r="W58" s="376" t="e">
        <f t="shared" si="53"/>
        <v>#DIV/0!</v>
      </c>
      <c r="X58" s="368"/>
      <c r="Y58" s="346"/>
      <c r="Z58" s="362"/>
      <c r="AA58" s="378"/>
      <c r="AB58" s="376"/>
      <c r="AC58" s="376"/>
      <c r="AD58" s="376"/>
      <c r="AE58" s="376"/>
      <c r="AF58" s="376"/>
      <c r="AG58" s="376"/>
      <c r="AH58" s="376"/>
      <c r="AI58" s="376"/>
      <c r="AJ58" s="376"/>
      <c r="AK58" s="362"/>
      <c r="AL58" s="362"/>
      <c r="AM58" s="362"/>
      <c r="AN58" s="363"/>
      <c r="AO58" s="376" t="e">
        <f t="shared" si="16"/>
        <v>#DIV/0!</v>
      </c>
      <c r="AP58" s="376" t="e">
        <f t="shared" si="17"/>
        <v>#DIV/0!</v>
      </c>
      <c r="AQ58" s="368"/>
      <c r="AR58" s="346"/>
      <c r="AS58" s="362"/>
      <c r="AT58" s="378"/>
      <c r="AU58" s="376"/>
      <c r="AV58" s="376"/>
      <c r="AW58" s="376"/>
      <c r="AX58" s="376"/>
      <c r="AY58" s="376"/>
      <c r="AZ58" s="376"/>
      <c r="BA58" s="376"/>
      <c r="BB58" s="376"/>
      <c r="BC58" s="376"/>
      <c r="BD58" s="362"/>
      <c r="BE58" s="362"/>
      <c r="BF58" s="362"/>
      <c r="BG58" s="363"/>
      <c r="BH58" s="376" t="e">
        <f t="shared" si="19"/>
        <v>#DIV/0!</v>
      </c>
      <c r="BI58" s="376" t="e">
        <f t="shared" si="20"/>
        <v>#DIV/0!</v>
      </c>
    </row>
    <row r="59" spans="1:61" s="359" customFormat="1" ht="24.75" customHeight="1" x14ac:dyDescent="0.3">
      <c r="A59" s="355" t="s">
        <v>183</v>
      </c>
      <c r="B59" s="356" t="s">
        <v>203</v>
      </c>
      <c r="C59" s="356"/>
      <c r="D59" s="357">
        <v>0.4</v>
      </c>
      <c r="E59" s="500">
        <f t="shared" ref="E59:Q59" si="101">SUM(E60:E61)</f>
        <v>0</v>
      </c>
      <c r="F59" s="347">
        <f t="shared" si="101"/>
        <v>0</v>
      </c>
      <c r="G59" s="347">
        <f t="shared" si="101"/>
        <v>0</v>
      </c>
      <c r="H59" s="375">
        <f t="shared" si="101"/>
        <v>0</v>
      </c>
      <c r="I59" s="375">
        <f t="shared" si="101"/>
        <v>0</v>
      </c>
      <c r="J59" s="375">
        <f t="shared" si="101"/>
        <v>0</v>
      </c>
      <c r="K59" s="375">
        <f t="shared" si="101"/>
        <v>0</v>
      </c>
      <c r="L59" s="375">
        <f t="shared" si="101"/>
        <v>0</v>
      </c>
      <c r="M59" s="375">
        <f t="shared" si="101"/>
        <v>0</v>
      </c>
      <c r="N59" s="375">
        <f t="shared" si="101"/>
        <v>0</v>
      </c>
      <c r="O59" s="375">
        <f t="shared" si="101"/>
        <v>0</v>
      </c>
      <c r="P59" s="375">
        <f t="shared" si="101"/>
        <v>0</v>
      </c>
      <c r="Q59" s="375">
        <f t="shared" si="101"/>
        <v>0</v>
      </c>
      <c r="R59" s="358"/>
      <c r="S59" s="358"/>
      <c r="T59" s="358"/>
      <c r="U59" s="526"/>
      <c r="V59" s="384" t="e">
        <f t="shared" si="52"/>
        <v>#DIV/0!</v>
      </c>
      <c r="W59" s="384" t="e">
        <f t="shared" si="53"/>
        <v>#DIV/0!</v>
      </c>
      <c r="X59" s="500">
        <f t="shared" ref="X59:AJ59" si="102">SUM(X60:X61)</f>
        <v>0</v>
      </c>
      <c r="Y59" s="347">
        <f t="shared" si="102"/>
        <v>0</v>
      </c>
      <c r="Z59" s="347">
        <f t="shared" si="102"/>
        <v>0</v>
      </c>
      <c r="AA59" s="375">
        <f t="shared" si="102"/>
        <v>0</v>
      </c>
      <c r="AB59" s="375">
        <f t="shared" si="102"/>
        <v>0</v>
      </c>
      <c r="AC59" s="375">
        <f t="shared" si="102"/>
        <v>0</v>
      </c>
      <c r="AD59" s="375">
        <f t="shared" si="102"/>
        <v>0</v>
      </c>
      <c r="AE59" s="375">
        <f t="shared" si="102"/>
        <v>0</v>
      </c>
      <c r="AF59" s="375">
        <f t="shared" si="102"/>
        <v>0</v>
      </c>
      <c r="AG59" s="375">
        <f t="shared" si="102"/>
        <v>0</v>
      </c>
      <c r="AH59" s="375">
        <f t="shared" si="102"/>
        <v>0</v>
      </c>
      <c r="AI59" s="375">
        <f t="shared" si="102"/>
        <v>0</v>
      </c>
      <c r="AJ59" s="375">
        <f t="shared" si="102"/>
        <v>0</v>
      </c>
      <c r="AK59" s="358"/>
      <c r="AL59" s="358"/>
      <c r="AM59" s="358"/>
      <c r="AN59" s="526"/>
      <c r="AO59" s="384" t="e">
        <f t="shared" si="16"/>
        <v>#DIV/0!</v>
      </c>
      <c r="AP59" s="384" t="e">
        <f t="shared" si="17"/>
        <v>#DIV/0!</v>
      </c>
      <c r="AQ59" s="500">
        <f t="shared" ref="AQ59:BC59" si="103">SUM(AQ60:AQ61)</f>
        <v>0</v>
      </c>
      <c r="AR59" s="347">
        <f t="shared" si="103"/>
        <v>0</v>
      </c>
      <c r="AS59" s="347">
        <f t="shared" si="103"/>
        <v>0</v>
      </c>
      <c r="AT59" s="375">
        <f t="shared" si="103"/>
        <v>0</v>
      </c>
      <c r="AU59" s="375">
        <f t="shared" si="103"/>
        <v>0</v>
      </c>
      <c r="AV59" s="375">
        <f t="shared" si="103"/>
        <v>0</v>
      </c>
      <c r="AW59" s="375">
        <f t="shared" si="103"/>
        <v>0</v>
      </c>
      <c r="AX59" s="375">
        <f t="shared" si="103"/>
        <v>0</v>
      </c>
      <c r="AY59" s="375">
        <f t="shared" si="103"/>
        <v>0</v>
      </c>
      <c r="AZ59" s="375">
        <f t="shared" si="103"/>
        <v>0</v>
      </c>
      <c r="BA59" s="375">
        <f t="shared" si="103"/>
        <v>0</v>
      </c>
      <c r="BB59" s="375">
        <f t="shared" si="103"/>
        <v>0</v>
      </c>
      <c r="BC59" s="375">
        <f t="shared" si="103"/>
        <v>0</v>
      </c>
      <c r="BD59" s="358"/>
      <c r="BE59" s="358"/>
      <c r="BF59" s="358"/>
      <c r="BG59" s="526"/>
      <c r="BH59" s="384" t="e">
        <f t="shared" si="19"/>
        <v>#DIV/0!</v>
      </c>
      <c r="BI59" s="384" t="e">
        <f t="shared" si="20"/>
        <v>#DIV/0!</v>
      </c>
    </row>
    <row r="60" spans="1:61" s="359" customFormat="1" ht="14.4" customHeight="1" x14ac:dyDescent="0.3">
      <c r="A60" s="360" t="s">
        <v>184</v>
      </c>
      <c r="B60" s="342"/>
      <c r="C60" s="380"/>
      <c r="D60" s="361">
        <v>0.4</v>
      </c>
      <c r="E60" s="505"/>
      <c r="F60" s="344"/>
      <c r="G60" s="344"/>
      <c r="H60" s="376"/>
      <c r="I60" s="376"/>
      <c r="J60" s="376"/>
      <c r="K60" s="376"/>
      <c r="L60" s="376"/>
      <c r="M60" s="376"/>
      <c r="N60" s="376"/>
      <c r="O60" s="376"/>
      <c r="P60" s="376"/>
      <c r="Q60" s="376"/>
      <c r="R60" s="362"/>
      <c r="S60" s="362"/>
      <c r="T60" s="362"/>
      <c r="U60" s="363"/>
      <c r="V60" s="376" t="e">
        <f t="shared" si="52"/>
        <v>#DIV/0!</v>
      </c>
      <c r="W60" s="376" t="e">
        <f t="shared" si="53"/>
        <v>#DIV/0!</v>
      </c>
      <c r="X60" s="505"/>
      <c r="Y60" s="344"/>
      <c r="Z60" s="344"/>
      <c r="AA60" s="376"/>
      <c r="AB60" s="376"/>
      <c r="AC60" s="376"/>
      <c r="AD60" s="376"/>
      <c r="AE60" s="376"/>
      <c r="AF60" s="376"/>
      <c r="AG60" s="376"/>
      <c r="AH60" s="376"/>
      <c r="AI60" s="376"/>
      <c r="AJ60" s="376"/>
      <c r="AK60" s="362"/>
      <c r="AL60" s="362"/>
      <c r="AM60" s="362"/>
      <c r="AN60" s="363"/>
      <c r="AO60" s="376" t="e">
        <f t="shared" si="16"/>
        <v>#DIV/0!</v>
      </c>
      <c r="AP60" s="376" t="e">
        <f t="shared" si="17"/>
        <v>#DIV/0!</v>
      </c>
      <c r="AQ60" s="505"/>
      <c r="AR60" s="344"/>
      <c r="AS60" s="344"/>
      <c r="AT60" s="376"/>
      <c r="AU60" s="376"/>
      <c r="AV60" s="376"/>
      <c r="AW60" s="376"/>
      <c r="AX60" s="376"/>
      <c r="AY60" s="376"/>
      <c r="AZ60" s="376"/>
      <c r="BA60" s="376"/>
      <c r="BB60" s="376"/>
      <c r="BC60" s="376"/>
      <c r="BD60" s="362"/>
      <c r="BE60" s="362"/>
      <c r="BF60" s="362"/>
      <c r="BG60" s="363"/>
      <c r="BH60" s="376" t="e">
        <f t="shared" si="19"/>
        <v>#DIV/0!</v>
      </c>
      <c r="BI60" s="376" t="e">
        <f t="shared" si="20"/>
        <v>#DIV/0!</v>
      </c>
    </row>
    <row r="61" spans="1:61" s="359" customFormat="1" x14ac:dyDescent="0.3">
      <c r="A61" s="360"/>
      <c r="B61" s="342"/>
      <c r="C61" s="348"/>
      <c r="D61" s="361"/>
      <c r="E61" s="368"/>
      <c r="F61" s="346"/>
      <c r="G61" s="362"/>
      <c r="H61" s="376"/>
      <c r="I61" s="376"/>
      <c r="J61" s="376"/>
      <c r="K61" s="376"/>
      <c r="L61" s="376"/>
      <c r="M61" s="376"/>
      <c r="N61" s="376"/>
      <c r="O61" s="376"/>
      <c r="P61" s="376"/>
      <c r="Q61" s="376"/>
      <c r="R61" s="362"/>
      <c r="S61" s="362"/>
      <c r="T61" s="362"/>
      <c r="U61" s="363"/>
      <c r="V61" s="376" t="e">
        <f t="shared" si="52"/>
        <v>#DIV/0!</v>
      </c>
      <c r="W61" s="376" t="e">
        <f t="shared" si="53"/>
        <v>#DIV/0!</v>
      </c>
      <c r="X61" s="368"/>
      <c r="Y61" s="346"/>
      <c r="Z61" s="362"/>
      <c r="AA61" s="376"/>
      <c r="AB61" s="376"/>
      <c r="AC61" s="376"/>
      <c r="AD61" s="376"/>
      <c r="AE61" s="376"/>
      <c r="AF61" s="376"/>
      <c r="AG61" s="376"/>
      <c r="AH61" s="376"/>
      <c r="AI61" s="376"/>
      <c r="AJ61" s="376"/>
      <c r="AK61" s="362"/>
      <c r="AL61" s="362"/>
      <c r="AM61" s="362"/>
      <c r="AN61" s="363"/>
      <c r="AO61" s="376" t="e">
        <f t="shared" si="16"/>
        <v>#DIV/0!</v>
      </c>
      <c r="AP61" s="376" t="e">
        <f t="shared" si="17"/>
        <v>#DIV/0!</v>
      </c>
      <c r="AQ61" s="368"/>
      <c r="AR61" s="346"/>
      <c r="AS61" s="362"/>
      <c r="AT61" s="376"/>
      <c r="AU61" s="376"/>
      <c r="AV61" s="376"/>
      <c r="AW61" s="376"/>
      <c r="AX61" s="376"/>
      <c r="AY61" s="376"/>
      <c r="AZ61" s="376"/>
      <c r="BA61" s="376"/>
      <c r="BB61" s="376"/>
      <c r="BC61" s="376"/>
      <c r="BD61" s="362"/>
      <c r="BE61" s="362"/>
      <c r="BF61" s="362"/>
      <c r="BG61" s="363"/>
      <c r="BH61" s="376" t="e">
        <f t="shared" si="19"/>
        <v>#DIV/0!</v>
      </c>
      <c r="BI61" s="376" t="e">
        <f t="shared" si="20"/>
        <v>#DIV/0!</v>
      </c>
    </row>
    <row r="62" spans="1:61" s="359" customFormat="1" ht="24.75" customHeight="1" x14ac:dyDescent="0.3">
      <c r="A62" s="355" t="s">
        <v>185</v>
      </c>
      <c r="B62" s="356" t="s">
        <v>223</v>
      </c>
      <c r="C62" s="356"/>
      <c r="D62" s="357">
        <v>6</v>
      </c>
      <c r="E62" s="500">
        <f t="shared" ref="E62:Q62" si="104">SUM(E63:E65)</f>
        <v>0</v>
      </c>
      <c r="F62" s="347">
        <f t="shared" si="104"/>
        <v>0</v>
      </c>
      <c r="G62" s="347">
        <f t="shared" si="104"/>
        <v>0</v>
      </c>
      <c r="H62" s="375">
        <f t="shared" si="104"/>
        <v>0</v>
      </c>
      <c r="I62" s="375">
        <f t="shared" si="104"/>
        <v>0</v>
      </c>
      <c r="J62" s="375">
        <f t="shared" si="104"/>
        <v>0</v>
      </c>
      <c r="K62" s="375">
        <f t="shared" si="104"/>
        <v>0</v>
      </c>
      <c r="L62" s="375">
        <f t="shared" si="104"/>
        <v>0</v>
      </c>
      <c r="M62" s="375">
        <f t="shared" si="104"/>
        <v>0</v>
      </c>
      <c r="N62" s="375">
        <f t="shared" si="104"/>
        <v>0</v>
      </c>
      <c r="O62" s="375">
        <f t="shared" si="104"/>
        <v>0</v>
      </c>
      <c r="P62" s="375">
        <f t="shared" si="104"/>
        <v>0</v>
      </c>
      <c r="Q62" s="375">
        <f t="shared" si="104"/>
        <v>0</v>
      </c>
      <c r="R62" s="358"/>
      <c r="S62" s="358"/>
      <c r="T62" s="358"/>
      <c r="U62" s="526"/>
      <c r="V62" s="384" t="e">
        <f t="shared" si="52"/>
        <v>#DIV/0!</v>
      </c>
      <c r="W62" s="384" t="e">
        <f t="shared" si="53"/>
        <v>#DIV/0!</v>
      </c>
      <c r="X62" s="500">
        <f t="shared" ref="X62:AJ62" si="105">SUM(X63:X65)</f>
        <v>20</v>
      </c>
      <c r="Y62" s="347">
        <f t="shared" si="105"/>
        <v>55</v>
      </c>
      <c r="Z62" s="347">
        <f t="shared" si="105"/>
        <v>55</v>
      </c>
      <c r="AA62" s="375">
        <f t="shared" si="105"/>
        <v>120.29192999999999</v>
      </c>
      <c r="AB62" s="375">
        <f t="shared" si="105"/>
        <v>122.03756</v>
      </c>
      <c r="AC62" s="375">
        <f t="shared" si="105"/>
        <v>37.283239999999999</v>
      </c>
      <c r="AD62" s="375">
        <f t="shared" si="105"/>
        <v>7.0035600000000002</v>
      </c>
      <c r="AE62" s="375">
        <f t="shared" si="105"/>
        <v>12.589600000000001</v>
      </c>
      <c r="AF62" s="375">
        <f t="shared" si="105"/>
        <v>0</v>
      </c>
      <c r="AG62" s="375">
        <f t="shared" si="105"/>
        <v>0</v>
      </c>
      <c r="AH62" s="375">
        <f t="shared" si="105"/>
        <v>10.0524</v>
      </c>
      <c r="AI62" s="375">
        <f t="shared" si="105"/>
        <v>601.02</v>
      </c>
      <c r="AJ62" s="375">
        <f t="shared" si="105"/>
        <v>1.7508900000000001</v>
      </c>
      <c r="AK62" s="358"/>
      <c r="AL62" s="358"/>
      <c r="AM62" s="358"/>
      <c r="AN62" s="526"/>
      <c r="AO62" s="384">
        <f t="shared" si="16"/>
        <v>6014.5964999999997</v>
      </c>
      <c r="AP62" s="384">
        <f t="shared" si="17"/>
        <v>2.1871259999999997</v>
      </c>
      <c r="AQ62" s="500">
        <f t="shared" ref="AQ62:BC62" si="106">SUM(AQ63:AQ65)</f>
        <v>0</v>
      </c>
      <c r="AR62" s="347">
        <f t="shared" si="106"/>
        <v>0</v>
      </c>
      <c r="AS62" s="347">
        <f t="shared" si="106"/>
        <v>0</v>
      </c>
      <c r="AT62" s="375">
        <f t="shared" si="106"/>
        <v>0</v>
      </c>
      <c r="AU62" s="375">
        <f t="shared" si="106"/>
        <v>0</v>
      </c>
      <c r="AV62" s="375">
        <f t="shared" si="106"/>
        <v>0</v>
      </c>
      <c r="AW62" s="375">
        <f t="shared" si="106"/>
        <v>0</v>
      </c>
      <c r="AX62" s="375">
        <f t="shared" si="106"/>
        <v>0</v>
      </c>
      <c r="AY62" s="375">
        <f t="shared" si="106"/>
        <v>0</v>
      </c>
      <c r="AZ62" s="375">
        <f t="shared" si="106"/>
        <v>0</v>
      </c>
      <c r="BA62" s="375">
        <f t="shared" si="106"/>
        <v>0</v>
      </c>
      <c r="BB62" s="375">
        <f t="shared" si="106"/>
        <v>0</v>
      </c>
      <c r="BC62" s="375">
        <f t="shared" si="106"/>
        <v>0</v>
      </c>
      <c r="BD62" s="358"/>
      <c r="BE62" s="358"/>
      <c r="BF62" s="358"/>
      <c r="BG62" s="526"/>
      <c r="BH62" s="384" t="e">
        <f t="shared" si="19"/>
        <v>#DIV/0!</v>
      </c>
      <c r="BI62" s="384" t="e">
        <f t="shared" si="20"/>
        <v>#DIV/0!</v>
      </c>
    </row>
    <row r="63" spans="1:61" s="359" customFormat="1" ht="19.2" x14ac:dyDescent="0.3">
      <c r="A63" s="360" t="s">
        <v>179</v>
      </c>
      <c r="B63" s="543" t="s">
        <v>589</v>
      </c>
      <c r="C63" s="530" t="s">
        <v>588</v>
      </c>
      <c r="D63" s="361">
        <v>6</v>
      </c>
      <c r="E63" s="368"/>
      <c r="F63" s="341"/>
      <c r="G63" s="341"/>
      <c r="H63" s="381"/>
      <c r="I63" s="376"/>
      <c r="J63" s="376"/>
      <c r="K63" s="376"/>
      <c r="L63" s="376"/>
      <c r="M63" s="376"/>
      <c r="N63" s="376"/>
      <c r="O63" s="376"/>
      <c r="P63" s="376"/>
      <c r="Q63" s="376"/>
      <c r="R63" s="362"/>
      <c r="S63" s="362"/>
      <c r="T63" s="362"/>
      <c r="U63" s="363"/>
      <c r="V63" s="376" t="e">
        <f t="shared" ref="V63" si="107">H63/E63*1000</f>
        <v>#DIV/0!</v>
      </c>
      <c r="W63" s="376" t="e">
        <f t="shared" ref="W63" si="108">H63/F63</f>
        <v>#DIV/0!</v>
      </c>
      <c r="X63" s="368">
        <v>20</v>
      </c>
      <c r="Y63" s="572">
        <v>55</v>
      </c>
      <c r="Z63" s="572">
        <v>55</v>
      </c>
      <c r="AA63" s="571">
        <v>120.29192999999999</v>
      </c>
      <c r="AB63" s="376">
        <v>122.03756</v>
      </c>
      <c r="AC63" s="376">
        <v>37.283239999999999</v>
      </c>
      <c r="AD63" s="376">
        <v>7.0035600000000002</v>
      </c>
      <c r="AE63" s="376">
        <v>12.589600000000001</v>
      </c>
      <c r="AF63" s="376">
        <v>0</v>
      </c>
      <c r="AG63" s="376">
        <v>0</v>
      </c>
      <c r="AH63" s="376">
        <v>10.0524</v>
      </c>
      <c r="AI63" s="376">
        <v>601.02</v>
      </c>
      <c r="AJ63" s="376">
        <v>1.7508900000000001</v>
      </c>
      <c r="AK63" s="385" t="s">
        <v>167</v>
      </c>
      <c r="AL63" s="439" t="s">
        <v>175</v>
      </c>
      <c r="AM63" s="362"/>
      <c r="AN63" s="363"/>
      <c r="AO63" s="376">
        <f t="shared" ref="AO63" si="109">AA63/X63*1000</f>
        <v>6014.5964999999997</v>
      </c>
      <c r="AP63" s="376">
        <f t="shared" ref="AP63" si="110">AA63/Y63</f>
        <v>2.1871259999999997</v>
      </c>
      <c r="AQ63" s="368"/>
      <c r="AR63" s="572"/>
      <c r="AS63" s="572"/>
      <c r="AT63" s="571"/>
      <c r="AU63" s="376"/>
      <c r="AV63" s="376"/>
      <c r="AW63" s="376"/>
      <c r="AX63" s="376"/>
      <c r="AY63" s="376"/>
      <c r="AZ63" s="376"/>
      <c r="BA63" s="376"/>
      <c r="BB63" s="376"/>
      <c r="BC63" s="376"/>
      <c r="BD63" s="385"/>
      <c r="BE63" s="439"/>
      <c r="BF63" s="362"/>
      <c r="BG63" s="363"/>
      <c r="BH63" s="376" t="e">
        <f t="shared" si="19"/>
        <v>#DIV/0!</v>
      </c>
      <c r="BI63" s="376" t="e">
        <f t="shared" si="20"/>
        <v>#DIV/0!</v>
      </c>
    </row>
    <row r="64" spans="1:61" s="359" customFormat="1" x14ac:dyDescent="0.3">
      <c r="A64" s="360"/>
      <c r="B64" s="382"/>
      <c r="C64" s="530"/>
      <c r="D64" s="361">
        <v>6</v>
      </c>
      <c r="E64" s="368"/>
      <c r="F64" s="341"/>
      <c r="G64" s="341"/>
      <c r="H64" s="381"/>
      <c r="I64" s="376"/>
      <c r="J64" s="376"/>
      <c r="K64" s="376"/>
      <c r="L64" s="376"/>
      <c r="M64" s="376"/>
      <c r="N64" s="376"/>
      <c r="O64" s="376"/>
      <c r="P64" s="376"/>
      <c r="Q64" s="376"/>
      <c r="R64" s="362"/>
      <c r="S64" s="362"/>
      <c r="T64" s="362"/>
      <c r="U64" s="363"/>
      <c r="V64" s="376"/>
      <c r="W64" s="376"/>
      <c r="X64" s="368"/>
      <c r="Y64" s="572"/>
      <c r="Z64" s="572"/>
      <c r="AA64" s="381"/>
      <c r="AB64" s="376"/>
      <c r="AC64" s="376"/>
      <c r="AD64" s="376"/>
      <c r="AE64" s="376"/>
      <c r="AF64" s="376"/>
      <c r="AG64" s="376"/>
      <c r="AH64" s="376"/>
      <c r="AI64" s="376"/>
      <c r="AJ64" s="376"/>
      <c r="AK64" s="385"/>
      <c r="AL64" s="439"/>
      <c r="AM64" s="362"/>
      <c r="AN64" s="363"/>
      <c r="AO64" s="376"/>
      <c r="AP64" s="376"/>
      <c r="AQ64" s="368"/>
      <c r="AR64" s="572"/>
      <c r="AS64" s="572"/>
      <c r="AT64" s="381"/>
      <c r="AU64" s="376"/>
      <c r="AV64" s="376"/>
      <c r="AW64" s="376"/>
      <c r="AX64" s="376"/>
      <c r="AY64" s="376"/>
      <c r="AZ64" s="376"/>
      <c r="BA64" s="376"/>
      <c r="BB64" s="376"/>
      <c r="BC64" s="376"/>
      <c r="BD64" s="385"/>
      <c r="BE64" s="439"/>
      <c r="BF64" s="362"/>
      <c r="BG64" s="363"/>
      <c r="BH64" s="376" t="e">
        <f t="shared" ref="BH64" si="111">AT64/AQ64*1000</f>
        <v>#DIV/0!</v>
      </c>
      <c r="BI64" s="376" t="e">
        <f t="shared" ref="BI64" si="112">AT64/AR64</f>
        <v>#DIV/0!</v>
      </c>
    </row>
    <row r="65" spans="1:61" s="359" customFormat="1" x14ac:dyDescent="0.3">
      <c r="A65" s="360"/>
      <c r="B65" s="342"/>
      <c r="C65" s="352"/>
      <c r="D65" s="361"/>
      <c r="E65" s="502"/>
      <c r="F65" s="346"/>
      <c r="G65" s="362"/>
      <c r="H65" s="383"/>
      <c r="I65" s="376"/>
      <c r="J65" s="376"/>
      <c r="K65" s="376"/>
      <c r="L65" s="376"/>
      <c r="M65" s="376"/>
      <c r="N65" s="376"/>
      <c r="O65" s="376"/>
      <c r="P65" s="376"/>
      <c r="Q65" s="376"/>
      <c r="R65" s="362"/>
      <c r="S65" s="362"/>
      <c r="T65" s="362"/>
      <c r="U65" s="363"/>
      <c r="V65" s="376" t="e">
        <f t="shared" ref="V65:V78" si="113">H65/E65*1000</f>
        <v>#DIV/0!</v>
      </c>
      <c r="W65" s="376" t="e">
        <f t="shared" ref="W65:W98" si="114">H65/F65</f>
        <v>#DIV/0!</v>
      </c>
      <c r="X65" s="502"/>
      <c r="Y65" s="346"/>
      <c r="Z65" s="362"/>
      <c r="AA65" s="383"/>
      <c r="AB65" s="376"/>
      <c r="AC65" s="376"/>
      <c r="AD65" s="376"/>
      <c r="AE65" s="376"/>
      <c r="AF65" s="376"/>
      <c r="AG65" s="376"/>
      <c r="AH65" s="376"/>
      <c r="AI65" s="376"/>
      <c r="AJ65" s="376"/>
      <c r="AK65" s="362"/>
      <c r="AL65" s="362"/>
      <c r="AM65" s="362"/>
      <c r="AN65" s="363"/>
      <c r="AO65" s="376" t="e">
        <f t="shared" si="16"/>
        <v>#DIV/0!</v>
      </c>
      <c r="AP65" s="376" t="e">
        <f t="shared" si="17"/>
        <v>#DIV/0!</v>
      </c>
      <c r="AQ65" s="502"/>
      <c r="AR65" s="346"/>
      <c r="AS65" s="362"/>
      <c r="AT65" s="383"/>
      <c r="AU65" s="376"/>
      <c r="AV65" s="376"/>
      <c r="AW65" s="376"/>
      <c r="AX65" s="376"/>
      <c r="AY65" s="376"/>
      <c r="AZ65" s="376"/>
      <c r="BA65" s="376"/>
      <c r="BB65" s="376"/>
      <c r="BC65" s="376"/>
      <c r="BD65" s="362"/>
      <c r="BE65" s="362"/>
      <c r="BF65" s="362"/>
      <c r="BG65" s="363"/>
      <c r="BH65" s="376" t="e">
        <f t="shared" si="19"/>
        <v>#DIV/0!</v>
      </c>
      <c r="BI65" s="376" t="e">
        <f t="shared" si="20"/>
        <v>#DIV/0!</v>
      </c>
    </row>
    <row r="66" spans="1:61" s="359" customFormat="1" ht="24.75" customHeight="1" x14ac:dyDescent="0.3">
      <c r="A66" s="355" t="s">
        <v>187</v>
      </c>
      <c r="B66" s="356" t="s">
        <v>204</v>
      </c>
      <c r="C66" s="356"/>
      <c r="D66" s="357">
        <v>6</v>
      </c>
      <c r="E66" s="500">
        <f t="shared" ref="E66:Q66" si="115">SUM(E67:E68)</f>
        <v>0</v>
      </c>
      <c r="F66" s="347">
        <f t="shared" si="115"/>
        <v>0</v>
      </c>
      <c r="G66" s="347">
        <f t="shared" si="115"/>
        <v>0</v>
      </c>
      <c r="H66" s="375">
        <f t="shared" si="115"/>
        <v>0</v>
      </c>
      <c r="I66" s="375">
        <f t="shared" si="115"/>
        <v>0</v>
      </c>
      <c r="J66" s="375">
        <f t="shared" si="115"/>
        <v>0</v>
      </c>
      <c r="K66" s="375">
        <f t="shared" si="115"/>
        <v>0</v>
      </c>
      <c r="L66" s="375">
        <f t="shared" si="115"/>
        <v>0</v>
      </c>
      <c r="M66" s="375">
        <f t="shared" si="115"/>
        <v>0</v>
      </c>
      <c r="N66" s="375">
        <f t="shared" si="115"/>
        <v>0</v>
      </c>
      <c r="O66" s="375">
        <f t="shared" si="115"/>
        <v>0</v>
      </c>
      <c r="P66" s="375">
        <f t="shared" si="115"/>
        <v>0</v>
      </c>
      <c r="Q66" s="375">
        <f t="shared" si="115"/>
        <v>0</v>
      </c>
      <c r="R66" s="358"/>
      <c r="S66" s="358"/>
      <c r="T66" s="358"/>
      <c r="U66" s="526"/>
      <c r="V66" s="384" t="e">
        <f t="shared" si="113"/>
        <v>#DIV/0!</v>
      </c>
      <c r="W66" s="384" t="e">
        <f t="shared" si="114"/>
        <v>#DIV/0!</v>
      </c>
      <c r="X66" s="500">
        <f t="shared" ref="X66:AJ66" si="116">SUM(X67:X68)</f>
        <v>0</v>
      </c>
      <c r="Y66" s="347">
        <f t="shared" si="116"/>
        <v>0</v>
      </c>
      <c r="Z66" s="347">
        <f t="shared" si="116"/>
        <v>0</v>
      </c>
      <c r="AA66" s="375">
        <f t="shared" si="116"/>
        <v>0</v>
      </c>
      <c r="AB66" s="375">
        <f t="shared" si="116"/>
        <v>0</v>
      </c>
      <c r="AC66" s="375">
        <f t="shared" si="116"/>
        <v>0</v>
      </c>
      <c r="AD66" s="375">
        <f t="shared" si="116"/>
        <v>0</v>
      </c>
      <c r="AE66" s="375">
        <f t="shared" si="116"/>
        <v>0</v>
      </c>
      <c r="AF66" s="375">
        <f t="shared" si="116"/>
        <v>0</v>
      </c>
      <c r="AG66" s="375">
        <f t="shared" si="116"/>
        <v>0</v>
      </c>
      <c r="AH66" s="375">
        <f t="shared" si="116"/>
        <v>0</v>
      </c>
      <c r="AI66" s="375">
        <f t="shared" si="116"/>
        <v>0</v>
      </c>
      <c r="AJ66" s="375">
        <f t="shared" si="116"/>
        <v>0</v>
      </c>
      <c r="AK66" s="358"/>
      <c r="AL66" s="358"/>
      <c r="AM66" s="358"/>
      <c r="AN66" s="526"/>
      <c r="AO66" s="384" t="e">
        <f t="shared" si="16"/>
        <v>#DIV/0!</v>
      </c>
      <c r="AP66" s="384" t="e">
        <f t="shared" si="17"/>
        <v>#DIV/0!</v>
      </c>
      <c r="AQ66" s="500">
        <f t="shared" ref="AQ66:BC66" si="117">SUM(AQ67:AQ68)</f>
        <v>0</v>
      </c>
      <c r="AR66" s="347">
        <f t="shared" si="117"/>
        <v>0</v>
      </c>
      <c r="AS66" s="347">
        <f t="shared" si="117"/>
        <v>0</v>
      </c>
      <c r="AT66" s="375">
        <f t="shared" si="117"/>
        <v>0</v>
      </c>
      <c r="AU66" s="375">
        <f t="shared" si="117"/>
        <v>0</v>
      </c>
      <c r="AV66" s="375">
        <f t="shared" si="117"/>
        <v>0</v>
      </c>
      <c r="AW66" s="375">
        <f t="shared" si="117"/>
        <v>0</v>
      </c>
      <c r="AX66" s="375">
        <f t="shared" si="117"/>
        <v>0</v>
      </c>
      <c r="AY66" s="375">
        <f t="shared" si="117"/>
        <v>0</v>
      </c>
      <c r="AZ66" s="375">
        <f t="shared" si="117"/>
        <v>0</v>
      </c>
      <c r="BA66" s="375">
        <f t="shared" si="117"/>
        <v>0</v>
      </c>
      <c r="BB66" s="375">
        <f t="shared" si="117"/>
        <v>0</v>
      </c>
      <c r="BC66" s="375">
        <f t="shared" si="117"/>
        <v>0</v>
      </c>
      <c r="BD66" s="358"/>
      <c r="BE66" s="358"/>
      <c r="BF66" s="358"/>
      <c r="BG66" s="526"/>
      <c r="BH66" s="384" t="e">
        <f t="shared" si="19"/>
        <v>#DIV/0!</v>
      </c>
      <c r="BI66" s="384" t="e">
        <f t="shared" si="20"/>
        <v>#DIV/0!</v>
      </c>
    </row>
    <row r="67" spans="1:61" s="359" customFormat="1" x14ac:dyDescent="0.3">
      <c r="A67" s="360" t="s">
        <v>188</v>
      </c>
      <c r="B67" s="342"/>
      <c r="C67" s="364"/>
      <c r="D67" s="361">
        <v>6</v>
      </c>
      <c r="E67" s="502"/>
      <c r="F67" s="346"/>
      <c r="G67" s="346"/>
      <c r="H67" s="383"/>
      <c r="I67" s="376"/>
      <c r="J67" s="376"/>
      <c r="K67" s="376"/>
      <c r="L67" s="376"/>
      <c r="M67" s="376"/>
      <c r="N67" s="376"/>
      <c r="O67" s="376"/>
      <c r="P67" s="376"/>
      <c r="Q67" s="376"/>
      <c r="R67" s="362"/>
      <c r="S67" s="362"/>
      <c r="T67" s="362"/>
      <c r="U67" s="363"/>
      <c r="V67" s="376" t="e">
        <f t="shared" si="113"/>
        <v>#DIV/0!</v>
      </c>
      <c r="W67" s="376" t="e">
        <f t="shared" si="114"/>
        <v>#DIV/0!</v>
      </c>
      <c r="X67" s="502"/>
      <c r="Y67" s="346"/>
      <c r="Z67" s="346"/>
      <c r="AA67" s="383"/>
      <c r="AB67" s="376"/>
      <c r="AC67" s="376"/>
      <c r="AD67" s="376"/>
      <c r="AE67" s="376"/>
      <c r="AF67" s="376"/>
      <c r="AG67" s="376"/>
      <c r="AH67" s="376"/>
      <c r="AI67" s="376"/>
      <c r="AJ67" s="376"/>
      <c r="AK67" s="362"/>
      <c r="AL67" s="362"/>
      <c r="AM67" s="362"/>
      <c r="AN67" s="363"/>
      <c r="AO67" s="376" t="e">
        <f t="shared" si="16"/>
        <v>#DIV/0!</v>
      </c>
      <c r="AP67" s="376" t="e">
        <f t="shared" si="17"/>
        <v>#DIV/0!</v>
      </c>
      <c r="AQ67" s="502"/>
      <c r="AR67" s="346"/>
      <c r="AS67" s="346"/>
      <c r="AT67" s="383"/>
      <c r="AU67" s="376"/>
      <c r="AV67" s="376"/>
      <c r="AW67" s="376"/>
      <c r="AX67" s="376"/>
      <c r="AY67" s="376"/>
      <c r="AZ67" s="376"/>
      <c r="BA67" s="376"/>
      <c r="BB67" s="376"/>
      <c r="BC67" s="376"/>
      <c r="BD67" s="362"/>
      <c r="BE67" s="362"/>
      <c r="BF67" s="362"/>
      <c r="BG67" s="363"/>
      <c r="BH67" s="376" t="e">
        <f t="shared" si="19"/>
        <v>#DIV/0!</v>
      </c>
      <c r="BI67" s="376" t="e">
        <f t="shared" si="20"/>
        <v>#DIV/0!</v>
      </c>
    </row>
    <row r="68" spans="1:61" s="359" customFormat="1" x14ac:dyDescent="0.3">
      <c r="A68" s="360"/>
      <c r="B68" s="342"/>
      <c r="C68" s="352"/>
      <c r="D68" s="361"/>
      <c r="E68" s="502"/>
      <c r="F68" s="346"/>
      <c r="G68" s="362"/>
      <c r="H68" s="383"/>
      <c r="I68" s="376"/>
      <c r="J68" s="376"/>
      <c r="K68" s="376"/>
      <c r="L68" s="376"/>
      <c r="M68" s="376"/>
      <c r="N68" s="376"/>
      <c r="O68" s="376"/>
      <c r="P68" s="376"/>
      <c r="Q68" s="376"/>
      <c r="R68" s="362"/>
      <c r="S68" s="362"/>
      <c r="T68" s="362"/>
      <c r="U68" s="363"/>
      <c r="V68" s="376" t="e">
        <f t="shared" si="113"/>
        <v>#DIV/0!</v>
      </c>
      <c r="W68" s="376" t="e">
        <f t="shared" si="114"/>
        <v>#DIV/0!</v>
      </c>
      <c r="X68" s="502"/>
      <c r="Y68" s="346"/>
      <c r="Z68" s="362"/>
      <c r="AA68" s="383"/>
      <c r="AB68" s="376"/>
      <c r="AC68" s="376"/>
      <c r="AD68" s="376"/>
      <c r="AE68" s="376"/>
      <c r="AF68" s="376"/>
      <c r="AG68" s="376"/>
      <c r="AH68" s="376"/>
      <c r="AI68" s="376"/>
      <c r="AJ68" s="376"/>
      <c r="AK68" s="362"/>
      <c r="AL68" s="362"/>
      <c r="AM68" s="362"/>
      <c r="AN68" s="363"/>
      <c r="AO68" s="376" t="e">
        <f t="shared" si="16"/>
        <v>#DIV/0!</v>
      </c>
      <c r="AP68" s="376" t="e">
        <f t="shared" si="17"/>
        <v>#DIV/0!</v>
      </c>
      <c r="AQ68" s="502"/>
      <c r="AR68" s="346"/>
      <c r="AS68" s="362"/>
      <c r="AT68" s="383"/>
      <c r="AU68" s="376"/>
      <c r="AV68" s="376"/>
      <c r="AW68" s="376"/>
      <c r="AX68" s="376"/>
      <c r="AY68" s="376"/>
      <c r="AZ68" s="376"/>
      <c r="BA68" s="376"/>
      <c r="BB68" s="376"/>
      <c r="BC68" s="376"/>
      <c r="BD68" s="362"/>
      <c r="BE68" s="362"/>
      <c r="BF68" s="362"/>
      <c r="BG68" s="363"/>
      <c r="BH68" s="376" t="e">
        <f t="shared" si="19"/>
        <v>#DIV/0!</v>
      </c>
      <c r="BI68" s="376" t="e">
        <f t="shared" si="20"/>
        <v>#DIV/0!</v>
      </c>
    </row>
    <row r="69" spans="1:61" s="359" customFormat="1" ht="24.75" customHeight="1" x14ac:dyDescent="0.3">
      <c r="A69" s="355" t="s">
        <v>190</v>
      </c>
      <c r="B69" s="356" t="s">
        <v>205</v>
      </c>
      <c r="C69" s="356"/>
      <c r="D69" s="357">
        <v>6</v>
      </c>
      <c r="E69" s="500">
        <f t="shared" ref="E69:Q69" si="118">SUM(E70:E71)</f>
        <v>0</v>
      </c>
      <c r="F69" s="347">
        <f t="shared" si="118"/>
        <v>0</v>
      </c>
      <c r="G69" s="347">
        <f t="shared" si="118"/>
        <v>0</v>
      </c>
      <c r="H69" s="375">
        <f t="shared" si="118"/>
        <v>0</v>
      </c>
      <c r="I69" s="375">
        <f t="shared" si="118"/>
        <v>0</v>
      </c>
      <c r="J69" s="375">
        <f t="shared" si="118"/>
        <v>0</v>
      </c>
      <c r="K69" s="375">
        <f t="shared" si="118"/>
        <v>0</v>
      </c>
      <c r="L69" s="375">
        <f t="shared" si="118"/>
        <v>0</v>
      </c>
      <c r="M69" s="375">
        <f t="shared" si="118"/>
        <v>0</v>
      </c>
      <c r="N69" s="375">
        <f t="shared" si="118"/>
        <v>0</v>
      </c>
      <c r="O69" s="375">
        <f t="shared" si="118"/>
        <v>0</v>
      </c>
      <c r="P69" s="375">
        <f t="shared" si="118"/>
        <v>0</v>
      </c>
      <c r="Q69" s="375">
        <f t="shared" si="118"/>
        <v>0</v>
      </c>
      <c r="R69" s="358"/>
      <c r="S69" s="358"/>
      <c r="T69" s="358"/>
      <c r="U69" s="526"/>
      <c r="V69" s="384" t="e">
        <f t="shared" si="113"/>
        <v>#DIV/0!</v>
      </c>
      <c r="W69" s="384" t="e">
        <f t="shared" si="114"/>
        <v>#DIV/0!</v>
      </c>
      <c r="X69" s="500">
        <f t="shared" ref="X69:AJ69" si="119">SUM(X70:X71)</f>
        <v>0</v>
      </c>
      <c r="Y69" s="347">
        <f t="shared" si="119"/>
        <v>0</v>
      </c>
      <c r="Z69" s="347">
        <f t="shared" si="119"/>
        <v>0</v>
      </c>
      <c r="AA69" s="375">
        <f t="shared" si="119"/>
        <v>0</v>
      </c>
      <c r="AB69" s="375">
        <f t="shared" si="119"/>
        <v>0</v>
      </c>
      <c r="AC69" s="375">
        <f t="shared" si="119"/>
        <v>0</v>
      </c>
      <c r="AD69" s="375">
        <f t="shared" si="119"/>
        <v>0</v>
      </c>
      <c r="AE69" s="375">
        <f t="shared" si="119"/>
        <v>0</v>
      </c>
      <c r="AF69" s="375">
        <f t="shared" si="119"/>
        <v>0</v>
      </c>
      <c r="AG69" s="375">
        <f t="shared" si="119"/>
        <v>0</v>
      </c>
      <c r="AH69" s="375">
        <f t="shared" si="119"/>
        <v>0</v>
      </c>
      <c r="AI69" s="375">
        <f t="shared" si="119"/>
        <v>0</v>
      </c>
      <c r="AJ69" s="375">
        <f t="shared" si="119"/>
        <v>0</v>
      </c>
      <c r="AK69" s="358"/>
      <c r="AL69" s="358"/>
      <c r="AM69" s="358"/>
      <c r="AN69" s="526"/>
      <c r="AO69" s="384" t="e">
        <f t="shared" si="16"/>
        <v>#DIV/0!</v>
      </c>
      <c r="AP69" s="384" t="e">
        <f t="shared" si="17"/>
        <v>#DIV/0!</v>
      </c>
      <c r="AQ69" s="500">
        <f t="shared" ref="AQ69:BC69" si="120">SUM(AQ70:AQ71)</f>
        <v>0</v>
      </c>
      <c r="AR69" s="347">
        <f t="shared" si="120"/>
        <v>0</v>
      </c>
      <c r="AS69" s="347">
        <f t="shared" si="120"/>
        <v>0</v>
      </c>
      <c r="AT69" s="375">
        <f t="shared" si="120"/>
        <v>0</v>
      </c>
      <c r="AU69" s="375">
        <f t="shared" si="120"/>
        <v>0</v>
      </c>
      <c r="AV69" s="375">
        <f t="shared" si="120"/>
        <v>0</v>
      </c>
      <c r="AW69" s="375">
        <f t="shared" si="120"/>
        <v>0</v>
      </c>
      <c r="AX69" s="375">
        <f t="shared" si="120"/>
        <v>0</v>
      </c>
      <c r="AY69" s="375">
        <f t="shared" si="120"/>
        <v>0</v>
      </c>
      <c r="AZ69" s="375">
        <f t="shared" si="120"/>
        <v>0</v>
      </c>
      <c r="BA69" s="375">
        <f t="shared" si="120"/>
        <v>0</v>
      </c>
      <c r="BB69" s="375">
        <f t="shared" si="120"/>
        <v>0</v>
      </c>
      <c r="BC69" s="375">
        <f t="shared" si="120"/>
        <v>0</v>
      </c>
      <c r="BD69" s="358"/>
      <c r="BE69" s="358"/>
      <c r="BF69" s="358"/>
      <c r="BG69" s="526"/>
      <c r="BH69" s="384" t="e">
        <f t="shared" si="19"/>
        <v>#DIV/0!</v>
      </c>
      <c r="BI69" s="384" t="e">
        <f t="shared" si="20"/>
        <v>#DIV/0!</v>
      </c>
    </row>
    <row r="70" spans="1:61" s="359" customFormat="1" x14ac:dyDescent="0.3">
      <c r="A70" s="360" t="s">
        <v>191</v>
      </c>
      <c r="B70" s="342"/>
      <c r="C70" s="352"/>
      <c r="D70" s="361"/>
      <c r="E70" s="502"/>
      <c r="F70" s="346"/>
      <c r="G70" s="362"/>
      <c r="H70" s="383"/>
      <c r="I70" s="376"/>
      <c r="J70" s="376"/>
      <c r="K70" s="376"/>
      <c r="L70" s="376"/>
      <c r="M70" s="376"/>
      <c r="N70" s="376"/>
      <c r="O70" s="376"/>
      <c r="P70" s="376"/>
      <c r="Q70" s="376"/>
      <c r="R70" s="362"/>
      <c r="S70" s="362"/>
      <c r="T70" s="362"/>
      <c r="U70" s="363"/>
      <c r="V70" s="376" t="e">
        <f t="shared" si="113"/>
        <v>#DIV/0!</v>
      </c>
      <c r="W70" s="376" t="e">
        <f t="shared" si="114"/>
        <v>#DIV/0!</v>
      </c>
      <c r="X70" s="502"/>
      <c r="Y70" s="346"/>
      <c r="Z70" s="362"/>
      <c r="AA70" s="383"/>
      <c r="AB70" s="376"/>
      <c r="AC70" s="376"/>
      <c r="AD70" s="376"/>
      <c r="AE70" s="376"/>
      <c r="AF70" s="376"/>
      <c r="AG70" s="376"/>
      <c r="AH70" s="376"/>
      <c r="AI70" s="376"/>
      <c r="AJ70" s="376"/>
      <c r="AK70" s="362"/>
      <c r="AL70" s="362"/>
      <c r="AM70" s="362"/>
      <c r="AN70" s="363"/>
      <c r="AO70" s="376" t="e">
        <f t="shared" si="16"/>
        <v>#DIV/0!</v>
      </c>
      <c r="AP70" s="376" t="e">
        <f t="shared" si="17"/>
        <v>#DIV/0!</v>
      </c>
      <c r="AQ70" s="502"/>
      <c r="AR70" s="346"/>
      <c r="AS70" s="362"/>
      <c r="AT70" s="383"/>
      <c r="AU70" s="376"/>
      <c r="AV70" s="376"/>
      <c r="AW70" s="376"/>
      <c r="AX70" s="376"/>
      <c r="AY70" s="376"/>
      <c r="AZ70" s="376"/>
      <c r="BA70" s="376"/>
      <c r="BB70" s="376"/>
      <c r="BC70" s="376"/>
      <c r="BD70" s="362"/>
      <c r="BE70" s="362"/>
      <c r="BF70" s="362"/>
      <c r="BG70" s="363"/>
      <c r="BH70" s="376" t="e">
        <f t="shared" si="19"/>
        <v>#DIV/0!</v>
      </c>
      <c r="BI70" s="376" t="e">
        <f t="shared" si="20"/>
        <v>#DIV/0!</v>
      </c>
    </row>
    <row r="71" spans="1:61" s="359" customFormat="1" x14ac:dyDescent="0.3">
      <c r="A71" s="360"/>
      <c r="B71" s="342"/>
      <c r="C71" s="352"/>
      <c r="D71" s="361"/>
      <c r="E71" s="502"/>
      <c r="F71" s="346"/>
      <c r="G71" s="362"/>
      <c r="H71" s="383"/>
      <c r="I71" s="376"/>
      <c r="J71" s="376"/>
      <c r="K71" s="376"/>
      <c r="L71" s="376"/>
      <c r="M71" s="376"/>
      <c r="N71" s="376"/>
      <c r="O71" s="376"/>
      <c r="P71" s="376"/>
      <c r="Q71" s="376"/>
      <c r="R71" s="362"/>
      <c r="S71" s="362"/>
      <c r="T71" s="362"/>
      <c r="U71" s="363"/>
      <c r="V71" s="376" t="e">
        <f t="shared" si="113"/>
        <v>#DIV/0!</v>
      </c>
      <c r="W71" s="376" t="e">
        <f t="shared" si="114"/>
        <v>#DIV/0!</v>
      </c>
      <c r="X71" s="502"/>
      <c r="Y71" s="346"/>
      <c r="Z71" s="362"/>
      <c r="AA71" s="383"/>
      <c r="AB71" s="376"/>
      <c r="AC71" s="376"/>
      <c r="AD71" s="376"/>
      <c r="AE71" s="376"/>
      <c r="AF71" s="376"/>
      <c r="AG71" s="376"/>
      <c r="AH71" s="376"/>
      <c r="AI71" s="376"/>
      <c r="AJ71" s="376"/>
      <c r="AK71" s="362"/>
      <c r="AL71" s="362"/>
      <c r="AM71" s="362"/>
      <c r="AN71" s="363"/>
      <c r="AO71" s="376" t="e">
        <f t="shared" si="16"/>
        <v>#DIV/0!</v>
      </c>
      <c r="AP71" s="376" t="e">
        <f t="shared" si="17"/>
        <v>#DIV/0!</v>
      </c>
      <c r="AQ71" s="502"/>
      <c r="AR71" s="346"/>
      <c r="AS71" s="362"/>
      <c r="AT71" s="383"/>
      <c r="AU71" s="376"/>
      <c r="AV71" s="376"/>
      <c r="AW71" s="376"/>
      <c r="AX71" s="376"/>
      <c r="AY71" s="376"/>
      <c r="AZ71" s="376"/>
      <c r="BA71" s="376"/>
      <c r="BB71" s="376"/>
      <c r="BC71" s="376"/>
      <c r="BD71" s="362"/>
      <c r="BE71" s="362"/>
      <c r="BF71" s="362"/>
      <c r="BG71" s="363"/>
      <c r="BH71" s="376" t="e">
        <f t="shared" si="19"/>
        <v>#DIV/0!</v>
      </c>
      <c r="BI71" s="376" t="e">
        <f t="shared" si="20"/>
        <v>#DIV/0!</v>
      </c>
    </row>
    <row r="72" spans="1:61" s="359" customFormat="1" ht="69" x14ac:dyDescent="0.3">
      <c r="A72" s="449" t="s">
        <v>206</v>
      </c>
      <c r="B72" s="458" t="s">
        <v>207</v>
      </c>
      <c r="C72" s="458"/>
      <c r="D72" s="452"/>
      <c r="E72" s="504">
        <f>E73+E76</f>
        <v>0</v>
      </c>
      <c r="F72" s="459">
        <f t="shared" ref="F72:Q72" si="121">F73+F76</f>
        <v>0</v>
      </c>
      <c r="G72" s="459">
        <f t="shared" si="121"/>
        <v>0</v>
      </c>
      <c r="H72" s="460">
        <f t="shared" si="121"/>
        <v>0</v>
      </c>
      <c r="I72" s="460">
        <f t="shared" si="121"/>
        <v>0</v>
      </c>
      <c r="J72" s="460">
        <f t="shared" si="121"/>
        <v>0</v>
      </c>
      <c r="K72" s="460">
        <f t="shared" si="121"/>
        <v>0</v>
      </c>
      <c r="L72" s="460">
        <f t="shared" si="121"/>
        <v>0</v>
      </c>
      <c r="M72" s="460">
        <f t="shared" si="121"/>
        <v>0</v>
      </c>
      <c r="N72" s="460">
        <f t="shared" si="121"/>
        <v>0</v>
      </c>
      <c r="O72" s="460">
        <f t="shared" si="121"/>
        <v>0</v>
      </c>
      <c r="P72" s="460">
        <f t="shared" si="121"/>
        <v>0</v>
      </c>
      <c r="Q72" s="460">
        <f t="shared" si="121"/>
        <v>0</v>
      </c>
      <c r="R72" s="461"/>
      <c r="S72" s="461"/>
      <c r="T72" s="461"/>
      <c r="U72" s="527"/>
      <c r="V72" s="462" t="e">
        <f t="shared" si="113"/>
        <v>#DIV/0!</v>
      </c>
      <c r="W72" s="462" t="e">
        <f t="shared" si="114"/>
        <v>#DIV/0!</v>
      </c>
      <c r="X72" s="504">
        <f>X73+X76</f>
        <v>0</v>
      </c>
      <c r="Y72" s="459">
        <f t="shared" ref="Y72:AJ72" si="122">Y73+Y76</f>
        <v>0</v>
      </c>
      <c r="Z72" s="459">
        <f t="shared" si="122"/>
        <v>0</v>
      </c>
      <c r="AA72" s="460">
        <f t="shared" si="122"/>
        <v>0</v>
      </c>
      <c r="AB72" s="460">
        <f t="shared" si="122"/>
        <v>0</v>
      </c>
      <c r="AC72" s="460">
        <f t="shared" si="122"/>
        <v>0</v>
      </c>
      <c r="AD72" s="460">
        <f t="shared" si="122"/>
        <v>0</v>
      </c>
      <c r="AE72" s="460">
        <f t="shared" si="122"/>
        <v>0</v>
      </c>
      <c r="AF72" s="460">
        <f t="shared" si="122"/>
        <v>0</v>
      </c>
      <c r="AG72" s="460">
        <f t="shared" si="122"/>
        <v>0</v>
      </c>
      <c r="AH72" s="460">
        <f t="shared" si="122"/>
        <v>0</v>
      </c>
      <c r="AI72" s="460">
        <f t="shared" si="122"/>
        <v>0</v>
      </c>
      <c r="AJ72" s="460">
        <f t="shared" si="122"/>
        <v>0</v>
      </c>
      <c r="AK72" s="461"/>
      <c r="AL72" s="461"/>
      <c r="AM72" s="461"/>
      <c r="AN72" s="527"/>
      <c r="AO72" s="462" t="e">
        <f t="shared" si="16"/>
        <v>#DIV/0!</v>
      </c>
      <c r="AP72" s="462" t="e">
        <f t="shared" si="17"/>
        <v>#DIV/0!</v>
      </c>
      <c r="AQ72" s="504">
        <f>AQ73+AQ76</f>
        <v>0</v>
      </c>
      <c r="AR72" s="459">
        <f t="shared" ref="AR72:BC72" si="123">AR73+AR76</f>
        <v>0</v>
      </c>
      <c r="AS72" s="459">
        <f t="shared" si="123"/>
        <v>0</v>
      </c>
      <c r="AT72" s="460">
        <f t="shared" si="123"/>
        <v>0</v>
      </c>
      <c r="AU72" s="460">
        <f t="shared" si="123"/>
        <v>0</v>
      </c>
      <c r="AV72" s="460">
        <f t="shared" si="123"/>
        <v>0</v>
      </c>
      <c r="AW72" s="460">
        <f t="shared" si="123"/>
        <v>0</v>
      </c>
      <c r="AX72" s="460">
        <f t="shared" si="123"/>
        <v>0</v>
      </c>
      <c r="AY72" s="460">
        <f t="shared" si="123"/>
        <v>0</v>
      </c>
      <c r="AZ72" s="460">
        <f t="shared" si="123"/>
        <v>0</v>
      </c>
      <c r="BA72" s="460">
        <f t="shared" si="123"/>
        <v>0</v>
      </c>
      <c r="BB72" s="460">
        <f t="shared" si="123"/>
        <v>0</v>
      </c>
      <c r="BC72" s="460">
        <f t="shared" si="123"/>
        <v>0</v>
      </c>
      <c r="BD72" s="461"/>
      <c r="BE72" s="461"/>
      <c r="BF72" s="461"/>
      <c r="BG72" s="527"/>
      <c r="BH72" s="462" t="e">
        <f t="shared" si="19"/>
        <v>#DIV/0!</v>
      </c>
      <c r="BI72" s="462" t="e">
        <f t="shared" si="20"/>
        <v>#DIV/0!</v>
      </c>
    </row>
    <row r="73" spans="1:61" s="359" customFormat="1" ht="24.75" customHeight="1" x14ac:dyDescent="0.3">
      <c r="A73" s="355" t="s">
        <v>179</v>
      </c>
      <c r="B73" s="356" t="s">
        <v>209</v>
      </c>
      <c r="C73" s="356"/>
      <c r="D73" s="357">
        <v>0.4</v>
      </c>
      <c r="E73" s="500">
        <f>SUM(E74)</f>
        <v>0</v>
      </c>
      <c r="F73" s="347">
        <f t="shared" ref="F73:Q73" si="124">SUM(F74)</f>
        <v>0</v>
      </c>
      <c r="G73" s="347">
        <f t="shared" si="124"/>
        <v>0</v>
      </c>
      <c r="H73" s="375">
        <f t="shared" si="124"/>
        <v>0</v>
      </c>
      <c r="I73" s="375">
        <f t="shared" si="124"/>
        <v>0</v>
      </c>
      <c r="J73" s="375">
        <f t="shared" si="124"/>
        <v>0</v>
      </c>
      <c r="K73" s="375">
        <f t="shared" si="124"/>
        <v>0</v>
      </c>
      <c r="L73" s="375">
        <f t="shared" si="124"/>
        <v>0</v>
      </c>
      <c r="M73" s="375">
        <f t="shared" si="124"/>
        <v>0</v>
      </c>
      <c r="N73" s="375">
        <f t="shared" si="124"/>
        <v>0</v>
      </c>
      <c r="O73" s="375">
        <f t="shared" si="124"/>
        <v>0</v>
      </c>
      <c r="P73" s="375">
        <f t="shared" si="124"/>
        <v>0</v>
      </c>
      <c r="Q73" s="375">
        <f t="shared" si="124"/>
        <v>0</v>
      </c>
      <c r="R73" s="358"/>
      <c r="S73" s="358"/>
      <c r="T73" s="358"/>
      <c r="U73" s="526"/>
      <c r="V73" s="384" t="e">
        <f t="shared" si="113"/>
        <v>#DIV/0!</v>
      </c>
      <c r="W73" s="384" t="e">
        <f t="shared" si="114"/>
        <v>#DIV/0!</v>
      </c>
      <c r="X73" s="500">
        <f>SUM(X74)</f>
        <v>0</v>
      </c>
      <c r="Y73" s="347">
        <f t="shared" ref="Y73:AJ73" si="125">SUM(Y74)</f>
        <v>0</v>
      </c>
      <c r="Z73" s="347">
        <f t="shared" si="125"/>
        <v>0</v>
      </c>
      <c r="AA73" s="375">
        <f t="shared" si="125"/>
        <v>0</v>
      </c>
      <c r="AB73" s="375">
        <f t="shared" si="125"/>
        <v>0</v>
      </c>
      <c r="AC73" s="375">
        <f t="shared" si="125"/>
        <v>0</v>
      </c>
      <c r="AD73" s="375">
        <f t="shared" si="125"/>
        <v>0</v>
      </c>
      <c r="AE73" s="375">
        <f t="shared" si="125"/>
        <v>0</v>
      </c>
      <c r="AF73" s="375">
        <f t="shared" si="125"/>
        <v>0</v>
      </c>
      <c r="AG73" s="375">
        <f t="shared" si="125"/>
        <v>0</v>
      </c>
      <c r="AH73" s="375">
        <f t="shared" si="125"/>
        <v>0</v>
      </c>
      <c r="AI73" s="375">
        <f t="shared" si="125"/>
        <v>0</v>
      </c>
      <c r="AJ73" s="375">
        <f t="shared" si="125"/>
        <v>0</v>
      </c>
      <c r="AK73" s="358"/>
      <c r="AL73" s="358"/>
      <c r="AM73" s="358"/>
      <c r="AN73" s="526"/>
      <c r="AO73" s="384" t="e">
        <f t="shared" si="16"/>
        <v>#DIV/0!</v>
      </c>
      <c r="AP73" s="384" t="e">
        <f t="shared" si="17"/>
        <v>#DIV/0!</v>
      </c>
      <c r="AQ73" s="500">
        <f>SUM(AQ74)</f>
        <v>0</v>
      </c>
      <c r="AR73" s="347">
        <f t="shared" ref="AR73:BC73" si="126">SUM(AR74)</f>
        <v>0</v>
      </c>
      <c r="AS73" s="347">
        <f t="shared" si="126"/>
        <v>0</v>
      </c>
      <c r="AT73" s="375">
        <f t="shared" si="126"/>
        <v>0</v>
      </c>
      <c r="AU73" s="375">
        <f t="shared" si="126"/>
        <v>0</v>
      </c>
      <c r="AV73" s="375">
        <f t="shared" si="126"/>
        <v>0</v>
      </c>
      <c r="AW73" s="375">
        <f t="shared" si="126"/>
        <v>0</v>
      </c>
      <c r="AX73" s="375">
        <f t="shared" si="126"/>
        <v>0</v>
      </c>
      <c r="AY73" s="375">
        <f t="shared" si="126"/>
        <v>0</v>
      </c>
      <c r="AZ73" s="375">
        <f t="shared" si="126"/>
        <v>0</v>
      </c>
      <c r="BA73" s="375">
        <f t="shared" si="126"/>
        <v>0</v>
      </c>
      <c r="BB73" s="375">
        <f t="shared" si="126"/>
        <v>0</v>
      </c>
      <c r="BC73" s="375">
        <f t="shared" si="126"/>
        <v>0</v>
      </c>
      <c r="BD73" s="358"/>
      <c r="BE73" s="358"/>
      <c r="BF73" s="358"/>
      <c r="BG73" s="526"/>
      <c r="BH73" s="384" t="e">
        <f t="shared" si="19"/>
        <v>#DIV/0!</v>
      </c>
      <c r="BI73" s="384" t="e">
        <f t="shared" si="20"/>
        <v>#DIV/0!</v>
      </c>
    </row>
    <row r="74" spans="1:61" s="359" customFormat="1" x14ac:dyDescent="0.3">
      <c r="A74" s="360" t="s">
        <v>143</v>
      </c>
      <c r="B74" s="342"/>
      <c r="C74" s="349"/>
      <c r="D74" s="361"/>
      <c r="E74" s="505"/>
      <c r="F74" s="344"/>
      <c r="G74" s="362"/>
      <c r="H74" s="377"/>
      <c r="I74" s="376"/>
      <c r="J74" s="376"/>
      <c r="K74" s="376"/>
      <c r="L74" s="376"/>
      <c r="M74" s="376"/>
      <c r="N74" s="376"/>
      <c r="O74" s="376"/>
      <c r="P74" s="376"/>
      <c r="Q74" s="376"/>
      <c r="R74" s="362"/>
      <c r="S74" s="362"/>
      <c r="T74" s="362"/>
      <c r="U74" s="363"/>
      <c r="V74" s="376" t="e">
        <f t="shared" si="113"/>
        <v>#DIV/0!</v>
      </c>
      <c r="W74" s="376" t="e">
        <f t="shared" si="114"/>
        <v>#DIV/0!</v>
      </c>
      <c r="X74" s="505"/>
      <c r="Y74" s="344"/>
      <c r="Z74" s="362"/>
      <c r="AA74" s="377"/>
      <c r="AB74" s="376"/>
      <c r="AC74" s="376"/>
      <c r="AD74" s="376"/>
      <c r="AE74" s="376"/>
      <c r="AF74" s="376"/>
      <c r="AG74" s="376"/>
      <c r="AH74" s="376"/>
      <c r="AI74" s="376"/>
      <c r="AJ74" s="376"/>
      <c r="AK74" s="362"/>
      <c r="AL74" s="362"/>
      <c r="AM74" s="362"/>
      <c r="AN74" s="363"/>
      <c r="AO74" s="376" t="e">
        <f t="shared" si="16"/>
        <v>#DIV/0!</v>
      </c>
      <c r="AP74" s="376" t="e">
        <f t="shared" si="17"/>
        <v>#DIV/0!</v>
      </c>
      <c r="AQ74" s="505"/>
      <c r="AR74" s="344"/>
      <c r="AS74" s="362"/>
      <c r="AT74" s="377"/>
      <c r="AU74" s="376"/>
      <c r="AV74" s="376"/>
      <c r="AW74" s="376"/>
      <c r="AX74" s="376"/>
      <c r="AY74" s="376"/>
      <c r="AZ74" s="376"/>
      <c r="BA74" s="376"/>
      <c r="BB74" s="376"/>
      <c r="BC74" s="376"/>
      <c r="BD74" s="362"/>
      <c r="BE74" s="362"/>
      <c r="BF74" s="362"/>
      <c r="BG74" s="363"/>
      <c r="BH74" s="376" t="e">
        <f t="shared" si="19"/>
        <v>#DIV/0!</v>
      </c>
      <c r="BI74" s="376" t="e">
        <f t="shared" si="20"/>
        <v>#DIV/0!</v>
      </c>
    </row>
    <row r="75" spans="1:61" s="359" customFormat="1" x14ac:dyDescent="0.3">
      <c r="A75" s="360"/>
      <c r="B75" s="342"/>
      <c r="C75" s="349"/>
      <c r="D75" s="361"/>
      <c r="E75" s="505"/>
      <c r="F75" s="344"/>
      <c r="G75" s="362"/>
      <c r="H75" s="377"/>
      <c r="I75" s="376"/>
      <c r="J75" s="376"/>
      <c r="K75" s="376"/>
      <c r="L75" s="376"/>
      <c r="M75" s="376"/>
      <c r="N75" s="376"/>
      <c r="O75" s="376"/>
      <c r="P75" s="376"/>
      <c r="Q75" s="376"/>
      <c r="R75" s="362"/>
      <c r="S75" s="362"/>
      <c r="T75" s="362"/>
      <c r="U75" s="363"/>
      <c r="V75" s="376" t="e">
        <f t="shared" ref="V75" si="127">H75/E75*1000</f>
        <v>#DIV/0!</v>
      </c>
      <c r="W75" s="376" t="e">
        <f t="shared" ref="W75" si="128">H75/F75</f>
        <v>#DIV/0!</v>
      </c>
      <c r="X75" s="505"/>
      <c r="Y75" s="344"/>
      <c r="Z75" s="362"/>
      <c r="AA75" s="377"/>
      <c r="AB75" s="376"/>
      <c r="AC75" s="376"/>
      <c r="AD75" s="376"/>
      <c r="AE75" s="376"/>
      <c r="AF75" s="376"/>
      <c r="AG75" s="376"/>
      <c r="AH75" s="376"/>
      <c r="AI75" s="376"/>
      <c r="AJ75" s="376"/>
      <c r="AK75" s="362"/>
      <c r="AL75" s="362"/>
      <c r="AM75" s="362"/>
      <c r="AN75" s="363"/>
      <c r="AO75" s="376" t="e">
        <f t="shared" ref="AO75:AO78" si="129">AA75/X75*1000</f>
        <v>#DIV/0!</v>
      </c>
      <c r="AP75" s="376" t="e">
        <f t="shared" ref="AP75:AP98" si="130">AA75/Y75</f>
        <v>#DIV/0!</v>
      </c>
      <c r="AQ75" s="505"/>
      <c r="AR75" s="344"/>
      <c r="AS75" s="362"/>
      <c r="AT75" s="377"/>
      <c r="AU75" s="376"/>
      <c r="AV75" s="376"/>
      <c r="AW75" s="376"/>
      <c r="AX75" s="376"/>
      <c r="AY75" s="376"/>
      <c r="AZ75" s="376"/>
      <c r="BA75" s="376"/>
      <c r="BB75" s="376"/>
      <c r="BC75" s="376"/>
      <c r="BD75" s="362"/>
      <c r="BE75" s="362"/>
      <c r="BF75" s="362"/>
      <c r="BG75" s="363"/>
      <c r="BH75" s="376" t="e">
        <f t="shared" si="19"/>
        <v>#DIV/0!</v>
      </c>
      <c r="BI75" s="376" t="e">
        <f t="shared" si="20"/>
        <v>#DIV/0!</v>
      </c>
    </row>
    <row r="76" spans="1:61" s="359" customFormat="1" ht="24.75" customHeight="1" x14ac:dyDescent="0.3">
      <c r="A76" s="355" t="s">
        <v>4</v>
      </c>
      <c r="B76" s="356" t="s">
        <v>210</v>
      </c>
      <c r="C76" s="356"/>
      <c r="D76" s="357">
        <v>6</v>
      </c>
      <c r="E76" s="500">
        <f t="shared" ref="E76:Q76" si="131">SUM(E77:E78)</f>
        <v>0</v>
      </c>
      <c r="F76" s="347">
        <f t="shared" si="131"/>
        <v>0</v>
      </c>
      <c r="G76" s="347">
        <f t="shared" si="131"/>
        <v>0</v>
      </c>
      <c r="H76" s="375">
        <f t="shared" si="131"/>
        <v>0</v>
      </c>
      <c r="I76" s="375">
        <f t="shared" si="131"/>
        <v>0</v>
      </c>
      <c r="J76" s="375">
        <f t="shared" si="131"/>
        <v>0</v>
      </c>
      <c r="K76" s="375">
        <f t="shared" si="131"/>
        <v>0</v>
      </c>
      <c r="L76" s="375">
        <f t="shared" si="131"/>
        <v>0</v>
      </c>
      <c r="M76" s="375">
        <f t="shared" si="131"/>
        <v>0</v>
      </c>
      <c r="N76" s="375">
        <f t="shared" si="131"/>
        <v>0</v>
      </c>
      <c r="O76" s="375">
        <f t="shared" si="131"/>
        <v>0</v>
      </c>
      <c r="P76" s="375">
        <f t="shared" si="131"/>
        <v>0</v>
      </c>
      <c r="Q76" s="375">
        <f t="shared" si="131"/>
        <v>0</v>
      </c>
      <c r="R76" s="358"/>
      <c r="S76" s="358"/>
      <c r="T76" s="358"/>
      <c r="U76" s="526"/>
      <c r="V76" s="384" t="e">
        <f t="shared" si="113"/>
        <v>#DIV/0!</v>
      </c>
      <c r="W76" s="384" t="e">
        <f t="shared" si="114"/>
        <v>#DIV/0!</v>
      </c>
      <c r="X76" s="500">
        <f t="shared" ref="X76:AJ76" si="132">SUM(X77:X78)</f>
        <v>0</v>
      </c>
      <c r="Y76" s="347">
        <f t="shared" si="132"/>
        <v>0</v>
      </c>
      <c r="Z76" s="347">
        <f t="shared" si="132"/>
        <v>0</v>
      </c>
      <c r="AA76" s="375">
        <f t="shared" si="132"/>
        <v>0</v>
      </c>
      <c r="AB76" s="375">
        <f t="shared" si="132"/>
        <v>0</v>
      </c>
      <c r="AC76" s="375">
        <f t="shared" si="132"/>
        <v>0</v>
      </c>
      <c r="AD76" s="375">
        <f t="shared" si="132"/>
        <v>0</v>
      </c>
      <c r="AE76" s="375">
        <f t="shared" si="132"/>
        <v>0</v>
      </c>
      <c r="AF76" s="375">
        <f t="shared" si="132"/>
        <v>0</v>
      </c>
      <c r="AG76" s="375">
        <f t="shared" si="132"/>
        <v>0</v>
      </c>
      <c r="AH76" s="375">
        <f t="shared" si="132"/>
        <v>0</v>
      </c>
      <c r="AI76" s="375">
        <f t="shared" si="132"/>
        <v>0</v>
      </c>
      <c r="AJ76" s="375">
        <f t="shared" si="132"/>
        <v>0</v>
      </c>
      <c r="AK76" s="358"/>
      <c r="AL76" s="358"/>
      <c r="AM76" s="358"/>
      <c r="AN76" s="526"/>
      <c r="AO76" s="384" t="e">
        <f t="shared" si="129"/>
        <v>#DIV/0!</v>
      </c>
      <c r="AP76" s="384" t="e">
        <f t="shared" si="130"/>
        <v>#DIV/0!</v>
      </c>
      <c r="AQ76" s="500">
        <f t="shared" ref="AQ76:BC76" si="133">SUM(AQ77:AQ78)</f>
        <v>0</v>
      </c>
      <c r="AR76" s="347">
        <f t="shared" si="133"/>
        <v>0</v>
      </c>
      <c r="AS76" s="347">
        <f t="shared" si="133"/>
        <v>0</v>
      </c>
      <c r="AT76" s="375">
        <f t="shared" si="133"/>
        <v>0</v>
      </c>
      <c r="AU76" s="375">
        <f t="shared" si="133"/>
        <v>0</v>
      </c>
      <c r="AV76" s="375">
        <f t="shared" si="133"/>
        <v>0</v>
      </c>
      <c r="AW76" s="375">
        <f t="shared" si="133"/>
        <v>0</v>
      </c>
      <c r="AX76" s="375">
        <f t="shared" si="133"/>
        <v>0</v>
      </c>
      <c r="AY76" s="375">
        <f t="shared" si="133"/>
        <v>0</v>
      </c>
      <c r="AZ76" s="375">
        <f t="shared" si="133"/>
        <v>0</v>
      </c>
      <c r="BA76" s="375">
        <f t="shared" si="133"/>
        <v>0</v>
      </c>
      <c r="BB76" s="375">
        <f t="shared" si="133"/>
        <v>0</v>
      </c>
      <c r="BC76" s="375">
        <f t="shared" si="133"/>
        <v>0</v>
      </c>
      <c r="BD76" s="358"/>
      <c r="BE76" s="358"/>
      <c r="BF76" s="358"/>
      <c r="BG76" s="526"/>
      <c r="BH76" s="384" t="e">
        <f t="shared" si="19"/>
        <v>#DIV/0!</v>
      </c>
      <c r="BI76" s="384" t="e">
        <f t="shared" si="20"/>
        <v>#DIV/0!</v>
      </c>
    </row>
    <row r="77" spans="1:61" s="359" customFormat="1" x14ac:dyDescent="0.3">
      <c r="A77" s="360" t="s">
        <v>184</v>
      </c>
      <c r="B77" s="342"/>
      <c r="C77" s="349"/>
      <c r="D77" s="361"/>
      <c r="E77" s="506"/>
      <c r="F77" s="344"/>
      <c r="G77" s="362"/>
      <c r="H77" s="377"/>
      <c r="I77" s="376"/>
      <c r="J77" s="376"/>
      <c r="K77" s="376"/>
      <c r="L77" s="376"/>
      <c r="M77" s="376"/>
      <c r="N77" s="376"/>
      <c r="O77" s="376"/>
      <c r="P77" s="376"/>
      <c r="Q77" s="376"/>
      <c r="R77" s="362"/>
      <c r="S77" s="362"/>
      <c r="T77" s="362"/>
      <c r="U77" s="363"/>
      <c r="V77" s="376" t="e">
        <f t="shared" si="113"/>
        <v>#DIV/0!</v>
      </c>
      <c r="W77" s="376" t="e">
        <f t="shared" si="114"/>
        <v>#DIV/0!</v>
      </c>
      <c r="X77" s="506"/>
      <c r="Y77" s="344"/>
      <c r="Z77" s="362"/>
      <c r="AA77" s="377"/>
      <c r="AB77" s="376"/>
      <c r="AC77" s="376"/>
      <c r="AD77" s="376"/>
      <c r="AE77" s="376"/>
      <c r="AF77" s="376"/>
      <c r="AG77" s="376"/>
      <c r="AH77" s="376"/>
      <c r="AI77" s="376"/>
      <c r="AJ77" s="376"/>
      <c r="AK77" s="362"/>
      <c r="AL77" s="362"/>
      <c r="AM77" s="362"/>
      <c r="AN77" s="363"/>
      <c r="AO77" s="376" t="e">
        <f t="shared" si="129"/>
        <v>#DIV/0!</v>
      </c>
      <c r="AP77" s="376" t="e">
        <f t="shared" si="130"/>
        <v>#DIV/0!</v>
      </c>
      <c r="AQ77" s="506"/>
      <c r="AR77" s="344"/>
      <c r="AS77" s="362"/>
      <c r="AT77" s="377"/>
      <c r="AU77" s="376"/>
      <c r="AV77" s="376"/>
      <c r="AW77" s="376"/>
      <c r="AX77" s="376"/>
      <c r="AY77" s="376"/>
      <c r="AZ77" s="376"/>
      <c r="BA77" s="376"/>
      <c r="BB77" s="376"/>
      <c r="BC77" s="376"/>
      <c r="BD77" s="362"/>
      <c r="BE77" s="362"/>
      <c r="BF77" s="362"/>
      <c r="BG77" s="363"/>
      <c r="BH77" s="376" t="e">
        <f t="shared" si="19"/>
        <v>#DIV/0!</v>
      </c>
      <c r="BI77" s="376" t="e">
        <f t="shared" si="20"/>
        <v>#DIV/0!</v>
      </c>
    </row>
    <row r="78" spans="1:61" s="359" customFormat="1" x14ac:dyDescent="0.3">
      <c r="A78" s="360"/>
      <c r="B78" s="342"/>
      <c r="C78" s="343"/>
      <c r="D78" s="361"/>
      <c r="E78" s="354"/>
      <c r="F78" s="346"/>
      <c r="G78" s="362"/>
      <c r="H78" s="378"/>
      <c r="I78" s="376"/>
      <c r="J78" s="376"/>
      <c r="K78" s="376"/>
      <c r="L78" s="376"/>
      <c r="M78" s="376"/>
      <c r="N78" s="376"/>
      <c r="O78" s="376"/>
      <c r="P78" s="376"/>
      <c r="Q78" s="376"/>
      <c r="R78" s="362"/>
      <c r="S78" s="362"/>
      <c r="T78" s="362"/>
      <c r="U78" s="363"/>
      <c r="V78" s="376" t="e">
        <f t="shared" si="113"/>
        <v>#DIV/0!</v>
      </c>
      <c r="W78" s="376" t="e">
        <f t="shared" si="114"/>
        <v>#DIV/0!</v>
      </c>
      <c r="X78" s="354"/>
      <c r="Y78" s="346"/>
      <c r="Z78" s="362"/>
      <c r="AA78" s="378"/>
      <c r="AB78" s="376"/>
      <c r="AC78" s="376"/>
      <c r="AD78" s="376"/>
      <c r="AE78" s="376"/>
      <c r="AF78" s="376"/>
      <c r="AG78" s="376"/>
      <c r="AH78" s="376"/>
      <c r="AI78" s="376"/>
      <c r="AJ78" s="376"/>
      <c r="AK78" s="362"/>
      <c r="AL78" s="362"/>
      <c r="AM78" s="362"/>
      <c r="AN78" s="363"/>
      <c r="AO78" s="376" t="e">
        <f t="shared" si="129"/>
        <v>#DIV/0!</v>
      </c>
      <c r="AP78" s="376" t="e">
        <f t="shared" si="130"/>
        <v>#DIV/0!</v>
      </c>
      <c r="AQ78" s="354"/>
      <c r="AR78" s="346"/>
      <c r="AS78" s="362"/>
      <c r="AT78" s="378"/>
      <c r="AU78" s="376"/>
      <c r="AV78" s="376"/>
      <c r="AW78" s="376"/>
      <c r="AX78" s="376"/>
      <c r="AY78" s="376"/>
      <c r="AZ78" s="376"/>
      <c r="BA78" s="376"/>
      <c r="BB78" s="376"/>
      <c r="BC78" s="376"/>
      <c r="BD78" s="362"/>
      <c r="BE78" s="362"/>
      <c r="BF78" s="362"/>
      <c r="BG78" s="363"/>
      <c r="BH78" s="376" t="e">
        <f t="shared" ref="BH78" si="134">AT78/AQ78*1000</f>
        <v>#DIV/0!</v>
      </c>
      <c r="BI78" s="376" t="e">
        <f t="shared" ref="BI78:BI98" si="135">AT78/AR78</f>
        <v>#DIV/0!</v>
      </c>
    </row>
    <row r="79" spans="1:61" s="359" customFormat="1" ht="82.8" x14ac:dyDescent="0.3">
      <c r="A79" s="470" t="s">
        <v>211</v>
      </c>
      <c r="B79" s="478" t="s">
        <v>226</v>
      </c>
      <c r="C79" s="478"/>
      <c r="D79" s="473"/>
      <c r="E79" s="507">
        <f>E80</f>
        <v>0</v>
      </c>
      <c r="F79" s="479">
        <f t="shared" ref="F79:Q79" si="136">F80</f>
        <v>0</v>
      </c>
      <c r="G79" s="479">
        <f t="shared" si="136"/>
        <v>0</v>
      </c>
      <c r="H79" s="480">
        <f t="shared" si="136"/>
        <v>0</v>
      </c>
      <c r="I79" s="480">
        <f t="shared" si="136"/>
        <v>0</v>
      </c>
      <c r="J79" s="480">
        <f t="shared" si="136"/>
        <v>0</v>
      </c>
      <c r="K79" s="480">
        <f t="shared" si="136"/>
        <v>0</v>
      </c>
      <c r="L79" s="480">
        <f t="shared" si="136"/>
        <v>0</v>
      </c>
      <c r="M79" s="480">
        <f t="shared" si="136"/>
        <v>0</v>
      </c>
      <c r="N79" s="480">
        <f t="shared" si="136"/>
        <v>0</v>
      </c>
      <c r="O79" s="480">
        <f t="shared" si="136"/>
        <v>0</v>
      </c>
      <c r="P79" s="480">
        <f t="shared" si="136"/>
        <v>0</v>
      </c>
      <c r="Q79" s="480">
        <f t="shared" si="136"/>
        <v>0</v>
      </c>
      <c r="R79" s="481"/>
      <c r="S79" s="481"/>
      <c r="T79" s="481"/>
      <c r="U79" s="528"/>
      <c r="V79" s="482"/>
      <c r="W79" s="482" t="e">
        <f t="shared" si="114"/>
        <v>#DIV/0!</v>
      </c>
      <c r="X79" s="507">
        <f>X80</f>
        <v>20</v>
      </c>
      <c r="Y79" s="479">
        <f t="shared" ref="Y79:AJ79" si="137">Y80</f>
        <v>55</v>
      </c>
      <c r="Z79" s="479">
        <f t="shared" si="137"/>
        <v>55</v>
      </c>
      <c r="AA79" s="480">
        <f t="shared" si="137"/>
        <v>527.09239000000002</v>
      </c>
      <c r="AB79" s="480">
        <f t="shared" si="137"/>
        <v>322.37157999999999</v>
      </c>
      <c r="AC79" s="480">
        <f t="shared" si="137"/>
        <v>220.33897999999999</v>
      </c>
      <c r="AD79" s="480">
        <f t="shared" si="137"/>
        <v>1.3983000000000001</v>
      </c>
      <c r="AE79" s="480">
        <f t="shared" si="137"/>
        <v>36.58999</v>
      </c>
      <c r="AF79" s="480">
        <f t="shared" si="137"/>
        <v>0</v>
      </c>
      <c r="AG79" s="480">
        <f t="shared" si="137"/>
        <v>0</v>
      </c>
      <c r="AH79" s="480">
        <f t="shared" si="137"/>
        <v>40.750239999999998</v>
      </c>
      <c r="AI79" s="480">
        <f t="shared" si="137"/>
        <v>220.33897999999999</v>
      </c>
      <c r="AJ79" s="480">
        <f t="shared" si="137"/>
        <v>1.3983000000000001</v>
      </c>
      <c r="AK79" s="481"/>
      <c r="AL79" s="481"/>
      <c r="AM79" s="481"/>
      <c r="AN79" s="528"/>
      <c r="AO79" s="482"/>
      <c r="AP79" s="482">
        <f t="shared" si="130"/>
        <v>9.5834980000000005</v>
      </c>
      <c r="AQ79" s="507">
        <f>AQ80</f>
        <v>0</v>
      </c>
      <c r="AR79" s="479">
        <f t="shared" ref="AR79:BC79" si="138">AR80</f>
        <v>0</v>
      </c>
      <c r="AS79" s="479">
        <f t="shared" si="138"/>
        <v>0</v>
      </c>
      <c r="AT79" s="480">
        <f t="shared" si="138"/>
        <v>0</v>
      </c>
      <c r="AU79" s="480">
        <f t="shared" si="138"/>
        <v>0</v>
      </c>
      <c r="AV79" s="480">
        <f t="shared" si="138"/>
        <v>0</v>
      </c>
      <c r="AW79" s="480">
        <f t="shared" si="138"/>
        <v>0</v>
      </c>
      <c r="AX79" s="480">
        <f t="shared" si="138"/>
        <v>0</v>
      </c>
      <c r="AY79" s="480">
        <f t="shared" si="138"/>
        <v>0</v>
      </c>
      <c r="AZ79" s="480">
        <f t="shared" si="138"/>
        <v>0</v>
      </c>
      <c r="BA79" s="480">
        <f t="shared" si="138"/>
        <v>0</v>
      </c>
      <c r="BB79" s="480">
        <f t="shared" si="138"/>
        <v>0</v>
      </c>
      <c r="BC79" s="480">
        <f t="shared" si="138"/>
        <v>0</v>
      </c>
      <c r="BD79" s="481"/>
      <c r="BE79" s="481"/>
      <c r="BF79" s="481"/>
      <c r="BG79" s="528"/>
      <c r="BH79" s="482"/>
      <c r="BI79" s="482" t="e">
        <f t="shared" si="135"/>
        <v>#DIV/0!</v>
      </c>
    </row>
    <row r="80" spans="1:61" s="359" customFormat="1" ht="24.75" customHeight="1" x14ac:dyDescent="0.3">
      <c r="A80" s="355" t="s">
        <v>179</v>
      </c>
      <c r="B80" s="356" t="s">
        <v>590</v>
      </c>
      <c r="C80" s="356"/>
      <c r="D80" s="357">
        <v>6</v>
      </c>
      <c r="E80" s="500">
        <f t="shared" ref="E80:Q80" si="139">SUM(E81:E83)</f>
        <v>0</v>
      </c>
      <c r="F80" s="347">
        <f t="shared" si="139"/>
        <v>0</v>
      </c>
      <c r="G80" s="347">
        <f t="shared" si="139"/>
        <v>0</v>
      </c>
      <c r="H80" s="375">
        <f t="shared" si="139"/>
        <v>0</v>
      </c>
      <c r="I80" s="375">
        <f t="shared" si="139"/>
        <v>0</v>
      </c>
      <c r="J80" s="375">
        <f t="shared" si="139"/>
        <v>0</v>
      </c>
      <c r="K80" s="375">
        <f t="shared" si="139"/>
        <v>0</v>
      </c>
      <c r="L80" s="375">
        <f t="shared" si="139"/>
        <v>0</v>
      </c>
      <c r="M80" s="375">
        <f t="shared" si="139"/>
        <v>0</v>
      </c>
      <c r="N80" s="375">
        <f t="shared" si="139"/>
        <v>0</v>
      </c>
      <c r="O80" s="375">
        <f t="shared" si="139"/>
        <v>0</v>
      </c>
      <c r="P80" s="375">
        <f t="shared" si="139"/>
        <v>0</v>
      </c>
      <c r="Q80" s="375">
        <f t="shared" si="139"/>
        <v>0</v>
      </c>
      <c r="R80" s="358"/>
      <c r="S80" s="358"/>
      <c r="T80" s="358"/>
      <c r="U80" s="526"/>
      <c r="V80" s="384"/>
      <c r="W80" s="384" t="e">
        <f t="shared" si="114"/>
        <v>#DIV/0!</v>
      </c>
      <c r="X80" s="500">
        <f t="shared" ref="X80:AJ80" si="140">SUM(X81:X83)</f>
        <v>20</v>
      </c>
      <c r="Y80" s="347">
        <f t="shared" si="140"/>
        <v>55</v>
      </c>
      <c r="Z80" s="347">
        <f t="shared" si="140"/>
        <v>55</v>
      </c>
      <c r="AA80" s="375">
        <f t="shared" si="140"/>
        <v>527.09239000000002</v>
      </c>
      <c r="AB80" s="375">
        <f t="shared" si="140"/>
        <v>322.37157999999999</v>
      </c>
      <c r="AC80" s="375">
        <f t="shared" si="140"/>
        <v>220.33897999999999</v>
      </c>
      <c r="AD80" s="375">
        <f t="shared" si="140"/>
        <v>1.3983000000000001</v>
      </c>
      <c r="AE80" s="375">
        <f t="shared" si="140"/>
        <v>36.58999</v>
      </c>
      <c r="AF80" s="375">
        <f t="shared" si="140"/>
        <v>0</v>
      </c>
      <c r="AG80" s="375">
        <f t="shared" si="140"/>
        <v>0</v>
      </c>
      <c r="AH80" s="375">
        <f t="shared" si="140"/>
        <v>40.750239999999998</v>
      </c>
      <c r="AI80" s="375">
        <f t="shared" si="140"/>
        <v>220.33897999999999</v>
      </c>
      <c r="AJ80" s="375">
        <f t="shared" si="140"/>
        <v>1.3983000000000001</v>
      </c>
      <c r="AK80" s="358"/>
      <c r="AL80" s="358"/>
      <c r="AM80" s="358"/>
      <c r="AN80" s="526"/>
      <c r="AO80" s="384"/>
      <c r="AP80" s="384">
        <f t="shared" si="130"/>
        <v>9.5834980000000005</v>
      </c>
      <c r="AQ80" s="500">
        <f t="shared" ref="AQ80:BC80" si="141">SUM(AQ81:AQ83)</f>
        <v>0</v>
      </c>
      <c r="AR80" s="347">
        <f t="shared" si="141"/>
        <v>0</v>
      </c>
      <c r="AS80" s="347">
        <f t="shared" si="141"/>
        <v>0</v>
      </c>
      <c r="AT80" s="375">
        <f t="shared" si="141"/>
        <v>0</v>
      </c>
      <c r="AU80" s="375">
        <f t="shared" si="141"/>
        <v>0</v>
      </c>
      <c r="AV80" s="375">
        <f t="shared" si="141"/>
        <v>0</v>
      </c>
      <c r="AW80" s="375">
        <f t="shared" si="141"/>
        <v>0</v>
      </c>
      <c r="AX80" s="375">
        <f t="shared" si="141"/>
        <v>0</v>
      </c>
      <c r="AY80" s="375">
        <f t="shared" si="141"/>
        <v>0</v>
      </c>
      <c r="AZ80" s="375">
        <f t="shared" si="141"/>
        <v>0</v>
      </c>
      <c r="BA80" s="375">
        <f t="shared" si="141"/>
        <v>0</v>
      </c>
      <c r="BB80" s="375">
        <f t="shared" si="141"/>
        <v>0</v>
      </c>
      <c r="BC80" s="375">
        <f t="shared" si="141"/>
        <v>0</v>
      </c>
      <c r="BD80" s="358"/>
      <c r="BE80" s="358"/>
      <c r="BF80" s="358"/>
      <c r="BG80" s="526"/>
      <c r="BH80" s="384"/>
      <c r="BI80" s="384" t="e">
        <f t="shared" si="135"/>
        <v>#DIV/0!</v>
      </c>
    </row>
    <row r="81" spans="1:61" s="359" customFormat="1" ht="19.2" x14ac:dyDescent="0.3">
      <c r="A81" s="360" t="s">
        <v>179</v>
      </c>
      <c r="B81" s="543" t="s">
        <v>589</v>
      </c>
      <c r="C81" s="530" t="s">
        <v>588</v>
      </c>
      <c r="D81" s="361">
        <v>6</v>
      </c>
      <c r="E81" s="368"/>
      <c r="F81" s="341"/>
      <c r="G81" s="341"/>
      <c r="H81" s="381"/>
      <c r="I81" s="376"/>
      <c r="J81" s="376"/>
      <c r="K81" s="376"/>
      <c r="L81" s="376"/>
      <c r="M81" s="376"/>
      <c r="N81" s="376"/>
      <c r="O81" s="376"/>
      <c r="P81" s="376"/>
      <c r="Q81" s="376"/>
      <c r="R81" s="362"/>
      <c r="S81" s="362"/>
      <c r="T81" s="362"/>
      <c r="U81" s="363"/>
      <c r="V81" s="376" t="e">
        <f t="shared" ref="V81" si="142">H81/E81*1000</f>
        <v>#DIV/0!</v>
      </c>
      <c r="W81" s="376" t="e">
        <f t="shared" si="114"/>
        <v>#DIV/0!</v>
      </c>
      <c r="X81" s="368">
        <v>20</v>
      </c>
      <c r="Y81" s="572">
        <v>55</v>
      </c>
      <c r="Z81" s="572">
        <v>55</v>
      </c>
      <c r="AA81" s="571">
        <v>527.09239000000002</v>
      </c>
      <c r="AB81" s="376">
        <v>322.37157999999999</v>
      </c>
      <c r="AC81" s="376">
        <v>220.33897999999999</v>
      </c>
      <c r="AD81" s="376">
        <v>1.3983000000000001</v>
      </c>
      <c r="AE81" s="376">
        <v>36.58999</v>
      </c>
      <c r="AF81" s="376">
        <v>0</v>
      </c>
      <c r="AG81" s="376">
        <v>0</v>
      </c>
      <c r="AH81" s="376">
        <v>40.750239999999998</v>
      </c>
      <c r="AI81" s="376">
        <v>220.33897999999999</v>
      </c>
      <c r="AJ81" s="376">
        <v>1.3983000000000001</v>
      </c>
      <c r="AK81" s="385" t="s">
        <v>167</v>
      </c>
      <c r="AL81" s="439" t="s">
        <v>175</v>
      </c>
      <c r="AM81" s="362"/>
      <c r="AN81" s="363"/>
      <c r="AO81" s="376">
        <f t="shared" ref="AO81" si="143">AA81/X81*1000</f>
        <v>26354.619500000001</v>
      </c>
      <c r="AP81" s="376">
        <f t="shared" si="130"/>
        <v>9.5834980000000005</v>
      </c>
      <c r="AQ81" s="368"/>
      <c r="AR81" s="572"/>
      <c r="AS81" s="572"/>
      <c r="AT81" s="571"/>
      <c r="AU81" s="376"/>
      <c r="AV81" s="376"/>
      <c r="AW81" s="376"/>
      <c r="AX81" s="376"/>
      <c r="AY81" s="376"/>
      <c r="AZ81" s="376"/>
      <c r="BA81" s="376"/>
      <c r="BB81" s="376"/>
      <c r="BC81" s="376"/>
      <c r="BD81" s="385"/>
      <c r="BE81" s="439"/>
      <c r="BF81" s="362"/>
      <c r="BG81" s="363"/>
      <c r="BH81" s="376" t="e">
        <f t="shared" ref="BH81" si="144">AT81/AQ81*1000</f>
        <v>#DIV/0!</v>
      </c>
      <c r="BI81" s="376" t="e">
        <f t="shared" si="135"/>
        <v>#DIV/0!</v>
      </c>
    </row>
    <row r="82" spans="1:61" s="359" customFormat="1" x14ac:dyDescent="0.3">
      <c r="A82" s="360"/>
      <c r="B82" s="382"/>
      <c r="C82" s="530"/>
      <c r="D82" s="361">
        <v>6</v>
      </c>
      <c r="E82" s="368"/>
      <c r="F82" s="341"/>
      <c r="G82" s="341"/>
      <c r="H82" s="381"/>
      <c r="I82" s="376"/>
      <c r="J82" s="376"/>
      <c r="K82" s="376"/>
      <c r="L82" s="376"/>
      <c r="M82" s="376"/>
      <c r="N82" s="376"/>
      <c r="O82" s="376"/>
      <c r="P82" s="376"/>
      <c r="Q82" s="376"/>
      <c r="R82" s="362"/>
      <c r="S82" s="362"/>
      <c r="T82" s="362"/>
      <c r="U82" s="363"/>
      <c r="V82" s="376"/>
      <c r="W82" s="376"/>
      <c r="X82" s="368"/>
      <c r="Y82" s="572"/>
      <c r="Z82" s="572"/>
      <c r="AA82" s="381"/>
      <c r="AB82" s="376"/>
      <c r="AC82" s="376"/>
      <c r="AD82" s="376"/>
      <c r="AE82" s="376"/>
      <c r="AF82" s="376"/>
      <c r="AG82" s="376"/>
      <c r="AH82" s="376"/>
      <c r="AI82" s="376"/>
      <c r="AJ82" s="376"/>
      <c r="AK82" s="385"/>
      <c r="AL82" s="439"/>
      <c r="AM82" s="362"/>
      <c r="AN82" s="363"/>
      <c r="AO82" s="376"/>
      <c r="AP82" s="376"/>
      <c r="AQ82" s="368"/>
      <c r="AR82" s="572"/>
      <c r="AS82" s="572"/>
      <c r="AT82" s="381"/>
      <c r="AU82" s="376"/>
      <c r="AV82" s="376"/>
      <c r="AW82" s="376"/>
      <c r="AX82" s="376"/>
      <c r="AY82" s="376"/>
      <c r="AZ82" s="376"/>
      <c r="BA82" s="376"/>
      <c r="BB82" s="376"/>
      <c r="BC82" s="376"/>
      <c r="BD82" s="385"/>
      <c r="BE82" s="439"/>
      <c r="BF82" s="362"/>
      <c r="BG82" s="363"/>
      <c r="BH82" s="376"/>
      <c r="BI82" s="376" t="e">
        <f t="shared" si="135"/>
        <v>#DIV/0!</v>
      </c>
    </row>
    <row r="83" spans="1:61" s="359" customFormat="1" x14ac:dyDescent="0.3">
      <c r="A83" s="360"/>
      <c r="B83" s="342"/>
      <c r="C83" s="343"/>
      <c r="D83" s="361"/>
      <c r="E83" s="503"/>
      <c r="F83" s="346"/>
      <c r="G83" s="362"/>
      <c r="H83" s="376"/>
      <c r="I83" s="376"/>
      <c r="J83" s="376"/>
      <c r="K83" s="376"/>
      <c r="L83" s="376"/>
      <c r="M83" s="376"/>
      <c r="N83" s="376"/>
      <c r="O83" s="376"/>
      <c r="P83" s="376"/>
      <c r="Q83" s="376"/>
      <c r="R83" s="362"/>
      <c r="S83" s="362"/>
      <c r="T83" s="362"/>
      <c r="U83" s="363"/>
      <c r="V83" s="376"/>
      <c r="W83" s="376" t="e">
        <f t="shared" si="114"/>
        <v>#DIV/0!</v>
      </c>
      <c r="X83" s="503"/>
      <c r="Y83" s="346"/>
      <c r="Z83" s="362"/>
      <c r="AA83" s="376"/>
      <c r="AB83" s="376"/>
      <c r="AC83" s="376"/>
      <c r="AD83" s="376"/>
      <c r="AE83" s="376"/>
      <c r="AF83" s="376"/>
      <c r="AG83" s="376"/>
      <c r="AH83" s="376"/>
      <c r="AI83" s="376"/>
      <c r="AJ83" s="376"/>
      <c r="AK83" s="362"/>
      <c r="AL83" s="362"/>
      <c r="AM83" s="362"/>
      <c r="AN83" s="363"/>
      <c r="AO83" s="376"/>
      <c r="AP83" s="376" t="e">
        <f t="shared" si="130"/>
        <v>#DIV/0!</v>
      </c>
      <c r="AQ83" s="503"/>
      <c r="AR83" s="346"/>
      <c r="AS83" s="362"/>
      <c r="AT83" s="376"/>
      <c r="AU83" s="376"/>
      <c r="AV83" s="376"/>
      <c r="AW83" s="376"/>
      <c r="AX83" s="376"/>
      <c r="AY83" s="376"/>
      <c r="AZ83" s="376"/>
      <c r="BA83" s="376"/>
      <c r="BB83" s="376"/>
      <c r="BC83" s="376"/>
      <c r="BD83" s="362"/>
      <c r="BE83" s="362"/>
      <c r="BF83" s="362"/>
      <c r="BG83" s="363"/>
      <c r="BH83" s="376"/>
      <c r="BI83" s="376" t="e">
        <f t="shared" si="135"/>
        <v>#DIV/0!</v>
      </c>
    </row>
    <row r="84" spans="1:61" s="359" customFormat="1" ht="115.2" customHeight="1" x14ac:dyDescent="0.3">
      <c r="A84" s="470" t="s">
        <v>224</v>
      </c>
      <c r="B84" s="478" t="s">
        <v>227</v>
      </c>
      <c r="C84" s="478"/>
      <c r="D84" s="473"/>
      <c r="E84" s="507">
        <f t="shared" ref="E84:Q84" si="145">E85+E88+E91+E94</f>
        <v>0</v>
      </c>
      <c r="F84" s="479">
        <f t="shared" si="145"/>
        <v>0</v>
      </c>
      <c r="G84" s="479">
        <f t="shared" si="145"/>
        <v>0</v>
      </c>
      <c r="H84" s="480">
        <f t="shared" si="145"/>
        <v>0</v>
      </c>
      <c r="I84" s="480">
        <f t="shared" si="145"/>
        <v>0</v>
      </c>
      <c r="J84" s="480">
        <f t="shared" si="145"/>
        <v>0</v>
      </c>
      <c r="K84" s="480">
        <f t="shared" si="145"/>
        <v>0</v>
      </c>
      <c r="L84" s="480">
        <f t="shared" si="145"/>
        <v>0</v>
      </c>
      <c r="M84" s="480">
        <f t="shared" si="145"/>
        <v>0</v>
      </c>
      <c r="N84" s="480">
        <f t="shared" si="145"/>
        <v>0</v>
      </c>
      <c r="O84" s="480">
        <f t="shared" si="145"/>
        <v>0</v>
      </c>
      <c r="P84" s="480">
        <f t="shared" si="145"/>
        <v>0</v>
      </c>
      <c r="Q84" s="480">
        <f t="shared" si="145"/>
        <v>0</v>
      </c>
      <c r="R84" s="481"/>
      <c r="S84" s="481"/>
      <c r="T84" s="481"/>
      <c r="U84" s="528"/>
      <c r="V84" s="482"/>
      <c r="W84" s="482" t="e">
        <f t="shared" si="114"/>
        <v>#DIV/0!</v>
      </c>
      <c r="X84" s="507">
        <f t="shared" ref="X84:AJ84" si="146">X85+X88+X91+X94</f>
        <v>0</v>
      </c>
      <c r="Y84" s="479">
        <f t="shared" si="146"/>
        <v>0</v>
      </c>
      <c r="Z84" s="479">
        <f t="shared" si="146"/>
        <v>0</v>
      </c>
      <c r="AA84" s="480">
        <f t="shared" si="146"/>
        <v>0</v>
      </c>
      <c r="AB84" s="480">
        <f t="shared" si="146"/>
        <v>0</v>
      </c>
      <c r="AC84" s="480">
        <f t="shared" si="146"/>
        <v>0</v>
      </c>
      <c r="AD84" s="480">
        <f t="shared" si="146"/>
        <v>0</v>
      </c>
      <c r="AE84" s="480">
        <f t="shared" si="146"/>
        <v>0</v>
      </c>
      <c r="AF84" s="480">
        <f t="shared" si="146"/>
        <v>0</v>
      </c>
      <c r="AG84" s="480">
        <f t="shared" si="146"/>
        <v>0</v>
      </c>
      <c r="AH84" s="480">
        <f t="shared" si="146"/>
        <v>0</v>
      </c>
      <c r="AI84" s="480">
        <f t="shared" si="146"/>
        <v>0</v>
      </c>
      <c r="AJ84" s="480">
        <f t="shared" si="146"/>
        <v>0</v>
      </c>
      <c r="AK84" s="481"/>
      <c r="AL84" s="481"/>
      <c r="AM84" s="481"/>
      <c r="AN84" s="528"/>
      <c r="AO84" s="482"/>
      <c r="AP84" s="482" t="e">
        <f t="shared" si="130"/>
        <v>#DIV/0!</v>
      </c>
      <c r="AQ84" s="507">
        <f t="shared" ref="AQ84:BC84" si="147">AQ85+AQ88+AQ91+AQ94</f>
        <v>0</v>
      </c>
      <c r="AR84" s="479">
        <f t="shared" si="147"/>
        <v>0</v>
      </c>
      <c r="AS84" s="479">
        <f t="shared" si="147"/>
        <v>0</v>
      </c>
      <c r="AT84" s="480">
        <f t="shared" si="147"/>
        <v>0</v>
      </c>
      <c r="AU84" s="480">
        <f t="shared" si="147"/>
        <v>0</v>
      </c>
      <c r="AV84" s="480">
        <f t="shared" si="147"/>
        <v>0</v>
      </c>
      <c r="AW84" s="480">
        <f t="shared" si="147"/>
        <v>0</v>
      </c>
      <c r="AX84" s="480">
        <f t="shared" si="147"/>
        <v>0</v>
      </c>
      <c r="AY84" s="480">
        <f t="shared" si="147"/>
        <v>0</v>
      </c>
      <c r="AZ84" s="480">
        <f t="shared" si="147"/>
        <v>0</v>
      </c>
      <c r="BA84" s="480">
        <f t="shared" si="147"/>
        <v>0</v>
      </c>
      <c r="BB84" s="480">
        <f t="shared" si="147"/>
        <v>0</v>
      </c>
      <c r="BC84" s="480">
        <f t="shared" si="147"/>
        <v>0</v>
      </c>
      <c r="BD84" s="481"/>
      <c r="BE84" s="481"/>
      <c r="BF84" s="481"/>
      <c r="BG84" s="528"/>
      <c r="BH84" s="482"/>
      <c r="BI84" s="482" t="e">
        <f t="shared" si="135"/>
        <v>#DIV/0!</v>
      </c>
    </row>
    <row r="85" spans="1:61" s="359" customFormat="1" ht="24.75" customHeight="1" x14ac:dyDescent="0.3">
      <c r="A85" s="355" t="s">
        <v>179</v>
      </c>
      <c r="B85" s="356" t="s">
        <v>228</v>
      </c>
      <c r="C85" s="356"/>
      <c r="D85" s="357">
        <v>6</v>
      </c>
      <c r="E85" s="500">
        <f t="shared" ref="E85:Q85" si="148">SUM(E86:E87)</f>
        <v>0</v>
      </c>
      <c r="F85" s="347">
        <f t="shared" si="148"/>
        <v>0</v>
      </c>
      <c r="G85" s="347">
        <f t="shared" si="148"/>
        <v>0</v>
      </c>
      <c r="H85" s="375">
        <f t="shared" si="148"/>
        <v>0</v>
      </c>
      <c r="I85" s="375">
        <f t="shared" si="148"/>
        <v>0</v>
      </c>
      <c r="J85" s="375">
        <f t="shared" si="148"/>
        <v>0</v>
      </c>
      <c r="K85" s="375">
        <f t="shared" si="148"/>
        <v>0</v>
      </c>
      <c r="L85" s="375">
        <f t="shared" si="148"/>
        <v>0</v>
      </c>
      <c r="M85" s="375">
        <f t="shared" si="148"/>
        <v>0</v>
      </c>
      <c r="N85" s="375">
        <f t="shared" si="148"/>
        <v>0</v>
      </c>
      <c r="O85" s="375">
        <f t="shared" si="148"/>
        <v>0</v>
      </c>
      <c r="P85" s="375">
        <f t="shared" si="148"/>
        <v>0</v>
      </c>
      <c r="Q85" s="375">
        <f t="shared" si="148"/>
        <v>0</v>
      </c>
      <c r="R85" s="358"/>
      <c r="S85" s="358"/>
      <c r="T85" s="358"/>
      <c r="U85" s="526"/>
      <c r="V85" s="384"/>
      <c r="W85" s="384" t="e">
        <f t="shared" si="114"/>
        <v>#DIV/0!</v>
      </c>
      <c r="X85" s="500">
        <f t="shared" ref="X85:AJ85" si="149">SUM(X86:X87)</f>
        <v>0</v>
      </c>
      <c r="Y85" s="347">
        <f t="shared" si="149"/>
        <v>0</v>
      </c>
      <c r="Z85" s="347">
        <f t="shared" si="149"/>
        <v>0</v>
      </c>
      <c r="AA85" s="375">
        <f t="shared" si="149"/>
        <v>0</v>
      </c>
      <c r="AB85" s="375">
        <f t="shared" si="149"/>
        <v>0</v>
      </c>
      <c r="AC85" s="375">
        <f t="shared" si="149"/>
        <v>0</v>
      </c>
      <c r="AD85" s="375">
        <f t="shared" si="149"/>
        <v>0</v>
      </c>
      <c r="AE85" s="375">
        <f t="shared" si="149"/>
        <v>0</v>
      </c>
      <c r="AF85" s="375">
        <f t="shared" si="149"/>
        <v>0</v>
      </c>
      <c r="AG85" s="375">
        <f t="shared" si="149"/>
        <v>0</v>
      </c>
      <c r="AH85" s="375">
        <f t="shared" si="149"/>
        <v>0</v>
      </c>
      <c r="AI85" s="375">
        <f t="shared" si="149"/>
        <v>0</v>
      </c>
      <c r="AJ85" s="375">
        <f t="shared" si="149"/>
        <v>0</v>
      </c>
      <c r="AK85" s="358"/>
      <c r="AL85" s="358"/>
      <c r="AM85" s="358"/>
      <c r="AN85" s="526"/>
      <c r="AO85" s="384"/>
      <c r="AP85" s="384" t="e">
        <f t="shared" si="130"/>
        <v>#DIV/0!</v>
      </c>
      <c r="AQ85" s="500">
        <f t="shared" ref="AQ85:BC85" si="150">SUM(AQ86:AQ87)</f>
        <v>0</v>
      </c>
      <c r="AR85" s="347">
        <f t="shared" si="150"/>
        <v>0</v>
      </c>
      <c r="AS85" s="347">
        <f t="shared" si="150"/>
        <v>0</v>
      </c>
      <c r="AT85" s="375">
        <f t="shared" si="150"/>
        <v>0</v>
      </c>
      <c r="AU85" s="375">
        <f t="shared" si="150"/>
        <v>0</v>
      </c>
      <c r="AV85" s="375">
        <f t="shared" si="150"/>
        <v>0</v>
      </c>
      <c r="AW85" s="375">
        <f t="shared" si="150"/>
        <v>0</v>
      </c>
      <c r="AX85" s="375">
        <f t="shared" si="150"/>
        <v>0</v>
      </c>
      <c r="AY85" s="375">
        <f t="shared" si="150"/>
        <v>0</v>
      </c>
      <c r="AZ85" s="375">
        <f t="shared" si="150"/>
        <v>0</v>
      </c>
      <c r="BA85" s="375">
        <f t="shared" si="150"/>
        <v>0</v>
      </c>
      <c r="BB85" s="375">
        <f t="shared" si="150"/>
        <v>0</v>
      </c>
      <c r="BC85" s="375">
        <f t="shared" si="150"/>
        <v>0</v>
      </c>
      <c r="BD85" s="358"/>
      <c r="BE85" s="358"/>
      <c r="BF85" s="358"/>
      <c r="BG85" s="526"/>
      <c r="BH85" s="384"/>
      <c r="BI85" s="384" t="e">
        <f t="shared" si="135"/>
        <v>#DIV/0!</v>
      </c>
    </row>
    <row r="86" spans="1:61" s="359" customFormat="1" x14ac:dyDescent="0.3">
      <c r="A86" s="360" t="s">
        <v>143</v>
      </c>
      <c r="B86" s="366"/>
      <c r="C86" s="343"/>
      <c r="D86" s="361"/>
      <c r="E86" s="508"/>
      <c r="F86" s="365"/>
      <c r="G86" s="365"/>
      <c r="H86" s="376"/>
      <c r="I86" s="376"/>
      <c r="J86" s="376"/>
      <c r="K86" s="376"/>
      <c r="L86" s="376"/>
      <c r="M86" s="376"/>
      <c r="N86" s="376"/>
      <c r="O86" s="376"/>
      <c r="P86" s="376"/>
      <c r="Q86" s="376"/>
      <c r="R86" s="362"/>
      <c r="S86" s="362"/>
      <c r="T86" s="362"/>
      <c r="U86" s="363"/>
      <c r="V86" s="376"/>
      <c r="W86" s="376" t="e">
        <f t="shared" si="114"/>
        <v>#DIV/0!</v>
      </c>
      <c r="X86" s="508"/>
      <c r="Y86" s="365"/>
      <c r="Z86" s="365"/>
      <c r="AA86" s="376"/>
      <c r="AB86" s="376"/>
      <c r="AC86" s="376"/>
      <c r="AD86" s="376"/>
      <c r="AE86" s="376"/>
      <c r="AF86" s="376"/>
      <c r="AG86" s="376"/>
      <c r="AH86" s="376"/>
      <c r="AI86" s="376"/>
      <c r="AJ86" s="376"/>
      <c r="AK86" s="362"/>
      <c r="AL86" s="362"/>
      <c r="AM86" s="362"/>
      <c r="AN86" s="363"/>
      <c r="AO86" s="376"/>
      <c r="AP86" s="376" t="e">
        <f t="shared" si="130"/>
        <v>#DIV/0!</v>
      </c>
      <c r="AQ86" s="508"/>
      <c r="AR86" s="365"/>
      <c r="AS86" s="365"/>
      <c r="AT86" s="376"/>
      <c r="AU86" s="376"/>
      <c r="AV86" s="376"/>
      <c r="AW86" s="376"/>
      <c r="AX86" s="376"/>
      <c r="AY86" s="376"/>
      <c r="AZ86" s="376"/>
      <c r="BA86" s="376"/>
      <c r="BB86" s="376"/>
      <c r="BC86" s="376"/>
      <c r="BD86" s="362"/>
      <c r="BE86" s="362"/>
      <c r="BF86" s="362"/>
      <c r="BG86" s="363"/>
      <c r="BH86" s="376"/>
      <c r="BI86" s="376" t="e">
        <f t="shared" si="135"/>
        <v>#DIV/0!</v>
      </c>
    </row>
    <row r="87" spans="1:61" s="359" customFormat="1" x14ac:dyDescent="0.3">
      <c r="A87" s="360"/>
      <c r="B87" s="342"/>
      <c r="C87" s="343"/>
      <c r="D87" s="361"/>
      <c r="E87" s="508"/>
      <c r="F87" s="353"/>
      <c r="G87" s="365"/>
      <c r="H87" s="376"/>
      <c r="I87" s="376"/>
      <c r="J87" s="376"/>
      <c r="K87" s="376"/>
      <c r="L87" s="376"/>
      <c r="M87" s="376"/>
      <c r="N87" s="376"/>
      <c r="O87" s="376"/>
      <c r="P87" s="376"/>
      <c r="Q87" s="376"/>
      <c r="R87" s="362"/>
      <c r="S87" s="362"/>
      <c r="T87" s="362"/>
      <c r="U87" s="363"/>
      <c r="V87" s="376"/>
      <c r="W87" s="376" t="e">
        <f t="shared" si="114"/>
        <v>#DIV/0!</v>
      </c>
      <c r="X87" s="508"/>
      <c r="Y87" s="353"/>
      <c r="Z87" s="365"/>
      <c r="AA87" s="376"/>
      <c r="AB87" s="376"/>
      <c r="AC87" s="376"/>
      <c r="AD87" s="376"/>
      <c r="AE87" s="376"/>
      <c r="AF87" s="376"/>
      <c r="AG87" s="376"/>
      <c r="AH87" s="376"/>
      <c r="AI87" s="376"/>
      <c r="AJ87" s="376"/>
      <c r="AK87" s="362"/>
      <c r="AL87" s="362"/>
      <c r="AM87" s="362"/>
      <c r="AN87" s="363"/>
      <c r="AO87" s="376"/>
      <c r="AP87" s="376" t="e">
        <f t="shared" si="130"/>
        <v>#DIV/0!</v>
      </c>
      <c r="AQ87" s="508"/>
      <c r="AR87" s="353"/>
      <c r="AS87" s="365"/>
      <c r="AT87" s="376"/>
      <c r="AU87" s="376"/>
      <c r="AV87" s="376"/>
      <c r="AW87" s="376"/>
      <c r="AX87" s="376"/>
      <c r="AY87" s="376"/>
      <c r="AZ87" s="376"/>
      <c r="BA87" s="376"/>
      <c r="BB87" s="376"/>
      <c r="BC87" s="376"/>
      <c r="BD87" s="362"/>
      <c r="BE87" s="362"/>
      <c r="BF87" s="362"/>
      <c r="BG87" s="363"/>
      <c r="BH87" s="376"/>
      <c r="BI87" s="376" t="e">
        <f t="shared" si="135"/>
        <v>#DIV/0!</v>
      </c>
    </row>
    <row r="88" spans="1:61" s="359" customFormat="1" ht="24.75" customHeight="1" x14ac:dyDescent="0.3">
      <c r="A88" s="355" t="s">
        <v>183</v>
      </c>
      <c r="B88" s="356" t="s">
        <v>229</v>
      </c>
      <c r="C88" s="356"/>
      <c r="D88" s="357">
        <v>6</v>
      </c>
      <c r="E88" s="500">
        <f t="shared" ref="E88:Q88" si="151">SUM(E89:E90)</f>
        <v>0</v>
      </c>
      <c r="F88" s="347">
        <f t="shared" si="151"/>
        <v>0</v>
      </c>
      <c r="G88" s="347">
        <f t="shared" si="151"/>
        <v>0</v>
      </c>
      <c r="H88" s="375">
        <f t="shared" si="151"/>
        <v>0</v>
      </c>
      <c r="I88" s="375">
        <f t="shared" si="151"/>
        <v>0</v>
      </c>
      <c r="J88" s="375">
        <f t="shared" si="151"/>
        <v>0</v>
      </c>
      <c r="K88" s="375">
        <f t="shared" si="151"/>
        <v>0</v>
      </c>
      <c r="L88" s="375">
        <f t="shared" si="151"/>
        <v>0</v>
      </c>
      <c r="M88" s="375">
        <f t="shared" si="151"/>
        <v>0</v>
      </c>
      <c r="N88" s="375">
        <f t="shared" si="151"/>
        <v>0</v>
      </c>
      <c r="O88" s="375">
        <f t="shared" si="151"/>
        <v>0</v>
      </c>
      <c r="P88" s="375">
        <f t="shared" si="151"/>
        <v>0</v>
      </c>
      <c r="Q88" s="375">
        <f t="shared" si="151"/>
        <v>0</v>
      </c>
      <c r="R88" s="358"/>
      <c r="S88" s="358"/>
      <c r="T88" s="358"/>
      <c r="U88" s="526"/>
      <c r="V88" s="384"/>
      <c r="W88" s="384" t="e">
        <f t="shared" si="114"/>
        <v>#DIV/0!</v>
      </c>
      <c r="X88" s="500">
        <f t="shared" ref="X88:AJ88" si="152">SUM(X89:X90)</f>
        <v>0</v>
      </c>
      <c r="Y88" s="347">
        <f t="shared" si="152"/>
        <v>0</v>
      </c>
      <c r="Z88" s="347">
        <f t="shared" si="152"/>
        <v>0</v>
      </c>
      <c r="AA88" s="375">
        <f t="shared" si="152"/>
        <v>0</v>
      </c>
      <c r="AB88" s="375">
        <f t="shared" si="152"/>
        <v>0</v>
      </c>
      <c r="AC88" s="375">
        <f t="shared" si="152"/>
        <v>0</v>
      </c>
      <c r="AD88" s="375">
        <f t="shared" si="152"/>
        <v>0</v>
      </c>
      <c r="AE88" s="375">
        <f t="shared" si="152"/>
        <v>0</v>
      </c>
      <c r="AF88" s="375">
        <f t="shared" si="152"/>
        <v>0</v>
      </c>
      <c r="AG88" s="375">
        <f t="shared" si="152"/>
        <v>0</v>
      </c>
      <c r="AH88" s="375">
        <f t="shared" si="152"/>
        <v>0</v>
      </c>
      <c r="AI88" s="375">
        <f t="shared" si="152"/>
        <v>0</v>
      </c>
      <c r="AJ88" s="375">
        <f t="shared" si="152"/>
        <v>0</v>
      </c>
      <c r="AK88" s="358"/>
      <c r="AL88" s="358"/>
      <c r="AM88" s="358"/>
      <c r="AN88" s="526"/>
      <c r="AO88" s="384"/>
      <c r="AP88" s="384" t="e">
        <f t="shared" si="130"/>
        <v>#DIV/0!</v>
      </c>
      <c r="AQ88" s="500">
        <f t="shared" ref="AQ88:BC88" si="153">SUM(AQ89:AQ90)</f>
        <v>0</v>
      </c>
      <c r="AR88" s="347">
        <f t="shared" si="153"/>
        <v>0</v>
      </c>
      <c r="AS88" s="347">
        <f t="shared" si="153"/>
        <v>0</v>
      </c>
      <c r="AT88" s="375">
        <f t="shared" si="153"/>
        <v>0</v>
      </c>
      <c r="AU88" s="375">
        <f t="shared" si="153"/>
        <v>0</v>
      </c>
      <c r="AV88" s="375">
        <f t="shared" si="153"/>
        <v>0</v>
      </c>
      <c r="AW88" s="375">
        <f t="shared" si="153"/>
        <v>0</v>
      </c>
      <c r="AX88" s="375">
        <f t="shared" si="153"/>
        <v>0</v>
      </c>
      <c r="AY88" s="375">
        <f t="shared" si="153"/>
        <v>0</v>
      </c>
      <c r="AZ88" s="375">
        <f t="shared" si="153"/>
        <v>0</v>
      </c>
      <c r="BA88" s="375">
        <f t="shared" si="153"/>
        <v>0</v>
      </c>
      <c r="BB88" s="375">
        <f t="shared" si="153"/>
        <v>0</v>
      </c>
      <c r="BC88" s="375">
        <f t="shared" si="153"/>
        <v>0</v>
      </c>
      <c r="BD88" s="358"/>
      <c r="BE88" s="358"/>
      <c r="BF88" s="358"/>
      <c r="BG88" s="526"/>
      <c r="BH88" s="384"/>
      <c r="BI88" s="384" t="e">
        <f t="shared" si="135"/>
        <v>#DIV/0!</v>
      </c>
    </row>
    <row r="89" spans="1:61" s="359" customFormat="1" x14ac:dyDescent="0.3">
      <c r="A89" s="360" t="s">
        <v>184</v>
      </c>
      <c r="B89" s="342"/>
      <c r="C89" s="343"/>
      <c r="D89" s="361"/>
      <c r="E89" s="508"/>
      <c r="F89" s="365"/>
      <c r="G89" s="365"/>
      <c r="H89" s="376"/>
      <c r="I89" s="376"/>
      <c r="J89" s="376"/>
      <c r="K89" s="376"/>
      <c r="L89" s="376"/>
      <c r="M89" s="376"/>
      <c r="N89" s="376"/>
      <c r="O89" s="376"/>
      <c r="P89" s="376"/>
      <c r="Q89" s="376"/>
      <c r="R89" s="362"/>
      <c r="S89" s="362"/>
      <c r="T89" s="362"/>
      <c r="U89" s="363"/>
      <c r="V89" s="376"/>
      <c r="W89" s="376" t="e">
        <f t="shared" si="114"/>
        <v>#DIV/0!</v>
      </c>
      <c r="X89" s="508"/>
      <c r="Y89" s="365"/>
      <c r="Z89" s="365"/>
      <c r="AA89" s="376"/>
      <c r="AB89" s="376"/>
      <c r="AC89" s="376"/>
      <c r="AD89" s="376"/>
      <c r="AE89" s="376"/>
      <c r="AF89" s="376"/>
      <c r="AG89" s="376"/>
      <c r="AH89" s="376"/>
      <c r="AI89" s="376"/>
      <c r="AJ89" s="376"/>
      <c r="AK89" s="362"/>
      <c r="AL89" s="362"/>
      <c r="AM89" s="362"/>
      <c r="AN89" s="363"/>
      <c r="AO89" s="376"/>
      <c r="AP89" s="376" t="e">
        <f t="shared" si="130"/>
        <v>#DIV/0!</v>
      </c>
      <c r="AQ89" s="508"/>
      <c r="AR89" s="365"/>
      <c r="AS89" s="365"/>
      <c r="AT89" s="376"/>
      <c r="AU89" s="376"/>
      <c r="AV89" s="376"/>
      <c r="AW89" s="376"/>
      <c r="AX89" s="376"/>
      <c r="AY89" s="376"/>
      <c r="AZ89" s="376"/>
      <c r="BA89" s="376"/>
      <c r="BB89" s="376"/>
      <c r="BC89" s="376"/>
      <c r="BD89" s="362"/>
      <c r="BE89" s="362"/>
      <c r="BF89" s="362"/>
      <c r="BG89" s="363"/>
      <c r="BH89" s="376"/>
      <c r="BI89" s="376" t="e">
        <f t="shared" si="135"/>
        <v>#DIV/0!</v>
      </c>
    </row>
    <row r="90" spans="1:61" s="359" customFormat="1" x14ac:dyDescent="0.3">
      <c r="A90" s="360"/>
      <c r="B90" s="342"/>
      <c r="C90" s="343"/>
      <c r="D90" s="361"/>
      <c r="E90" s="508"/>
      <c r="F90" s="353"/>
      <c r="G90" s="365"/>
      <c r="H90" s="376"/>
      <c r="I90" s="376"/>
      <c r="J90" s="376"/>
      <c r="K90" s="376"/>
      <c r="L90" s="376"/>
      <c r="M90" s="376"/>
      <c r="N90" s="376"/>
      <c r="O90" s="376"/>
      <c r="P90" s="376"/>
      <c r="Q90" s="376"/>
      <c r="R90" s="362"/>
      <c r="S90" s="362"/>
      <c r="T90" s="362"/>
      <c r="U90" s="363"/>
      <c r="V90" s="376"/>
      <c r="W90" s="376" t="e">
        <f t="shared" si="114"/>
        <v>#DIV/0!</v>
      </c>
      <c r="X90" s="508"/>
      <c r="Y90" s="353"/>
      <c r="Z90" s="365"/>
      <c r="AA90" s="376"/>
      <c r="AB90" s="376"/>
      <c r="AC90" s="376"/>
      <c r="AD90" s="376"/>
      <c r="AE90" s="376"/>
      <c r="AF90" s="376"/>
      <c r="AG90" s="376"/>
      <c r="AH90" s="376"/>
      <c r="AI90" s="376"/>
      <c r="AJ90" s="376"/>
      <c r="AK90" s="362"/>
      <c r="AL90" s="362"/>
      <c r="AM90" s="362"/>
      <c r="AN90" s="363"/>
      <c r="AO90" s="376"/>
      <c r="AP90" s="376" t="e">
        <f t="shared" si="130"/>
        <v>#DIV/0!</v>
      </c>
      <c r="AQ90" s="508"/>
      <c r="AR90" s="353"/>
      <c r="AS90" s="365"/>
      <c r="AT90" s="376"/>
      <c r="AU90" s="376"/>
      <c r="AV90" s="376"/>
      <c r="AW90" s="376"/>
      <c r="AX90" s="376"/>
      <c r="AY90" s="376"/>
      <c r="AZ90" s="376"/>
      <c r="BA90" s="376"/>
      <c r="BB90" s="376"/>
      <c r="BC90" s="376"/>
      <c r="BD90" s="362"/>
      <c r="BE90" s="362"/>
      <c r="BF90" s="362"/>
      <c r="BG90" s="363"/>
      <c r="BH90" s="376"/>
      <c r="BI90" s="376" t="e">
        <f t="shared" si="135"/>
        <v>#DIV/0!</v>
      </c>
    </row>
    <row r="91" spans="1:61" s="359" customFormat="1" ht="24.75" customHeight="1" x14ac:dyDescent="0.3">
      <c r="A91" s="355" t="s">
        <v>185</v>
      </c>
      <c r="B91" s="356" t="s">
        <v>230</v>
      </c>
      <c r="C91" s="356"/>
      <c r="D91" s="357">
        <v>6</v>
      </c>
      <c r="E91" s="500">
        <f t="shared" ref="E91:Q91" si="154">SUM(E92:E93)</f>
        <v>0</v>
      </c>
      <c r="F91" s="347">
        <f t="shared" si="154"/>
        <v>0</v>
      </c>
      <c r="G91" s="347">
        <f t="shared" si="154"/>
        <v>0</v>
      </c>
      <c r="H91" s="375">
        <f t="shared" si="154"/>
        <v>0</v>
      </c>
      <c r="I91" s="375">
        <f t="shared" si="154"/>
        <v>0</v>
      </c>
      <c r="J91" s="375">
        <f t="shared" si="154"/>
        <v>0</v>
      </c>
      <c r="K91" s="375">
        <f t="shared" si="154"/>
        <v>0</v>
      </c>
      <c r="L91" s="375">
        <f t="shared" si="154"/>
        <v>0</v>
      </c>
      <c r="M91" s="375">
        <f t="shared" si="154"/>
        <v>0</v>
      </c>
      <c r="N91" s="375">
        <f t="shared" si="154"/>
        <v>0</v>
      </c>
      <c r="O91" s="375">
        <f t="shared" si="154"/>
        <v>0</v>
      </c>
      <c r="P91" s="375">
        <f t="shared" si="154"/>
        <v>0</v>
      </c>
      <c r="Q91" s="375">
        <f t="shared" si="154"/>
        <v>0</v>
      </c>
      <c r="R91" s="358"/>
      <c r="S91" s="358"/>
      <c r="T91" s="358"/>
      <c r="U91" s="526"/>
      <c r="V91" s="384"/>
      <c r="W91" s="384" t="e">
        <f t="shared" si="114"/>
        <v>#DIV/0!</v>
      </c>
      <c r="X91" s="500">
        <f t="shared" ref="X91:AJ91" si="155">SUM(X92:X93)</f>
        <v>0</v>
      </c>
      <c r="Y91" s="347">
        <f t="shared" si="155"/>
        <v>0</v>
      </c>
      <c r="Z91" s="347">
        <f t="shared" si="155"/>
        <v>0</v>
      </c>
      <c r="AA91" s="375">
        <f t="shared" si="155"/>
        <v>0</v>
      </c>
      <c r="AB91" s="375">
        <f t="shared" si="155"/>
        <v>0</v>
      </c>
      <c r="AC91" s="375">
        <f t="shared" si="155"/>
        <v>0</v>
      </c>
      <c r="AD91" s="375">
        <f t="shared" si="155"/>
        <v>0</v>
      </c>
      <c r="AE91" s="375">
        <f t="shared" si="155"/>
        <v>0</v>
      </c>
      <c r="AF91" s="375">
        <f t="shared" si="155"/>
        <v>0</v>
      </c>
      <c r="AG91" s="375">
        <f t="shared" si="155"/>
        <v>0</v>
      </c>
      <c r="AH91" s="375">
        <f t="shared" si="155"/>
        <v>0</v>
      </c>
      <c r="AI91" s="375">
        <f t="shared" si="155"/>
        <v>0</v>
      </c>
      <c r="AJ91" s="375">
        <f t="shared" si="155"/>
        <v>0</v>
      </c>
      <c r="AK91" s="358"/>
      <c r="AL91" s="358"/>
      <c r="AM91" s="358"/>
      <c r="AN91" s="526"/>
      <c r="AO91" s="384"/>
      <c r="AP91" s="384" t="e">
        <f t="shared" si="130"/>
        <v>#DIV/0!</v>
      </c>
      <c r="AQ91" s="500">
        <f t="shared" ref="AQ91:BC91" si="156">SUM(AQ92:AQ93)</f>
        <v>0</v>
      </c>
      <c r="AR91" s="347">
        <f t="shared" si="156"/>
        <v>0</v>
      </c>
      <c r="AS91" s="347">
        <f t="shared" si="156"/>
        <v>0</v>
      </c>
      <c r="AT91" s="375">
        <f t="shared" si="156"/>
        <v>0</v>
      </c>
      <c r="AU91" s="375">
        <f t="shared" si="156"/>
        <v>0</v>
      </c>
      <c r="AV91" s="375">
        <f t="shared" si="156"/>
        <v>0</v>
      </c>
      <c r="AW91" s="375">
        <f t="shared" si="156"/>
        <v>0</v>
      </c>
      <c r="AX91" s="375">
        <f t="shared" si="156"/>
        <v>0</v>
      </c>
      <c r="AY91" s="375">
        <f t="shared" si="156"/>
        <v>0</v>
      </c>
      <c r="AZ91" s="375">
        <f t="shared" si="156"/>
        <v>0</v>
      </c>
      <c r="BA91" s="375">
        <f t="shared" si="156"/>
        <v>0</v>
      </c>
      <c r="BB91" s="375">
        <f t="shared" si="156"/>
        <v>0</v>
      </c>
      <c r="BC91" s="375">
        <f t="shared" si="156"/>
        <v>0</v>
      </c>
      <c r="BD91" s="358"/>
      <c r="BE91" s="358"/>
      <c r="BF91" s="358"/>
      <c r="BG91" s="526"/>
      <c r="BH91" s="384"/>
      <c r="BI91" s="384" t="e">
        <f t="shared" si="135"/>
        <v>#DIV/0!</v>
      </c>
    </row>
    <row r="92" spans="1:61" s="359" customFormat="1" x14ac:dyDescent="0.3">
      <c r="A92" s="360" t="s">
        <v>186</v>
      </c>
      <c r="B92" s="342"/>
      <c r="C92" s="343"/>
      <c r="D92" s="361"/>
      <c r="E92" s="508"/>
      <c r="F92" s="365"/>
      <c r="G92" s="365"/>
      <c r="H92" s="376"/>
      <c r="I92" s="376"/>
      <c r="J92" s="376"/>
      <c r="K92" s="376"/>
      <c r="L92" s="376"/>
      <c r="M92" s="376"/>
      <c r="N92" s="376"/>
      <c r="O92" s="376"/>
      <c r="P92" s="376"/>
      <c r="Q92" s="376"/>
      <c r="R92" s="362"/>
      <c r="S92" s="362"/>
      <c r="T92" s="362"/>
      <c r="U92" s="363"/>
      <c r="V92" s="376"/>
      <c r="W92" s="376" t="e">
        <f t="shared" si="114"/>
        <v>#DIV/0!</v>
      </c>
      <c r="X92" s="508"/>
      <c r="Y92" s="365"/>
      <c r="Z92" s="365"/>
      <c r="AA92" s="376"/>
      <c r="AB92" s="376"/>
      <c r="AC92" s="376"/>
      <c r="AD92" s="376"/>
      <c r="AE92" s="376"/>
      <c r="AF92" s="376"/>
      <c r="AG92" s="376"/>
      <c r="AH92" s="376"/>
      <c r="AI92" s="376"/>
      <c r="AJ92" s="376"/>
      <c r="AK92" s="362"/>
      <c r="AL92" s="362"/>
      <c r="AM92" s="362"/>
      <c r="AN92" s="363"/>
      <c r="AO92" s="376"/>
      <c r="AP92" s="376" t="e">
        <f t="shared" si="130"/>
        <v>#DIV/0!</v>
      </c>
      <c r="AQ92" s="508"/>
      <c r="AR92" s="365"/>
      <c r="AS92" s="365"/>
      <c r="AT92" s="376"/>
      <c r="AU92" s="376"/>
      <c r="AV92" s="376"/>
      <c r="AW92" s="376"/>
      <c r="AX92" s="376"/>
      <c r="AY92" s="376"/>
      <c r="AZ92" s="376"/>
      <c r="BA92" s="376"/>
      <c r="BB92" s="376"/>
      <c r="BC92" s="376"/>
      <c r="BD92" s="362"/>
      <c r="BE92" s="362"/>
      <c r="BF92" s="362"/>
      <c r="BG92" s="363"/>
      <c r="BH92" s="376"/>
      <c r="BI92" s="376" t="e">
        <f t="shared" si="135"/>
        <v>#DIV/0!</v>
      </c>
    </row>
    <row r="93" spans="1:61" s="359" customFormat="1" x14ac:dyDescent="0.3">
      <c r="A93" s="360"/>
      <c r="B93" s="342"/>
      <c r="C93" s="343"/>
      <c r="D93" s="361"/>
      <c r="E93" s="508"/>
      <c r="F93" s="353"/>
      <c r="G93" s="365"/>
      <c r="H93" s="376"/>
      <c r="I93" s="376"/>
      <c r="J93" s="376"/>
      <c r="K93" s="376"/>
      <c r="L93" s="376"/>
      <c r="M93" s="376"/>
      <c r="N93" s="376"/>
      <c r="O93" s="376"/>
      <c r="P93" s="376"/>
      <c r="Q93" s="376"/>
      <c r="R93" s="362"/>
      <c r="S93" s="362"/>
      <c r="T93" s="362"/>
      <c r="U93" s="363"/>
      <c r="V93" s="376"/>
      <c r="W93" s="376" t="e">
        <f t="shared" si="114"/>
        <v>#DIV/0!</v>
      </c>
      <c r="X93" s="508"/>
      <c r="Y93" s="353"/>
      <c r="Z93" s="365"/>
      <c r="AA93" s="376"/>
      <c r="AB93" s="376"/>
      <c r="AC93" s="376"/>
      <c r="AD93" s="376"/>
      <c r="AE93" s="376"/>
      <c r="AF93" s="376"/>
      <c r="AG93" s="376"/>
      <c r="AH93" s="376"/>
      <c r="AI93" s="376"/>
      <c r="AJ93" s="376"/>
      <c r="AK93" s="362"/>
      <c r="AL93" s="362"/>
      <c r="AM93" s="362"/>
      <c r="AN93" s="363"/>
      <c r="AO93" s="376"/>
      <c r="AP93" s="376" t="e">
        <f t="shared" si="130"/>
        <v>#DIV/0!</v>
      </c>
      <c r="AQ93" s="508"/>
      <c r="AR93" s="353"/>
      <c r="AS93" s="365"/>
      <c r="AT93" s="376"/>
      <c r="AU93" s="376"/>
      <c r="AV93" s="376"/>
      <c r="AW93" s="376"/>
      <c r="AX93" s="376"/>
      <c r="AY93" s="376"/>
      <c r="AZ93" s="376"/>
      <c r="BA93" s="376"/>
      <c r="BB93" s="376"/>
      <c r="BC93" s="376"/>
      <c r="BD93" s="362"/>
      <c r="BE93" s="362"/>
      <c r="BF93" s="362"/>
      <c r="BG93" s="363"/>
      <c r="BH93" s="376"/>
      <c r="BI93" s="376" t="e">
        <f t="shared" si="135"/>
        <v>#DIV/0!</v>
      </c>
    </row>
    <row r="94" spans="1:61" s="359" customFormat="1" ht="24.75" customHeight="1" x14ac:dyDescent="0.3">
      <c r="A94" s="355" t="s">
        <v>187</v>
      </c>
      <c r="B94" s="356" t="s">
        <v>231</v>
      </c>
      <c r="C94" s="356"/>
      <c r="D94" s="357">
        <v>6</v>
      </c>
      <c r="E94" s="500">
        <f t="shared" ref="E94:Q94" si="157">SUM(E95:E96)</f>
        <v>0</v>
      </c>
      <c r="F94" s="347">
        <f t="shared" si="157"/>
        <v>0</v>
      </c>
      <c r="G94" s="347">
        <f t="shared" si="157"/>
        <v>0</v>
      </c>
      <c r="H94" s="375">
        <f t="shared" si="157"/>
        <v>0</v>
      </c>
      <c r="I94" s="375">
        <f t="shared" si="157"/>
        <v>0</v>
      </c>
      <c r="J94" s="375">
        <f t="shared" si="157"/>
        <v>0</v>
      </c>
      <c r="K94" s="375">
        <f t="shared" si="157"/>
        <v>0</v>
      </c>
      <c r="L94" s="375">
        <f t="shared" si="157"/>
        <v>0</v>
      </c>
      <c r="M94" s="375">
        <f t="shared" si="157"/>
        <v>0</v>
      </c>
      <c r="N94" s="375">
        <f t="shared" si="157"/>
        <v>0</v>
      </c>
      <c r="O94" s="375">
        <f t="shared" si="157"/>
        <v>0</v>
      </c>
      <c r="P94" s="375">
        <f t="shared" si="157"/>
        <v>0</v>
      </c>
      <c r="Q94" s="375">
        <f t="shared" si="157"/>
        <v>0</v>
      </c>
      <c r="R94" s="358"/>
      <c r="S94" s="358"/>
      <c r="T94" s="358"/>
      <c r="U94" s="526"/>
      <c r="V94" s="384"/>
      <c r="W94" s="384" t="e">
        <f t="shared" si="114"/>
        <v>#DIV/0!</v>
      </c>
      <c r="X94" s="500">
        <f t="shared" ref="X94:AJ94" si="158">SUM(X95:X96)</f>
        <v>0</v>
      </c>
      <c r="Y94" s="347">
        <f t="shared" si="158"/>
        <v>0</v>
      </c>
      <c r="Z94" s="347">
        <f t="shared" si="158"/>
        <v>0</v>
      </c>
      <c r="AA94" s="375">
        <f t="shared" si="158"/>
        <v>0</v>
      </c>
      <c r="AB94" s="375">
        <f t="shared" si="158"/>
        <v>0</v>
      </c>
      <c r="AC94" s="375">
        <f t="shared" si="158"/>
        <v>0</v>
      </c>
      <c r="AD94" s="375">
        <f t="shared" si="158"/>
        <v>0</v>
      </c>
      <c r="AE94" s="375">
        <f t="shared" si="158"/>
        <v>0</v>
      </c>
      <c r="AF94" s="375">
        <f t="shared" si="158"/>
        <v>0</v>
      </c>
      <c r="AG94" s="375">
        <f t="shared" si="158"/>
        <v>0</v>
      </c>
      <c r="AH94" s="375">
        <f t="shared" si="158"/>
        <v>0</v>
      </c>
      <c r="AI94" s="375">
        <f t="shared" si="158"/>
        <v>0</v>
      </c>
      <c r="AJ94" s="375">
        <f t="shared" si="158"/>
        <v>0</v>
      </c>
      <c r="AK94" s="358"/>
      <c r="AL94" s="358"/>
      <c r="AM94" s="358"/>
      <c r="AN94" s="526"/>
      <c r="AO94" s="384"/>
      <c r="AP94" s="384" t="e">
        <f t="shared" si="130"/>
        <v>#DIV/0!</v>
      </c>
      <c r="AQ94" s="500">
        <f t="shared" ref="AQ94:BC94" si="159">SUM(AQ95:AQ96)</f>
        <v>0</v>
      </c>
      <c r="AR94" s="347">
        <f t="shared" si="159"/>
        <v>0</v>
      </c>
      <c r="AS94" s="347">
        <f t="shared" si="159"/>
        <v>0</v>
      </c>
      <c r="AT94" s="375">
        <f t="shared" si="159"/>
        <v>0</v>
      </c>
      <c r="AU94" s="375">
        <f t="shared" si="159"/>
        <v>0</v>
      </c>
      <c r="AV94" s="375">
        <f t="shared" si="159"/>
        <v>0</v>
      </c>
      <c r="AW94" s="375">
        <f t="shared" si="159"/>
        <v>0</v>
      </c>
      <c r="AX94" s="375">
        <f t="shared" si="159"/>
        <v>0</v>
      </c>
      <c r="AY94" s="375">
        <f t="shared" si="159"/>
        <v>0</v>
      </c>
      <c r="AZ94" s="375">
        <f t="shared" si="159"/>
        <v>0</v>
      </c>
      <c r="BA94" s="375">
        <f t="shared" si="159"/>
        <v>0</v>
      </c>
      <c r="BB94" s="375">
        <f t="shared" si="159"/>
        <v>0</v>
      </c>
      <c r="BC94" s="375">
        <f t="shared" si="159"/>
        <v>0</v>
      </c>
      <c r="BD94" s="358"/>
      <c r="BE94" s="358"/>
      <c r="BF94" s="358"/>
      <c r="BG94" s="526"/>
      <c r="BH94" s="384"/>
      <c r="BI94" s="384" t="e">
        <f t="shared" si="135"/>
        <v>#DIV/0!</v>
      </c>
    </row>
    <row r="95" spans="1:61" s="359" customFormat="1" x14ac:dyDescent="0.3">
      <c r="A95" s="360" t="s">
        <v>188</v>
      </c>
      <c r="B95" s="342"/>
      <c r="C95" s="343"/>
      <c r="D95" s="361"/>
      <c r="E95" s="508"/>
      <c r="F95" s="365"/>
      <c r="G95" s="365"/>
      <c r="H95" s="376"/>
      <c r="I95" s="376"/>
      <c r="J95" s="376"/>
      <c r="K95" s="376"/>
      <c r="L95" s="376"/>
      <c r="M95" s="376"/>
      <c r="N95" s="376"/>
      <c r="O95" s="376"/>
      <c r="P95" s="376"/>
      <c r="Q95" s="376"/>
      <c r="R95" s="362"/>
      <c r="S95" s="362"/>
      <c r="T95" s="362"/>
      <c r="U95" s="363"/>
      <c r="V95" s="376"/>
      <c r="W95" s="376" t="e">
        <f t="shared" si="114"/>
        <v>#DIV/0!</v>
      </c>
      <c r="X95" s="508"/>
      <c r="Y95" s="365"/>
      <c r="Z95" s="365"/>
      <c r="AA95" s="376"/>
      <c r="AB95" s="376"/>
      <c r="AC95" s="376"/>
      <c r="AD95" s="376"/>
      <c r="AE95" s="376"/>
      <c r="AF95" s="376"/>
      <c r="AG95" s="376"/>
      <c r="AH95" s="376"/>
      <c r="AI95" s="376"/>
      <c r="AJ95" s="376"/>
      <c r="AK95" s="362"/>
      <c r="AL95" s="362"/>
      <c r="AM95" s="362"/>
      <c r="AN95" s="363"/>
      <c r="AO95" s="376"/>
      <c r="AP95" s="376" t="e">
        <f t="shared" si="130"/>
        <v>#DIV/0!</v>
      </c>
      <c r="AQ95" s="508"/>
      <c r="AR95" s="365"/>
      <c r="AS95" s="365"/>
      <c r="AT95" s="376"/>
      <c r="AU95" s="376"/>
      <c r="AV95" s="376"/>
      <c r="AW95" s="376"/>
      <c r="AX95" s="376"/>
      <c r="AY95" s="376"/>
      <c r="AZ95" s="376"/>
      <c r="BA95" s="376"/>
      <c r="BB95" s="376"/>
      <c r="BC95" s="376"/>
      <c r="BD95" s="362"/>
      <c r="BE95" s="362"/>
      <c r="BF95" s="362"/>
      <c r="BG95" s="363"/>
      <c r="BH95" s="376"/>
      <c r="BI95" s="376" t="e">
        <f t="shared" si="135"/>
        <v>#DIV/0!</v>
      </c>
    </row>
    <row r="96" spans="1:61" s="359" customFormat="1" x14ac:dyDescent="0.3">
      <c r="A96" s="360"/>
      <c r="B96" s="342"/>
      <c r="C96" s="343"/>
      <c r="D96" s="361"/>
      <c r="E96" s="508"/>
      <c r="F96" s="353"/>
      <c r="G96" s="365"/>
      <c r="H96" s="376"/>
      <c r="I96" s="376"/>
      <c r="J96" s="376"/>
      <c r="K96" s="376"/>
      <c r="L96" s="376"/>
      <c r="M96" s="376"/>
      <c r="N96" s="376"/>
      <c r="O96" s="376"/>
      <c r="P96" s="376"/>
      <c r="Q96" s="376"/>
      <c r="R96" s="362"/>
      <c r="S96" s="362"/>
      <c r="T96" s="362"/>
      <c r="U96" s="363"/>
      <c r="V96" s="376"/>
      <c r="W96" s="376" t="e">
        <f t="shared" si="114"/>
        <v>#DIV/0!</v>
      </c>
      <c r="X96" s="508"/>
      <c r="Y96" s="353"/>
      <c r="Z96" s="365"/>
      <c r="AA96" s="376"/>
      <c r="AB96" s="376"/>
      <c r="AC96" s="376"/>
      <c r="AD96" s="376"/>
      <c r="AE96" s="376"/>
      <c r="AF96" s="376"/>
      <c r="AG96" s="376"/>
      <c r="AH96" s="376"/>
      <c r="AI96" s="376"/>
      <c r="AJ96" s="376"/>
      <c r="AK96" s="362"/>
      <c r="AL96" s="362"/>
      <c r="AM96" s="362"/>
      <c r="AN96" s="363"/>
      <c r="AO96" s="376"/>
      <c r="AP96" s="376" t="e">
        <f t="shared" si="130"/>
        <v>#DIV/0!</v>
      </c>
      <c r="AQ96" s="508"/>
      <c r="AR96" s="353"/>
      <c r="AS96" s="365"/>
      <c r="AT96" s="376"/>
      <c r="AU96" s="376"/>
      <c r="AV96" s="376"/>
      <c r="AW96" s="376"/>
      <c r="AX96" s="376"/>
      <c r="AY96" s="376"/>
      <c r="AZ96" s="376"/>
      <c r="BA96" s="376"/>
      <c r="BB96" s="376"/>
      <c r="BC96" s="376"/>
      <c r="BD96" s="362"/>
      <c r="BE96" s="362"/>
      <c r="BF96" s="362"/>
      <c r="BG96" s="363"/>
      <c r="BH96" s="376"/>
      <c r="BI96" s="376" t="e">
        <f t="shared" si="135"/>
        <v>#DIV/0!</v>
      </c>
    </row>
    <row r="97" spans="1:61" s="359" customFormat="1" ht="43.2" x14ac:dyDescent="0.3">
      <c r="A97" s="551" t="s">
        <v>44</v>
      </c>
      <c r="B97" s="552" t="s">
        <v>571</v>
      </c>
      <c r="C97" s="553"/>
      <c r="D97" s="554"/>
      <c r="E97" s="555">
        <f t="shared" ref="E97:Q97" si="160">E98+E104+E113</f>
        <v>0</v>
      </c>
      <c r="F97" s="555">
        <f t="shared" si="160"/>
        <v>385</v>
      </c>
      <c r="G97" s="555">
        <f t="shared" si="160"/>
        <v>385</v>
      </c>
      <c r="H97" s="556">
        <f t="shared" si="160"/>
        <v>2409.5259999999998</v>
      </c>
      <c r="I97" s="556">
        <f t="shared" si="160"/>
        <v>2301.692</v>
      </c>
      <c r="J97" s="556">
        <f t="shared" si="160"/>
        <v>2227.0574799999999</v>
      </c>
      <c r="K97" s="556">
        <f t="shared" si="160"/>
        <v>2227.0574799999999</v>
      </c>
      <c r="L97" s="556">
        <f t="shared" si="160"/>
        <v>36.921999999999997</v>
      </c>
      <c r="M97" s="556">
        <f t="shared" si="160"/>
        <v>0</v>
      </c>
      <c r="N97" s="556">
        <f t="shared" si="160"/>
        <v>0</v>
      </c>
      <c r="O97" s="556">
        <f t="shared" si="160"/>
        <v>27.088000000000001</v>
      </c>
      <c r="P97" s="556">
        <f t="shared" si="160"/>
        <v>2227.0574799999999</v>
      </c>
      <c r="Q97" s="556">
        <f t="shared" si="160"/>
        <v>2227.0574799999999</v>
      </c>
      <c r="R97" s="557"/>
      <c r="S97" s="557"/>
      <c r="T97" s="557"/>
      <c r="U97" s="558"/>
      <c r="V97" s="559"/>
      <c r="W97" s="559">
        <f t="shared" si="114"/>
        <v>6.2585090909090901</v>
      </c>
      <c r="X97" s="555">
        <f t="shared" ref="X97:AJ97" si="161">X98+X104+X113+X118</f>
        <v>0</v>
      </c>
      <c r="Y97" s="555">
        <f t="shared" si="161"/>
        <v>0</v>
      </c>
      <c r="Z97" s="555">
        <f t="shared" si="161"/>
        <v>0</v>
      </c>
      <c r="AA97" s="556">
        <f t="shared" si="161"/>
        <v>293.26947999999999</v>
      </c>
      <c r="AB97" s="556">
        <f t="shared" si="161"/>
        <v>272.91899999999998</v>
      </c>
      <c r="AC97" s="556">
        <f t="shared" si="161"/>
        <v>244.53667000000002</v>
      </c>
      <c r="AD97" s="556">
        <f t="shared" si="161"/>
        <v>27.726030000000002</v>
      </c>
      <c r="AE97" s="556">
        <f t="shared" si="161"/>
        <v>2.0175399999999999</v>
      </c>
      <c r="AF97" s="556">
        <f t="shared" si="161"/>
        <v>0</v>
      </c>
      <c r="AG97" s="556">
        <f t="shared" si="161"/>
        <v>0</v>
      </c>
      <c r="AH97" s="556">
        <f t="shared" si="161"/>
        <v>6.8783199999999995</v>
      </c>
      <c r="AI97" s="556">
        <f t="shared" si="161"/>
        <v>244.53667000000002</v>
      </c>
      <c r="AJ97" s="556">
        <f t="shared" si="161"/>
        <v>27.726030000000002</v>
      </c>
      <c r="AK97" s="557"/>
      <c r="AL97" s="557"/>
      <c r="AM97" s="557"/>
      <c r="AN97" s="558"/>
      <c r="AO97" s="559"/>
      <c r="AP97" s="559" t="e">
        <f t="shared" si="130"/>
        <v>#DIV/0!</v>
      </c>
      <c r="AQ97" s="555">
        <f t="shared" ref="AQ97:BC97" si="162">AQ98+AQ104+AQ113+AQ118</f>
        <v>0</v>
      </c>
      <c r="AR97" s="555">
        <f t="shared" si="162"/>
        <v>75</v>
      </c>
      <c r="AS97" s="555">
        <f t="shared" si="162"/>
        <v>75</v>
      </c>
      <c r="AT97" s="556">
        <f t="shared" si="162"/>
        <v>58.005549999999999</v>
      </c>
      <c r="AU97" s="556">
        <f t="shared" si="162"/>
        <v>50.356099999999998</v>
      </c>
      <c r="AV97" s="556">
        <f t="shared" si="162"/>
        <v>45.061489999999999</v>
      </c>
      <c r="AW97" s="556">
        <f t="shared" si="162"/>
        <v>0</v>
      </c>
      <c r="AX97" s="556">
        <f t="shared" si="162"/>
        <v>0</v>
      </c>
      <c r="AY97" s="556">
        <f t="shared" si="162"/>
        <v>0</v>
      </c>
      <c r="AZ97" s="556">
        <f t="shared" si="162"/>
        <v>0</v>
      </c>
      <c r="BA97" s="556">
        <f t="shared" si="162"/>
        <v>1.7667200000000001</v>
      </c>
      <c r="BB97" s="556">
        <f t="shared" si="162"/>
        <v>45.061489999999999</v>
      </c>
      <c r="BC97" s="556">
        <f t="shared" si="162"/>
        <v>0</v>
      </c>
      <c r="BD97" s="557"/>
      <c r="BE97" s="557"/>
      <c r="BF97" s="557"/>
      <c r="BG97" s="558"/>
      <c r="BH97" s="559"/>
      <c r="BI97" s="559">
        <f t="shared" si="135"/>
        <v>0.77340733333333334</v>
      </c>
    </row>
    <row r="98" spans="1:61" s="359" customFormat="1" ht="24.75" customHeight="1" x14ac:dyDescent="0.3">
      <c r="A98" s="560" t="s">
        <v>572</v>
      </c>
      <c r="B98" s="568" t="s">
        <v>592</v>
      </c>
      <c r="C98" s="566"/>
      <c r="D98" s="567">
        <v>0.4</v>
      </c>
      <c r="E98" s="561">
        <f t="shared" ref="E98:Q98" si="163">SUM(E99:E103)</f>
        <v>0</v>
      </c>
      <c r="F98" s="561">
        <f t="shared" si="163"/>
        <v>385</v>
      </c>
      <c r="G98" s="561">
        <f t="shared" si="163"/>
        <v>385</v>
      </c>
      <c r="H98" s="562">
        <f t="shared" si="163"/>
        <v>2409.5259999999998</v>
      </c>
      <c r="I98" s="562">
        <f t="shared" si="163"/>
        <v>2301.692</v>
      </c>
      <c r="J98" s="562">
        <f t="shared" si="163"/>
        <v>2227.0574799999999</v>
      </c>
      <c r="K98" s="562">
        <f t="shared" si="163"/>
        <v>2227.0574799999999</v>
      </c>
      <c r="L98" s="562">
        <f t="shared" si="163"/>
        <v>36.921999999999997</v>
      </c>
      <c r="M98" s="562">
        <f t="shared" si="163"/>
        <v>0</v>
      </c>
      <c r="N98" s="562">
        <f t="shared" si="163"/>
        <v>0</v>
      </c>
      <c r="O98" s="562">
        <f t="shared" si="163"/>
        <v>27.088000000000001</v>
      </c>
      <c r="P98" s="562">
        <f t="shared" si="163"/>
        <v>2227.0574799999999</v>
      </c>
      <c r="Q98" s="562">
        <f t="shared" si="163"/>
        <v>2227.0574799999999</v>
      </c>
      <c r="R98" s="563"/>
      <c r="S98" s="563"/>
      <c r="T98" s="563"/>
      <c r="U98" s="564"/>
      <c r="V98" s="565"/>
      <c r="W98" s="565">
        <f t="shared" si="114"/>
        <v>6.2585090909090901</v>
      </c>
      <c r="X98" s="561">
        <f t="shared" ref="X98:AJ98" si="164">SUM(X99:X103)</f>
        <v>0</v>
      </c>
      <c r="Y98" s="561">
        <f t="shared" si="164"/>
        <v>0</v>
      </c>
      <c r="Z98" s="561">
        <f t="shared" si="164"/>
        <v>0</v>
      </c>
      <c r="AA98" s="562">
        <f t="shared" si="164"/>
        <v>8.5823499999999999</v>
      </c>
      <c r="AB98" s="562">
        <f t="shared" si="164"/>
        <v>8.2450200000000002</v>
      </c>
      <c r="AC98" s="562">
        <f t="shared" si="164"/>
        <v>7.27</v>
      </c>
      <c r="AD98" s="562">
        <f t="shared" si="164"/>
        <v>0.86661999999999995</v>
      </c>
      <c r="AE98" s="562">
        <f t="shared" si="164"/>
        <v>3.116E-2</v>
      </c>
      <c r="AF98" s="562">
        <f t="shared" si="164"/>
        <v>0</v>
      </c>
      <c r="AG98" s="562">
        <f t="shared" si="164"/>
        <v>0</v>
      </c>
      <c r="AH98" s="562">
        <f t="shared" si="164"/>
        <v>0.1143</v>
      </c>
      <c r="AI98" s="562">
        <f t="shared" si="164"/>
        <v>7.27</v>
      </c>
      <c r="AJ98" s="562">
        <f t="shared" si="164"/>
        <v>0.86661999999999995</v>
      </c>
      <c r="AK98" s="563"/>
      <c r="AL98" s="563"/>
      <c r="AM98" s="563"/>
      <c r="AN98" s="564"/>
      <c r="AO98" s="565"/>
      <c r="AP98" s="565" t="e">
        <f t="shared" si="130"/>
        <v>#DIV/0!</v>
      </c>
      <c r="AQ98" s="561">
        <f t="shared" ref="AQ98:BC98" si="165">SUM(AQ99:AQ103)</f>
        <v>0</v>
      </c>
      <c r="AR98" s="561">
        <f t="shared" si="165"/>
        <v>15</v>
      </c>
      <c r="AS98" s="561">
        <f t="shared" si="165"/>
        <v>15</v>
      </c>
      <c r="AT98" s="562">
        <f t="shared" si="165"/>
        <v>8.7450200000000002</v>
      </c>
      <c r="AU98" s="562">
        <f t="shared" si="165"/>
        <v>7.9526700000000003</v>
      </c>
      <c r="AV98" s="562">
        <f t="shared" si="165"/>
        <v>7.0416499999999997</v>
      </c>
      <c r="AW98" s="562">
        <f t="shared" si="165"/>
        <v>0</v>
      </c>
      <c r="AX98" s="562">
        <f t="shared" si="165"/>
        <v>0</v>
      </c>
      <c r="AY98" s="562">
        <f t="shared" si="165"/>
        <v>0</v>
      </c>
      <c r="AZ98" s="562">
        <f t="shared" si="165"/>
        <v>0</v>
      </c>
      <c r="BA98" s="562">
        <f t="shared" si="165"/>
        <v>0.18472</v>
      </c>
      <c r="BB98" s="562">
        <f t="shared" si="165"/>
        <v>7.0416499999999997</v>
      </c>
      <c r="BC98" s="562">
        <f t="shared" si="165"/>
        <v>0</v>
      </c>
      <c r="BD98" s="563"/>
      <c r="BE98" s="563"/>
      <c r="BF98" s="563"/>
      <c r="BG98" s="564"/>
      <c r="BH98" s="565"/>
      <c r="BI98" s="565">
        <f t="shared" si="135"/>
        <v>0.58300133333333337</v>
      </c>
    </row>
    <row r="99" spans="1:61" s="359" customFormat="1" ht="19.2" x14ac:dyDescent="0.3">
      <c r="A99" s="360" t="s">
        <v>178</v>
      </c>
      <c r="B99" s="513"/>
      <c r="C99" s="433"/>
      <c r="D99" s="361"/>
      <c r="E99" s="400"/>
      <c r="F99" s="404">
        <v>385</v>
      </c>
      <c r="G99" s="400">
        <v>385</v>
      </c>
      <c r="H99" s="419">
        <v>2409.5259999999998</v>
      </c>
      <c r="I99" s="401">
        <v>2301.692</v>
      </c>
      <c r="J99" s="401">
        <v>2227.0574799999999</v>
      </c>
      <c r="K99" s="401">
        <v>2227.0574799999999</v>
      </c>
      <c r="L99" s="401">
        <v>36.921999999999997</v>
      </c>
      <c r="M99" s="401">
        <v>0</v>
      </c>
      <c r="N99" s="401">
        <v>0</v>
      </c>
      <c r="O99" s="401">
        <v>27.088000000000001</v>
      </c>
      <c r="P99" s="401">
        <v>2227.0574799999999</v>
      </c>
      <c r="Q99" s="401">
        <v>2227.0574799999999</v>
      </c>
      <c r="R99" s="385" t="s">
        <v>167</v>
      </c>
      <c r="S99" s="439" t="s">
        <v>175</v>
      </c>
      <c r="T99" s="389"/>
      <c r="U99" s="521">
        <v>316</v>
      </c>
      <c r="V99" s="402"/>
      <c r="W99" s="402">
        <f t="shared" ref="W99:W118" si="166">H99/F99</f>
        <v>6.2585090909090901</v>
      </c>
      <c r="X99" s="400"/>
      <c r="Y99" s="404"/>
      <c r="Z99" s="400"/>
      <c r="AA99" s="419"/>
      <c r="AB99" s="401"/>
      <c r="AC99" s="401"/>
      <c r="AD99" s="401"/>
      <c r="AE99" s="401"/>
      <c r="AF99" s="401"/>
      <c r="AG99" s="401"/>
      <c r="AH99" s="401"/>
      <c r="AI99" s="401"/>
      <c r="AJ99" s="401"/>
      <c r="AK99" s="385" t="s">
        <v>167</v>
      </c>
      <c r="AL99" s="439" t="s">
        <v>175</v>
      </c>
      <c r="AM99" s="389"/>
      <c r="AN99" s="521"/>
      <c r="AO99" s="402"/>
      <c r="AP99" s="402" t="e">
        <f t="shared" ref="AP99:AP118" si="167">AA99/Y99</f>
        <v>#DIV/0!</v>
      </c>
      <c r="AQ99" s="400"/>
      <c r="AR99" s="404"/>
      <c r="AS99" s="400"/>
      <c r="AT99" s="419"/>
      <c r="AU99" s="401"/>
      <c r="AV99" s="401"/>
      <c r="AW99" s="401"/>
      <c r="AX99" s="401"/>
      <c r="AY99" s="401"/>
      <c r="AZ99" s="401"/>
      <c r="BA99" s="401"/>
      <c r="BB99" s="401"/>
      <c r="BC99" s="401"/>
      <c r="BD99" s="385"/>
      <c r="BE99" s="439"/>
      <c r="BF99" s="389"/>
      <c r="BG99" s="521"/>
      <c r="BH99" s="402"/>
      <c r="BI99" s="402" t="e">
        <f t="shared" ref="BI99:BI102" si="168">AT99/AR99</f>
        <v>#DIV/0!</v>
      </c>
    </row>
    <row r="100" spans="1:61" s="359" customFormat="1" x14ac:dyDescent="0.3">
      <c r="A100" s="360" t="s">
        <v>179</v>
      </c>
      <c r="B100" s="543" t="s">
        <v>591</v>
      </c>
      <c r="C100" s="433"/>
      <c r="D100" s="361"/>
      <c r="E100" s="400"/>
      <c r="F100" s="404"/>
      <c r="G100" s="400"/>
      <c r="H100" s="543"/>
      <c r="I100" s="401"/>
      <c r="J100" s="401"/>
      <c r="K100" s="401"/>
      <c r="L100" s="401"/>
      <c r="M100" s="401"/>
      <c r="N100" s="401"/>
      <c r="O100" s="401"/>
      <c r="P100" s="401"/>
      <c r="Q100" s="401"/>
      <c r="R100" s="385"/>
      <c r="S100" s="439"/>
      <c r="T100" s="389"/>
      <c r="U100" s="521"/>
      <c r="V100" s="402"/>
      <c r="W100" s="402"/>
      <c r="X100" s="400"/>
      <c r="Y100" s="404"/>
      <c r="Z100" s="400"/>
      <c r="AA100" s="573">
        <v>8.5823499999999999</v>
      </c>
      <c r="AB100" s="401">
        <v>8.2450200000000002</v>
      </c>
      <c r="AC100" s="401">
        <v>7.27</v>
      </c>
      <c r="AD100" s="401">
        <f>0.42436+0.44226</f>
        <v>0.86661999999999995</v>
      </c>
      <c r="AE100" s="401">
        <v>3.116E-2</v>
      </c>
      <c r="AF100" s="401">
        <v>0</v>
      </c>
      <c r="AG100" s="401">
        <v>0</v>
      </c>
      <c r="AH100" s="401">
        <v>0.1143</v>
      </c>
      <c r="AI100" s="401">
        <v>7.27</v>
      </c>
      <c r="AJ100" s="401">
        <v>0.86661999999999995</v>
      </c>
      <c r="AK100" s="385"/>
      <c r="AL100" s="439"/>
      <c r="AM100" s="389"/>
      <c r="AN100" s="521"/>
      <c r="AO100" s="402"/>
      <c r="AP100" s="402"/>
      <c r="AQ100" s="400"/>
      <c r="AR100" s="404"/>
      <c r="AS100" s="400"/>
      <c r="AT100" s="573"/>
      <c r="AU100" s="401"/>
      <c r="AV100" s="401"/>
      <c r="AW100" s="401"/>
      <c r="AX100" s="401"/>
      <c r="AY100" s="401"/>
      <c r="AZ100" s="401"/>
      <c r="BA100" s="401"/>
      <c r="BB100" s="401"/>
      <c r="BC100" s="401"/>
      <c r="BD100" s="385"/>
      <c r="BE100" s="439"/>
      <c r="BF100" s="389"/>
      <c r="BG100" s="521"/>
      <c r="BH100" s="402"/>
      <c r="BI100" s="402" t="e">
        <f t="shared" si="168"/>
        <v>#DIV/0!</v>
      </c>
    </row>
    <row r="101" spans="1:61" s="359" customFormat="1" ht="19.2" x14ac:dyDescent="0.3">
      <c r="A101" s="360" t="s">
        <v>179</v>
      </c>
      <c r="B101" s="579" t="s">
        <v>955</v>
      </c>
      <c r="C101" s="433" t="s">
        <v>859</v>
      </c>
      <c r="D101" s="361">
        <v>0.22</v>
      </c>
      <c r="E101" s="400"/>
      <c r="F101" s="404"/>
      <c r="G101" s="400"/>
      <c r="H101" s="382"/>
      <c r="I101" s="401"/>
      <c r="J101" s="401"/>
      <c r="K101" s="401"/>
      <c r="L101" s="401"/>
      <c r="M101" s="401"/>
      <c r="N101" s="401"/>
      <c r="O101" s="401"/>
      <c r="P101" s="401"/>
      <c r="Q101" s="401"/>
      <c r="R101" s="385"/>
      <c r="S101" s="439"/>
      <c r="T101" s="389"/>
      <c r="U101" s="521"/>
      <c r="V101" s="402"/>
      <c r="W101" s="402"/>
      <c r="X101" s="400"/>
      <c r="Y101" s="404"/>
      <c r="Z101" s="400"/>
      <c r="AA101" s="586"/>
      <c r="AB101" s="401"/>
      <c r="AC101" s="401"/>
      <c r="AD101" s="401"/>
      <c r="AE101" s="401"/>
      <c r="AF101" s="401"/>
      <c r="AG101" s="401"/>
      <c r="AH101" s="401"/>
      <c r="AI101" s="401"/>
      <c r="AJ101" s="401"/>
      <c r="AK101" s="385"/>
      <c r="AL101" s="439"/>
      <c r="AM101" s="389"/>
      <c r="AN101" s="521"/>
      <c r="AO101" s="402"/>
      <c r="AP101" s="402"/>
      <c r="AQ101" s="400"/>
      <c r="AR101" s="587">
        <v>15</v>
      </c>
      <c r="AS101" s="400">
        <v>15</v>
      </c>
      <c r="AT101" s="585">
        <v>8.7450200000000002</v>
      </c>
      <c r="AU101" s="401">
        <v>7.9526700000000003</v>
      </c>
      <c r="AV101" s="401">
        <v>7.0416499999999997</v>
      </c>
      <c r="AW101" s="401"/>
      <c r="AX101" s="401"/>
      <c r="AY101" s="401">
        <v>0</v>
      </c>
      <c r="AZ101" s="401">
        <v>0</v>
      </c>
      <c r="BA101" s="401">
        <v>0.18472</v>
      </c>
      <c r="BB101" s="401">
        <v>7.0416499999999997</v>
      </c>
      <c r="BC101" s="401"/>
      <c r="BD101" s="385" t="s">
        <v>167</v>
      </c>
      <c r="BE101" s="439" t="s">
        <v>175</v>
      </c>
      <c r="BF101" s="389"/>
      <c r="BG101" s="521">
        <v>916</v>
      </c>
      <c r="BH101" s="402"/>
      <c r="BI101" s="402">
        <f>AT101/AR101</f>
        <v>0.58300133333333337</v>
      </c>
    </row>
    <row r="102" spans="1:61" s="359" customFormat="1" x14ac:dyDescent="0.3">
      <c r="A102" s="360"/>
      <c r="B102" s="382"/>
      <c r="C102" s="433"/>
      <c r="D102" s="361"/>
      <c r="E102" s="400"/>
      <c r="F102" s="404"/>
      <c r="G102" s="400"/>
      <c r="H102" s="382"/>
      <c r="I102" s="401"/>
      <c r="J102" s="401"/>
      <c r="K102" s="401"/>
      <c r="L102" s="401"/>
      <c r="M102" s="401"/>
      <c r="N102" s="401"/>
      <c r="O102" s="401"/>
      <c r="P102" s="401"/>
      <c r="Q102" s="401"/>
      <c r="R102" s="385"/>
      <c r="S102" s="439"/>
      <c r="T102" s="389"/>
      <c r="U102" s="521"/>
      <c r="V102" s="402"/>
      <c r="W102" s="402"/>
      <c r="X102" s="400"/>
      <c r="Y102" s="404"/>
      <c r="Z102" s="400"/>
      <c r="AA102" s="586"/>
      <c r="AB102" s="401"/>
      <c r="AC102" s="401"/>
      <c r="AD102" s="401"/>
      <c r="AE102" s="401"/>
      <c r="AF102" s="401"/>
      <c r="AG102" s="401"/>
      <c r="AH102" s="401"/>
      <c r="AI102" s="401"/>
      <c r="AJ102" s="401"/>
      <c r="AK102" s="385"/>
      <c r="AL102" s="439"/>
      <c r="AM102" s="389"/>
      <c r="AN102" s="521"/>
      <c r="AO102" s="402"/>
      <c r="AP102" s="402"/>
      <c r="AQ102" s="400"/>
      <c r="AR102" s="404"/>
      <c r="AS102" s="400"/>
      <c r="AT102" s="586"/>
      <c r="AU102" s="401"/>
      <c r="AV102" s="401"/>
      <c r="AW102" s="401"/>
      <c r="AX102" s="401"/>
      <c r="AY102" s="401"/>
      <c r="AZ102" s="401"/>
      <c r="BA102" s="401"/>
      <c r="BB102" s="401"/>
      <c r="BC102" s="401"/>
      <c r="BD102" s="385"/>
      <c r="BE102" s="439"/>
      <c r="BF102" s="389"/>
      <c r="BG102" s="521"/>
      <c r="BH102" s="402"/>
      <c r="BI102" s="402" t="e">
        <f t="shared" si="168"/>
        <v>#DIV/0!</v>
      </c>
    </row>
    <row r="103" spans="1:61" s="359" customFormat="1" x14ac:dyDescent="0.3">
      <c r="A103" s="360"/>
      <c r="B103" s="382"/>
      <c r="C103" s="433"/>
      <c r="D103" s="361"/>
      <c r="E103" s="400"/>
      <c r="F103" s="404"/>
      <c r="G103" s="400"/>
      <c r="H103" s="401"/>
      <c r="I103" s="401"/>
      <c r="J103" s="401"/>
      <c r="K103" s="401"/>
      <c r="L103" s="401"/>
      <c r="M103" s="401"/>
      <c r="N103" s="401"/>
      <c r="O103" s="401"/>
      <c r="P103" s="401"/>
      <c r="Q103" s="401"/>
      <c r="R103" s="389"/>
      <c r="S103" s="389"/>
      <c r="T103" s="389"/>
      <c r="U103" s="521"/>
      <c r="V103" s="402"/>
      <c r="W103" s="402" t="e">
        <f t="shared" si="166"/>
        <v>#DIV/0!</v>
      </c>
      <c r="X103" s="400"/>
      <c r="Y103" s="404"/>
      <c r="Z103" s="400"/>
      <c r="AA103" s="401"/>
      <c r="AB103" s="401"/>
      <c r="AC103" s="401"/>
      <c r="AD103" s="401"/>
      <c r="AE103" s="401"/>
      <c r="AF103" s="401"/>
      <c r="AG103" s="401"/>
      <c r="AH103" s="401"/>
      <c r="AI103" s="401"/>
      <c r="AJ103" s="401"/>
      <c r="AK103" s="389"/>
      <c r="AL103" s="389"/>
      <c r="AM103" s="389"/>
      <c r="AN103" s="521"/>
      <c r="AO103" s="402"/>
      <c r="AP103" s="402" t="e">
        <f t="shared" si="167"/>
        <v>#DIV/0!</v>
      </c>
      <c r="AQ103" s="400"/>
      <c r="AR103" s="404"/>
      <c r="AS103" s="400"/>
      <c r="AT103" s="401"/>
      <c r="AU103" s="401"/>
      <c r="AV103" s="401"/>
      <c r="AW103" s="401"/>
      <c r="AX103" s="401"/>
      <c r="AY103" s="401"/>
      <c r="AZ103" s="401"/>
      <c r="BA103" s="401"/>
      <c r="BB103" s="401"/>
      <c r="BC103" s="401"/>
      <c r="BD103" s="389"/>
      <c r="BE103" s="389"/>
      <c r="BF103" s="389"/>
      <c r="BG103" s="521"/>
      <c r="BH103" s="402"/>
      <c r="BI103" s="402" t="e">
        <f t="shared" ref="BI103:BI104" si="169">AT103/AR103</f>
        <v>#DIV/0!</v>
      </c>
    </row>
    <row r="104" spans="1:61" s="359" customFormat="1" ht="24.75" customHeight="1" x14ac:dyDescent="0.3">
      <c r="A104" s="560" t="s">
        <v>573</v>
      </c>
      <c r="B104" s="568" t="s">
        <v>593</v>
      </c>
      <c r="C104" s="566"/>
      <c r="D104" s="567">
        <v>0.4</v>
      </c>
      <c r="E104" s="561">
        <f t="shared" ref="E104:Q104" si="170">SUM(E105:E112)</f>
        <v>0</v>
      </c>
      <c r="F104" s="561">
        <f t="shared" si="170"/>
        <v>0</v>
      </c>
      <c r="G104" s="561">
        <f t="shared" si="170"/>
        <v>0</v>
      </c>
      <c r="H104" s="562">
        <f t="shared" si="170"/>
        <v>0</v>
      </c>
      <c r="I104" s="562">
        <f t="shared" si="170"/>
        <v>0</v>
      </c>
      <c r="J104" s="562">
        <f t="shared" si="170"/>
        <v>0</v>
      </c>
      <c r="K104" s="562">
        <f t="shared" si="170"/>
        <v>0</v>
      </c>
      <c r="L104" s="562">
        <f t="shared" si="170"/>
        <v>0</v>
      </c>
      <c r="M104" s="562">
        <f t="shared" si="170"/>
        <v>0</v>
      </c>
      <c r="N104" s="562">
        <f t="shared" si="170"/>
        <v>0</v>
      </c>
      <c r="O104" s="562">
        <f t="shared" si="170"/>
        <v>0</v>
      </c>
      <c r="P104" s="562">
        <f t="shared" si="170"/>
        <v>0</v>
      </c>
      <c r="Q104" s="562">
        <f t="shared" si="170"/>
        <v>0</v>
      </c>
      <c r="R104" s="563"/>
      <c r="S104" s="563"/>
      <c r="T104" s="563"/>
      <c r="U104" s="564"/>
      <c r="V104" s="565"/>
      <c r="W104" s="565" t="e">
        <f t="shared" si="166"/>
        <v>#DIV/0!</v>
      </c>
      <c r="X104" s="561">
        <f t="shared" ref="X104:AJ104" si="171">SUM(X105:X112)</f>
        <v>0</v>
      </c>
      <c r="Y104" s="561">
        <f t="shared" si="171"/>
        <v>0</v>
      </c>
      <c r="Z104" s="561">
        <f t="shared" si="171"/>
        <v>0</v>
      </c>
      <c r="AA104" s="562">
        <f t="shared" si="171"/>
        <v>20.48752</v>
      </c>
      <c r="AB104" s="562">
        <f t="shared" si="171"/>
        <v>16.243359999999999</v>
      </c>
      <c r="AC104" s="562">
        <f t="shared" si="171"/>
        <v>10.8</v>
      </c>
      <c r="AD104" s="562">
        <f t="shared" si="171"/>
        <v>3.8008299999999999</v>
      </c>
      <c r="AE104" s="562">
        <f t="shared" si="171"/>
        <v>0.42897999999999997</v>
      </c>
      <c r="AF104" s="562">
        <f t="shared" si="171"/>
        <v>0</v>
      </c>
      <c r="AG104" s="562">
        <f t="shared" si="171"/>
        <v>0</v>
      </c>
      <c r="AH104" s="562">
        <f t="shared" si="171"/>
        <v>1.4343900000000001</v>
      </c>
      <c r="AI104" s="562">
        <f t="shared" si="171"/>
        <v>10.8</v>
      </c>
      <c r="AJ104" s="562">
        <f t="shared" si="171"/>
        <v>3.8008299999999999</v>
      </c>
      <c r="AK104" s="563"/>
      <c r="AL104" s="563"/>
      <c r="AM104" s="563"/>
      <c r="AN104" s="564"/>
      <c r="AO104" s="565"/>
      <c r="AP104" s="565" t="e">
        <f t="shared" si="167"/>
        <v>#DIV/0!</v>
      </c>
      <c r="AQ104" s="561">
        <f t="shared" ref="AQ104:BC104" si="172">SUM(AQ105:AQ112)</f>
        <v>0</v>
      </c>
      <c r="AR104" s="561">
        <f t="shared" si="172"/>
        <v>60</v>
      </c>
      <c r="AS104" s="561">
        <f t="shared" si="172"/>
        <v>60</v>
      </c>
      <c r="AT104" s="562">
        <f t="shared" si="172"/>
        <v>49.260530000000003</v>
      </c>
      <c r="AU104" s="562">
        <f t="shared" si="172"/>
        <v>42.40343</v>
      </c>
      <c r="AV104" s="562">
        <f t="shared" si="172"/>
        <v>38.019840000000002</v>
      </c>
      <c r="AW104" s="562">
        <f t="shared" si="172"/>
        <v>0</v>
      </c>
      <c r="AX104" s="562">
        <f t="shared" si="172"/>
        <v>0</v>
      </c>
      <c r="AY104" s="562">
        <f t="shared" si="172"/>
        <v>0</v>
      </c>
      <c r="AZ104" s="562">
        <f t="shared" si="172"/>
        <v>0</v>
      </c>
      <c r="BA104" s="562">
        <f t="shared" si="172"/>
        <v>1.5820000000000001</v>
      </c>
      <c r="BB104" s="562">
        <f t="shared" si="172"/>
        <v>38.019840000000002</v>
      </c>
      <c r="BC104" s="562">
        <f t="shared" si="172"/>
        <v>0</v>
      </c>
      <c r="BD104" s="563"/>
      <c r="BE104" s="563"/>
      <c r="BF104" s="563"/>
      <c r="BG104" s="564"/>
      <c r="BH104" s="565"/>
      <c r="BI104" s="565">
        <f t="shared" si="169"/>
        <v>0.82100883333333341</v>
      </c>
    </row>
    <row r="105" spans="1:61" s="359" customFormat="1" x14ac:dyDescent="0.3">
      <c r="A105" s="360" t="s">
        <v>178</v>
      </c>
      <c r="B105" s="513"/>
      <c r="C105" s="433"/>
      <c r="D105" s="361"/>
      <c r="E105" s="400"/>
      <c r="F105" s="400"/>
      <c r="G105" s="400"/>
      <c r="H105" s="513"/>
      <c r="I105" s="401"/>
      <c r="J105" s="401"/>
      <c r="K105" s="401"/>
      <c r="L105" s="401"/>
      <c r="M105" s="401"/>
      <c r="N105" s="401"/>
      <c r="O105" s="401"/>
      <c r="P105" s="401"/>
      <c r="Q105" s="401"/>
      <c r="R105" s="389"/>
      <c r="S105" s="389"/>
      <c r="T105" s="389"/>
      <c r="U105" s="521"/>
      <c r="V105" s="402"/>
      <c r="W105" s="402"/>
      <c r="X105" s="400"/>
      <c r="Y105" s="400"/>
      <c r="Z105" s="400"/>
      <c r="AA105" s="419"/>
      <c r="AB105" s="401"/>
      <c r="AC105" s="401"/>
      <c r="AD105" s="401"/>
      <c r="AE105" s="401"/>
      <c r="AF105" s="401"/>
      <c r="AG105" s="401"/>
      <c r="AH105" s="401"/>
      <c r="AI105" s="401"/>
      <c r="AJ105" s="401"/>
      <c r="AK105" s="389"/>
      <c r="AL105" s="389"/>
      <c r="AM105" s="389"/>
      <c r="AN105" s="521"/>
      <c r="AO105" s="402"/>
      <c r="AP105" s="402"/>
      <c r="AQ105" s="400"/>
      <c r="AR105" s="400"/>
      <c r="AS105" s="400"/>
      <c r="AT105" s="419"/>
      <c r="AU105" s="401"/>
      <c r="AV105" s="401"/>
      <c r="AW105" s="401"/>
      <c r="AX105" s="401"/>
      <c r="AY105" s="401"/>
      <c r="AZ105" s="401"/>
      <c r="BA105" s="401"/>
      <c r="BB105" s="401"/>
      <c r="BC105" s="401"/>
      <c r="BD105" s="389"/>
      <c r="BE105" s="389"/>
      <c r="BF105" s="389"/>
      <c r="BG105" s="521"/>
      <c r="BH105" s="402"/>
      <c r="BI105" s="402" t="e">
        <f t="shared" ref="BI105:BI113" si="173">AT105/AR105</f>
        <v>#DIV/0!</v>
      </c>
    </row>
    <row r="106" spans="1:61" s="359" customFormat="1" ht="19.2" x14ac:dyDescent="0.3">
      <c r="A106" s="360" t="s">
        <v>179</v>
      </c>
      <c r="B106" s="543" t="s">
        <v>591</v>
      </c>
      <c r="C106" s="433"/>
      <c r="D106" s="361">
        <v>6</v>
      </c>
      <c r="E106" s="400"/>
      <c r="F106" s="404"/>
      <c r="G106" s="400"/>
      <c r="H106" s="543"/>
      <c r="I106" s="401"/>
      <c r="J106" s="401"/>
      <c r="K106" s="401"/>
      <c r="L106" s="401"/>
      <c r="M106" s="401"/>
      <c r="N106" s="401"/>
      <c r="O106" s="401"/>
      <c r="P106" s="401"/>
      <c r="Q106" s="401"/>
      <c r="R106" s="389"/>
      <c r="S106" s="389"/>
      <c r="T106" s="389"/>
      <c r="U106" s="521"/>
      <c r="V106" s="402"/>
      <c r="W106" s="402" t="e">
        <f t="shared" si="166"/>
        <v>#DIV/0!</v>
      </c>
      <c r="X106" s="400"/>
      <c r="Y106" s="550"/>
      <c r="Z106" s="549"/>
      <c r="AA106" s="573">
        <v>20.48752</v>
      </c>
      <c r="AB106" s="401">
        <v>16.243359999999999</v>
      </c>
      <c r="AC106" s="401">
        <v>10.8</v>
      </c>
      <c r="AD106" s="401">
        <f>0.84872+0.32999+2.62212</f>
        <v>3.8008299999999999</v>
      </c>
      <c r="AE106" s="401">
        <v>0.42897999999999997</v>
      </c>
      <c r="AF106" s="401">
        <v>0</v>
      </c>
      <c r="AG106" s="401">
        <v>0</v>
      </c>
      <c r="AH106" s="401">
        <v>1.4343900000000001</v>
      </c>
      <c r="AI106" s="401">
        <v>10.8</v>
      </c>
      <c r="AJ106" s="401">
        <f>0.84872+0.32999+2.62212</f>
        <v>3.8008299999999999</v>
      </c>
      <c r="AK106" s="385" t="s">
        <v>167</v>
      </c>
      <c r="AL106" s="439" t="s">
        <v>175</v>
      </c>
      <c r="AM106" s="389"/>
      <c r="AN106" s="521"/>
      <c r="AO106" s="402"/>
      <c r="AP106" s="402" t="e">
        <f t="shared" si="167"/>
        <v>#DIV/0!</v>
      </c>
      <c r="AQ106" s="400"/>
      <c r="AR106" s="550"/>
      <c r="AS106" s="549"/>
      <c r="AT106" s="573"/>
      <c r="AU106" s="401"/>
      <c r="AV106" s="401"/>
      <c r="AW106" s="401"/>
      <c r="AX106" s="401"/>
      <c r="AY106" s="401"/>
      <c r="AZ106" s="401"/>
      <c r="BA106" s="401"/>
      <c r="BB106" s="401"/>
      <c r="BC106" s="401"/>
      <c r="BD106" s="385"/>
      <c r="BE106" s="439"/>
      <c r="BF106" s="389"/>
      <c r="BG106" s="521"/>
      <c r="BH106" s="402"/>
      <c r="BI106" s="402" t="e">
        <f t="shared" si="173"/>
        <v>#DIV/0!</v>
      </c>
    </row>
    <row r="107" spans="1:61" s="359" customFormat="1" ht="19.2" x14ac:dyDescent="0.3">
      <c r="A107" s="360" t="s">
        <v>179</v>
      </c>
      <c r="B107" s="579" t="s">
        <v>1080</v>
      </c>
      <c r="C107" s="433" t="s">
        <v>1079</v>
      </c>
      <c r="D107" s="361">
        <v>0.4</v>
      </c>
      <c r="E107" s="400"/>
      <c r="F107" s="404"/>
      <c r="G107" s="400"/>
      <c r="H107" s="382"/>
      <c r="I107" s="401"/>
      <c r="J107" s="401"/>
      <c r="K107" s="401"/>
      <c r="L107" s="401"/>
      <c r="M107" s="401"/>
      <c r="N107" s="401"/>
      <c r="O107" s="401"/>
      <c r="P107" s="401"/>
      <c r="Q107" s="401"/>
      <c r="R107" s="389"/>
      <c r="S107" s="389"/>
      <c r="T107" s="389"/>
      <c r="U107" s="521"/>
      <c r="V107" s="402"/>
      <c r="W107" s="402"/>
      <c r="X107" s="400"/>
      <c r="Y107" s="550"/>
      <c r="Z107" s="549"/>
      <c r="AA107" s="586"/>
      <c r="AB107" s="401"/>
      <c r="AC107" s="401"/>
      <c r="AD107" s="401"/>
      <c r="AE107" s="401"/>
      <c r="AF107" s="401"/>
      <c r="AG107" s="401"/>
      <c r="AH107" s="401"/>
      <c r="AI107" s="401"/>
      <c r="AJ107" s="401"/>
      <c r="AK107" s="385"/>
      <c r="AL107" s="439"/>
      <c r="AM107" s="389"/>
      <c r="AN107" s="521"/>
      <c r="AO107" s="402"/>
      <c r="AP107" s="402"/>
      <c r="AQ107" s="400"/>
      <c r="AR107" s="337">
        <v>15</v>
      </c>
      <c r="AS107" s="549">
        <v>15</v>
      </c>
      <c r="AT107" s="585">
        <v>13.26878</v>
      </c>
      <c r="AU107" s="401">
        <v>11.536709999999999</v>
      </c>
      <c r="AV107" s="401">
        <v>10.46828</v>
      </c>
      <c r="AW107" s="401"/>
      <c r="AX107" s="401"/>
      <c r="AY107" s="401">
        <v>0</v>
      </c>
      <c r="AZ107" s="401">
        <v>0</v>
      </c>
      <c r="BA107" s="401">
        <v>0.39550000000000002</v>
      </c>
      <c r="BB107" s="401">
        <v>10.46828</v>
      </c>
      <c r="BC107" s="401"/>
      <c r="BD107" s="385" t="s">
        <v>167</v>
      </c>
      <c r="BE107" s="439" t="s">
        <v>175</v>
      </c>
      <c r="BF107" s="389"/>
      <c r="BG107" s="521">
        <v>918</v>
      </c>
      <c r="BH107" s="402"/>
      <c r="BI107" s="402">
        <f>AT107/AR107</f>
        <v>0.88458533333333333</v>
      </c>
    </row>
    <row r="108" spans="1:61" s="359" customFormat="1" ht="19.2" x14ac:dyDescent="0.3">
      <c r="A108" s="360" t="s">
        <v>183</v>
      </c>
      <c r="B108" s="579" t="s">
        <v>1012</v>
      </c>
      <c r="C108" s="433" t="s">
        <v>891</v>
      </c>
      <c r="D108" s="361">
        <v>0.4</v>
      </c>
      <c r="E108" s="400"/>
      <c r="F108" s="404"/>
      <c r="G108" s="400"/>
      <c r="H108" s="382"/>
      <c r="I108" s="401"/>
      <c r="J108" s="401"/>
      <c r="K108" s="401"/>
      <c r="L108" s="401"/>
      <c r="M108" s="401"/>
      <c r="N108" s="401"/>
      <c r="O108" s="401"/>
      <c r="P108" s="401"/>
      <c r="Q108" s="401"/>
      <c r="R108" s="389"/>
      <c r="S108" s="389"/>
      <c r="T108" s="389"/>
      <c r="U108" s="521"/>
      <c r="V108" s="402"/>
      <c r="W108" s="402"/>
      <c r="X108" s="400"/>
      <c r="Y108" s="550"/>
      <c r="Z108" s="549"/>
      <c r="AA108" s="586"/>
      <c r="AB108" s="401"/>
      <c r="AC108" s="401"/>
      <c r="AD108" s="401"/>
      <c r="AE108" s="401"/>
      <c r="AF108" s="401"/>
      <c r="AG108" s="401"/>
      <c r="AH108" s="401"/>
      <c r="AI108" s="401"/>
      <c r="AJ108" s="401"/>
      <c r="AK108" s="385"/>
      <c r="AL108" s="439"/>
      <c r="AM108" s="389"/>
      <c r="AN108" s="521"/>
      <c r="AO108" s="402"/>
      <c r="AP108" s="402"/>
      <c r="AQ108" s="400"/>
      <c r="AR108" s="337">
        <v>15</v>
      </c>
      <c r="AS108" s="549">
        <v>15</v>
      </c>
      <c r="AT108" s="585">
        <v>11.479710000000001</v>
      </c>
      <c r="AU108" s="401">
        <v>9.7832100000000004</v>
      </c>
      <c r="AV108" s="401">
        <v>8.54162</v>
      </c>
      <c r="AW108" s="401"/>
      <c r="AX108" s="401"/>
      <c r="AY108" s="401">
        <v>0</v>
      </c>
      <c r="AZ108" s="401">
        <v>0</v>
      </c>
      <c r="BA108" s="401">
        <v>0.39550000000000002</v>
      </c>
      <c r="BB108" s="401">
        <v>8.54162</v>
      </c>
      <c r="BC108" s="401"/>
      <c r="BD108" s="385" t="s">
        <v>167</v>
      </c>
      <c r="BE108" s="439" t="s">
        <v>175</v>
      </c>
      <c r="BF108" s="389"/>
      <c r="BG108" s="521">
        <v>920</v>
      </c>
      <c r="BH108" s="402"/>
      <c r="BI108" s="402">
        <f>AT108/AR108</f>
        <v>0.76531400000000005</v>
      </c>
    </row>
    <row r="109" spans="1:61" s="359" customFormat="1" ht="19.2" x14ac:dyDescent="0.3">
      <c r="A109" s="360" t="s">
        <v>185</v>
      </c>
      <c r="B109" s="579" t="s">
        <v>1014</v>
      </c>
      <c r="C109" s="433" t="s">
        <v>893</v>
      </c>
      <c r="D109" s="361">
        <v>0.4</v>
      </c>
      <c r="E109" s="400"/>
      <c r="F109" s="404"/>
      <c r="G109" s="400"/>
      <c r="H109" s="382"/>
      <c r="I109" s="401"/>
      <c r="J109" s="401"/>
      <c r="K109" s="401"/>
      <c r="L109" s="401"/>
      <c r="M109" s="401"/>
      <c r="N109" s="401"/>
      <c r="O109" s="401"/>
      <c r="P109" s="401"/>
      <c r="Q109" s="401"/>
      <c r="R109" s="389"/>
      <c r="S109" s="389"/>
      <c r="T109" s="389"/>
      <c r="U109" s="521"/>
      <c r="V109" s="402"/>
      <c r="W109" s="402"/>
      <c r="X109" s="400"/>
      <c r="Y109" s="550"/>
      <c r="Z109" s="549"/>
      <c r="AA109" s="586"/>
      <c r="AB109" s="401"/>
      <c r="AC109" s="401"/>
      <c r="AD109" s="401"/>
      <c r="AE109" s="401"/>
      <c r="AF109" s="401"/>
      <c r="AG109" s="401"/>
      <c r="AH109" s="401"/>
      <c r="AI109" s="401"/>
      <c r="AJ109" s="401"/>
      <c r="AK109" s="385"/>
      <c r="AL109" s="439"/>
      <c r="AM109" s="389"/>
      <c r="AN109" s="521"/>
      <c r="AO109" s="402"/>
      <c r="AP109" s="402"/>
      <c r="AQ109" s="400"/>
      <c r="AR109" s="337">
        <v>15</v>
      </c>
      <c r="AS109" s="549">
        <v>15</v>
      </c>
      <c r="AT109" s="585">
        <v>11.243270000000001</v>
      </c>
      <c r="AU109" s="401">
        <v>9.54678</v>
      </c>
      <c r="AV109" s="401">
        <v>8.5416399999999992</v>
      </c>
      <c r="AW109" s="401"/>
      <c r="AX109" s="401"/>
      <c r="AY109" s="401">
        <v>0</v>
      </c>
      <c r="AZ109" s="401">
        <v>0</v>
      </c>
      <c r="BA109" s="401">
        <v>0.39550000000000002</v>
      </c>
      <c r="BB109" s="401">
        <v>8.5416399999999992</v>
      </c>
      <c r="BC109" s="401"/>
      <c r="BD109" s="385" t="s">
        <v>167</v>
      </c>
      <c r="BE109" s="439" t="s">
        <v>175</v>
      </c>
      <c r="BF109" s="389"/>
      <c r="BG109" s="521">
        <v>922</v>
      </c>
      <c r="BH109" s="402"/>
      <c r="BI109" s="402">
        <f>AT109/AR109</f>
        <v>0.74955133333333335</v>
      </c>
    </row>
    <row r="110" spans="1:61" s="359" customFormat="1" ht="19.2" x14ac:dyDescent="0.3">
      <c r="A110" s="360" t="s">
        <v>187</v>
      </c>
      <c r="B110" s="579" t="s">
        <v>1041</v>
      </c>
      <c r="C110" s="433" t="s">
        <v>921</v>
      </c>
      <c r="D110" s="361">
        <v>0.4</v>
      </c>
      <c r="E110" s="400"/>
      <c r="F110" s="404"/>
      <c r="G110" s="400"/>
      <c r="H110" s="382"/>
      <c r="I110" s="401"/>
      <c r="J110" s="401"/>
      <c r="K110" s="401"/>
      <c r="L110" s="401"/>
      <c r="M110" s="401"/>
      <c r="N110" s="401"/>
      <c r="O110" s="401"/>
      <c r="P110" s="401"/>
      <c r="Q110" s="401"/>
      <c r="R110" s="389"/>
      <c r="S110" s="389"/>
      <c r="T110" s="389"/>
      <c r="U110" s="521"/>
      <c r="V110" s="402"/>
      <c r="W110" s="402"/>
      <c r="X110" s="400"/>
      <c r="Y110" s="550"/>
      <c r="Z110" s="549"/>
      <c r="AA110" s="586"/>
      <c r="AB110" s="401"/>
      <c r="AC110" s="401"/>
      <c r="AD110" s="401"/>
      <c r="AE110" s="401"/>
      <c r="AF110" s="401"/>
      <c r="AG110" s="401"/>
      <c r="AH110" s="401"/>
      <c r="AI110" s="401"/>
      <c r="AJ110" s="401"/>
      <c r="AK110" s="385"/>
      <c r="AL110" s="439"/>
      <c r="AM110" s="389"/>
      <c r="AN110" s="521"/>
      <c r="AO110" s="402"/>
      <c r="AP110" s="402"/>
      <c r="AQ110" s="400"/>
      <c r="AR110" s="337">
        <v>15</v>
      </c>
      <c r="AS110" s="549">
        <v>15</v>
      </c>
      <c r="AT110" s="585">
        <v>13.26877</v>
      </c>
      <c r="AU110" s="401">
        <v>11.53673</v>
      </c>
      <c r="AV110" s="401">
        <v>10.468299999999999</v>
      </c>
      <c r="AW110" s="401"/>
      <c r="AX110" s="401"/>
      <c r="AY110" s="401">
        <v>0</v>
      </c>
      <c r="AZ110" s="401">
        <v>0</v>
      </c>
      <c r="BA110" s="401">
        <v>0.39550000000000002</v>
      </c>
      <c r="BB110" s="401">
        <v>10.468299999999999</v>
      </c>
      <c r="BC110" s="401"/>
      <c r="BD110" s="385" t="s">
        <v>167</v>
      </c>
      <c r="BE110" s="439" t="s">
        <v>175</v>
      </c>
      <c r="BF110" s="389"/>
      <c r="BG110" s="521">
        <v>924</v>
      </c>
      <c r="BH110" s="402"/>
      <c r="BI110" s="402">
        <f>AT110/AR110</f>
        <v>0.88458466666666669</v>
      </c>
    </row>
    <row r="111" spans="1:61" s="359" customFormat="1" x14ac:dyDescent="0.3">
      <c r="A111" s="360"/>
      <c r="B111" s="382"/>
      <c r="C111" s="433"/>
      <c r="D111" s="361"/>
      <c r="E111" s="400"/>
      <c r="F111" s="404"/>
      <c r="G111" s="400"/>
      <c r="H111" s="382"/>
      <c r="I111" s="401"/>
      <c r="J111" s="401"/>
      <c r="K111" s="401"/>
      <c r="L111" s="401"/>
      <c r="M111" s="401"/>
      <c r="N111" s="401"/>
      <c r="O111" s="401"/>
      <c r="P111" s="401"/>
      <c r="Q111" s="401"/>
      <c r="R111" s="389"/>
      <c r="S111" s="389"/>
      <c r="T111" s="389"/>
      <c r="U111" s="521"/>
      <c r="V111" s="402"/>
      <c r="W111" s="402"/>
      <c r="X111" s="400"/>
      <c r="Y111" s="589"/>
      <c r="Z111" s="337"/>
      <c r="AA111" s="586"/>
      <c r="AB111" s="401"/>
      <c r="AC111" s="401"/>
      <c r="AD111" s="401"/>
      <c r="AE111" s="401"/>
      <c r="AF111" s="401"/>
      <c r="AG111" s="401"/>
      <c r="AH111" s="401"/>
      <c r="AI111" s="401"/>
      <c r="AJ111" s="401"/>
      <c r="AK111" s="385"/>
      <c r="AL111" s="439"/>
      <c r="AM111" s="389"/>
      <c r="AN111" s="521"/>
      <c r="AO111" s="402"/>
      <c r="AP111" s="402"/>
      <c r="AQ111" s="400"/>
      <c r="AR111" s="337"/>
      <c r="AS111" s="337"/>
      <c r="AT111" s="586"/>
      <c r="AU111" s="401"/>
      <c r="AV111" s="401"/>
      <c r="AW111" s="401"/>
      <c r="AX111" s="401"/>
      <c r="AY111" s="401"/>
      <c r="AZ111" s="401"/>
      <c r="BA111" s="401"/>
      <c r="BB111" s="401"/>
      <c r="BC111" s="401"/>
      <c r="BD111" s="385"/>
      <c r="BE111" s="439"/>
      <c r="BF111" s="389"/>
      <c r="BG111" s="521"/>
      <c r="BH111" s="402"/>
      <c r="BI111" s="402"/>
    </row>
    <row r="112" spans="1:61" s="359" customFormat="1" x14ac:dyDescent="0.3">
      <c r="A112" s="360"/>
      <c r="B112" s="382"/>
      <c r="C112" s="433"/>
      <c r="D112" s="361"/>
      <c r="E112" s="400"/>
      <c r="F112" s="404"/>
      <c r="G112" s="400"/>
      <c r="H112" s="401"/>
      <c r="I112" s="401"/>
      <c r="J112" s="401"/>
      <c r="K112" s="401"/>
      <c r="L112" s="401"/>
      <c r="M112" s="401"/>
      <c r="N112" s="401"/>
      <c r="O112" s="401"/>
      <c r="P112" s="401"/>
      <c r="Q112" s="401"/>
      <c r="R112" s="389"/>
      <c r="S112" s="389"/>
      <c r="T112" s="389"/>
      <c r="U112" s="521"/>
      <c r="V112" s="402"/>
      <c r="W112" s="402" t="e">
        <f t="shared" si="166"/>
        <v>#DIV/0!</v>
      </c>
      <c r="X112" s="400"/>
      <c r="Y112" s="404"/>
      <c r="Z112" s="400"/>
      <c r="AA112" s="401"/>
      <c r="AB112" s="401"/>
      <c r="AC112" s="401"/>
      <c r="AD112" s="401"/>
      <c r="AE112" s="401"/>
      <c r="AF112" s="401"/>
      <c r="AG112" s="401"/>
      <c r="AH112" s="401"/>
      <c r="AI112" s="401"/>
      <c r="AJ112" s="401"/>
      <c r="AK112" s="389"/>
      <c r="AL112" s="389"/>
      <c r="AM112" s="389"/>
      <c r="AN112" s="521"/>
      <c r="AO112" s="402"/>
      <c r="AP112" s="402" t="e">
        <f t="shared" si="167"/>
        <v>#DIV/0!</v>
      </c>
      <c r="AQ112" s="400"/>
      <c r="AR112" s="404"/>
      <c r="AS112" s="400"/>
      <c r="AT112" s="401"/>
      <c r="AU112" s="401"/>
      <c r="AV112" s="401"/>
      <c r="AW112" s="401"/>
      <c r="AX112" s="401"/>
      <c r="AY112" s="401"/>
      <c r="AZ112" s="401"/>
      <c r="BA112" s="401"/>
      <c r="BB112" s="401"/>
      <c r="BC112" s="401"/>
      <c r="BD112" s="389"/>
      <c r="BE112" s="389"/>
      <c r="BF112" s="389"/>
      <c r="BG112" s="521"/>
      <c r="BH112" s="402"/>
      <c r="BI112" s="402" t="e">
        <f t="shared" si="173"/>
        <v>#DIV/0!</v>
      </c>
    </row>
    <row r="113" spans="1:61" s="359" customFormat="1" ht="24.75" customHeight="1" x14ac:dyDescent="0.3">
      <c r="A113" s="560" t="s">
        <v>574</v>
      </c>
      <c r="B113" s="568" t="s">
        <v>594</v>
      </c>
      <c r="C113" s="566"/>
      <c r="D113" s="567">
        <v>0.4</v>
      </c>
      <c r="E113" s="561">
        <f t="shared" ref="E113:Q113" si="174">SUM(E114:E117)</f>
        <v>0</v>
      </c>
      <c r="F113" s="561">
        <f t="shared" si="174"/>
        <v>0</v>
      </c>
      <c r="G113" s="561">
        <f t="shared" si="174"/>
        <v>0</v>
      </c>
      <c r="H113" s="562">
        <f t="shared" si="174"/>
        <v>0</v>
      </c>
      <c r="I113" s="562">
        <f t="shared" si="174"/>
        <v>0</v>
      </c>
      <c r="J113" s="562">
        <f t="shared" si="174"/>
        <v>0</v>
      </c>
      <c r="K113" s="562">
        <f t="shared" si="174"/>
        <v>0</v>
      </c>
      <c r="L113" s="562">
        <f t="shared" si="174"/>
        <v>0</v>
      </c>
      <c r="M113" s="562">
        <f t="shared" si="174"/>
        <v>0</v>
      </c>
      <c r="N113" s="562">
        <f t="shared" si="174"/>
        <v>0</v>
      </c>
      <c r="O113" s="562">
        <f t="shared" si="174"/>
        <v>0</v>
      </c>
      <c r="P113" s="562">
        <f t="shared" si="174"/>
        <v>0</v>
      </c>
      <c r="Q113" s="562">
        <f t="shared" si="174"/>
        <v>0</v>
      </c>
      <c r="R113" s="563"/>
      <c r="S113" s="563"/>
      <c r="T113" s="563"/>
      <c r="U113" s="564"/>
      <c r="V113" s="565"/>
      <c r="W113" s="565" t="e">
        <f t="shared" si="166"/>
        <v>#DIV/0!</v>
      </c>
      <c r="X113" s="561">
        <f t="shared" ref="X113:AJ113" si="175">SUM(X114:X117)</f>
        <v>0</v>
      </c>
      <c r="Y113" s="561">
        <f t="shared" si="175"/>
        <v>0</v>
      </c>
      <c r="Z113" s="561">
        <f t="shared" si="175"/>
        <v>0</v>
      </c>
      <c r="AA113" s="562">
        <f t="shared" si="175"/>
        <v>25.13073</v>
      </c>
      <c r="AB113" s="562">
        <f t="shared" si="175"/>
        <v>16.419</v>
      </c>
      <c r="AC113" s="562">
        <f t="shared" si="175"/>
        <v>8.85</v>
      </c>
      <c r="AD113" s="562">
        <f t="shared" si="175"/>
        <v>5.4177400000000002</v>
      </c>
      <c r="AE113" s="562">
        <f t="shared" si="175"/>
        <v>0.79710999999999999</v>
      </c>
      <c r="AF113" s="562">
        <f t="shared" si="175"/>
        <v>0</v>
      </c>
      <c r="AG113" s="562">
        <f t="shared" si="175"/>
        <v>0</v>
      </c>
      <c r="AH113" s="562">
        <f t="shared" si="175"/>
        <v>2.9644599999999999</v>
      </c>
      <c r="AI113" s="562">
        <f t="shared" si="175"/>
        <v>8.85</v>
      </c>
      <c r="AJ113" s="562">
        <f t="shared" si="175"/>
        <v>5.4177400000000002</v>
      </c>
      <c r="AK113" s="563"/>
      <c r="AL113" s="563"/>
      <c r="AM113" s="563"/>
      <c r="AN113" s="564"/>
      <c r="AO113" s="565"/>
      <c r="AP113" s="565" t="e">
        <f t="shared" si="167"/>
        <v>#DIV/0!</v>
      </c>
      <c r="AQ113" s="561">
        <f t="shared" ref="AQ113:BC113" si="176">SUM(AQ114:AQ117)</f>
        <v>0</v>
      </c>
      <c r="AR113" s="561">
        <f t="shared" si="176"/>
        <v>0</v>
      </c>
      <c r="AS113" s="561">
        <f t="shared" si="176"/>
        <v>0</v>
      </c>
      <c r="AT113" s="562">
        <f t="shared" si="176"/>
        <v>0</v>
      </c>
      <c r="AU113" s="562">
        <f t="shared" si="176"/>
        <v>0</v>
      </c>
      <c r="AV113" s="562">
        <f t="shared" si="176"/>
        <v>0</v>
      </c>
      <c r="AW113" s="562">
        <f t="shared" si="176"/>
        <v>0</v>
      </c>
      <c r="AX113" s="562">
        <f t="shared" si="176"/>
        <v>0</v>
      </c>
      <c r="AY113" s="562">
        <f t="shared" si="176"/>
        <v>0</v>
      </c>
      <c r="AZ113" s="562">
        <f t="shared" si="176"/>
        <v>0</v>
      </c>
      <c r="BA113" s="562">
        <f t="shared" si="176"/>
        <v>0</v>
      </c>
      <c r="BB113" s="562">
        <f t="shared" si="176"/>
        <v>0</v>
      </c>
      <c r="BC113" s="562">
        <f t="shared" si="176"/>
        <v>0</v>
      </c>
      <c r="BD113" s="563"/>
      <c r="BE113" s="563"/>
      <c r="BF113" s="563"/>
      <c r="BG113" s="564"/>
      <c r="BH113" s="565"/>
      <c r="BI113" s="565" t="e">
        <f t="shared" si="173"/>
        <v>#DIV/0!</v>
      </c>
    </row>
    <row r="114" spans="1:61" s="359" customFormat="1" x14ac:dyDescent="0.3">
      <c r="A114" s="360" t="s">
        <v>178</v>
      </c>
      <c r="B114" s="513"/>
      <c r="C114" s="433"/>
      <c r="D114" s="361"/>
      <c r="E114" s="400"/>
      <c r="F114" s="400"/>
      <c r="G114" s="400"/>
      <c r="H114" s="513"/>
      <c r="I114" s="401"/>
      <c r="J114" s="401"/>
      <c r="K114" s="401"/>
      <c r="L114" s="401"/>
      <c r="M114" s="401"/>
      <c r="N114" s="401"/>
      <c r="O114" s="401"/>
      <c r="P114" s="401"/>
      <c r="Q114" s="401"/>
      <c r="R114" s="389"/>
      <c r="S114" s="389"/>
      <c r="T114" s="389"/>
      <c r="U114" s="521"/>
      <c r="V114" s="402"/>
      <c r="W114" s="402"/>
      <c r="X114" s="400"/>
      <c r="Y114" s="400"/>
      <c r="Z114" s="400"/>
      <c r="AA114" s="419"/>
      <c r="AB114" s="401"/>
      <c r="AC114" s="401"/>
      <c r="AD114" s="401"/>
      <c r="AE114" s="401"/>
      <c r="AF114" s="401"/>
      <c r="AG114" s="401"/>
      <c r="AH114" s="401"/>
      <c r="AI114" s="401"/>
      <c r="AJ114" s="401"/>
      <c r="AK114" s="389"/>
      <c r="AL114" s="389"/>
      <c r="AM114" s="389"/>
      <c r="AN114" s="521"/>
      <c r="AO114" s="402"/>
      <c r="AP114" s="402"/>
      <c r="AQ114" s="400"/>
      <c r="AR114" s="400"/>
      <c r="AS114" s="400"/>
      <c r="AT114" s="419"/>
      <c r="AU114" s="401"/>
      <c r="AV114" s="401"/>
      <c r="AW114" s="401"/>
      <c r="AX114" s="401"/>
      <c r="AY114" s="401"/>
      <c r="AZ114" s="401"/>
      <c r="BA114" s="401"/>
      <c r="BB114" s="401"/>
      <c r="BC114" s="401"/>
      <c r="BD114" s="389"/>
      <c r="BE114" s="389"/>
      <c r="BF114" s="389"/>
      <c r="BG114" s="521"/>
      <c r="BH114" s="402"/>
      <c r="BI114" s="402" t="e">
        <f t="shared" ref="BI114:BI118" si="177">AT114/AR114</f>
        <v>#DIV/0!</v>
      </c>
    </row>
    <row r="115" spans="1:61" s="359" customFormat="1" ht="19.2" x14ac:dyDescent="0.3">
      <c r="A115" s="360" t="s">
        <v>179</v>
      </c>
      <c r="B115" s="543" t="s">
        <v>591</v>
      </c>
      <c r="C115" s="433"/>
      <c r="D115" s="361">
        <v>6</v>
      </c>
      <c r="E115" s="400"/>
      <c r="F115" s="404"/>
      <c r="G115" s="400"/>
      <c r="H115" s="543"/>
      <c r="I115" s="401"/>
      <c r="J115" s="401"/>
      <c r="K115" s="401"/>
      <c r="L115" s="401"/>
      <c r="M115" s="401"/>
      <c r="N115" s="401"/>
      <c r="O115" s="401"/>
      <c r="P115" s="401"/>
      <c r="Q115" s="401"/>
      <c r="R115" s="389"/>
      <c r="S115" s="389"/>
      <c r="T115" s="389"/>
      <c r="U115" s="521"/>
      <c r="V115" s="402"/>
      <c r="W115" s="402" t="e">
        <f t="shared" ref="W115" si="178">H115/F115</f>
        <v>#DIV/0!</v>
      </c>
      <c r="X115" s="400"/>
      <c r="Y115" s="550"/>
      <c r="Z115" s="549"/>
      <c r="AA115" s="573">
        <v>25.13073</v>
      </c>
      <c r="AB115" s="401">
        <v>16.419</v>
      </c>
      <c r="AC115" s="401">
        <v>8.85</v>
      </c>
      <c r="AD115" s="401">
        <f>0.84872+0.3299+1.617+2.62212</f>
        <v>5.4177400000000002</v>
      </c>
      <c r="AE115" s="401">
        <v>0.79710999999999999</v>
      </c>
      <c r="AF115" s="401">
        <v>0</v>
      </c>
      <c r="AG115" s="401">
        <v>0</v>
      </c>
      <c r="AH115" s="401">
        <v>2.9644599999999999</v>
      </c>
      <c r="AI115" s="401">
        <v>8.85</v>
      </c>
      <c r="AJ115" s="401">
        <f>0.84872+0.3299+1.617+2.62212</f>
        <v>5.4177400000000002</v>
      </c>
      <c r="AK115" s="385" t="s">
        <v>167</v>
      </c>
      <c r="AL115" s="439" t="s">
        <v>175</v>
      </c>
      <c r="AM115" s="389"/>
      <c r="AN115" s="521"/>
      <c r="AO115" s="402"/>
      <c r="AP115" s="402" t="e">
        <f t="shared" ref="AP115" si="179">AA115/Y115</f>
        <v>#DIV/0!</v>
      </c>
      <c r="AQ115" s="400"/>
      <c r="AR115" s="550"/>
      <c r="AS115" s="549"/>
      <c r="AT115" s="573"/>
      <c r="AU115" s="401"/>
      <c r="AV115" s="401"/>
      <c r="AW115" s="401"/>
      <c r="AX115" s="401"/>
      <c r="AY115" s="401"/>
      <c r="AZ115" s="401"/>
      <c r="BA115" s="401"/>
      <c r="BB115" s="401"/>
      <c r="BC115" s="401"/>
      <c r="BD115" s="385"/>
      <c r="BE115" s="439"/>
      <c r="BF115" s="389"/>
      <c r="BG115" s="521"/>
      <c r="BH115" s="402"/>
      <c r="BI115" s="402" t="e">
        <f t="shared" si="177"/>
        <v>#DIV/0!</v>
      </c>
    </row>
    <row r="116" spans="1:61" s="359" customFormat="1" x14ac:dyDescent="0.3">
      <c r="A116" s="360"/>
      <c r="B116" s="382"/>
      <c r="C116" s="433"/>
      <c r="D116" s="361"/>
      <c r="E116" s="400"/>
      <c r="F116" s="404"/>
      <c r="G116" s="400"/>
      <c r="H116" s="382"/>
      <c r="I116" s="401"/>
      <c r="J116" s="401"/>
      <c r="K116" s="401"/>
      <c r="L116" s="401"/>
      <c r="M116" s="401"/>
      <c r="N116" s="401"/>
      <c r="O116" s="401"/>
      <c r="P116" s="401"/>
      <c r="Q116" s="401"/>
      <c r="R116" s="389"/>
      <c r="S116" s="389"/>
      <c r="T116" s="389"/>
      <c r="U116" s="521"/>
      <c r="V116" s="402"/>
      <c r="W116" s="402"/>
      <c r="X116" s="400"/>
      <c r="Y116" s="589"/>
      <c r="Z116" s="337"/>
      <c r="AA116" s="586"/>
      <c r="AB116" s="401"/>
      <c r="AC116" s="401"/>
      <c r="AD116" s="401"/>
      <c r="AE116" s="401"/>
      <c r="AF116" s="401"/>
      <c r="AG116" s="401"/>
      <c r="AH116" s="401"/>
      <c r="AI116" s="401"/>
      <c r="AJ116" s="401"/>
      <c r="AK116" s="385"/>
      <c r="AL116" s="439"/>
      <c r="AM116" s="389"/>
      <c r="AN116" s="521"/>
      <c r="AO116" s="402"/>
      <c r="AP116" s="402"/>
      <c r="AQ116" s="400"/>
      <c r="AR116" s="589"/>
      <c r="AS116" s="337"/>
      <c r="AT116" s="586"/>
      <c r="AU116" s="401"/>
      <c r="AV116" s="401"/>
      <c r="AW116" s="401"/>
      <c r="AX116" s="401"/>
      <c r="AY116" s="401"/>
      <c r="AZ116" s="401"/>
      <c r="BA116" s="401"/>
      <c r="BB116" s="401"/>
      <c r="BC116" s="401"/>
      <c r="BD116" s="385"/>
      <c r="BE116" s="439"/>
      <c r="BF116" s="389"/>
      <c r="BG116" s="521"/>
      <c r="BH116" s="402"/>
      <c r="BI116" s="402" t="e">
        <f t="shared" si="177"/>
        <v>#DIV/0!</v>
      </c>
    </row>
    <row r="117" spans="1:61" s="359" customFormat="1" x14ac:dyDescent="0.3">
      <c r="A117" s="360"/>
      <c r="B117" s="382"/>
      <c r="C117" s="433"/>
      <c r="D117" s="361"/>
      <c r="E117" s="400"/>
      <c r="F117" s="404"/>
      <c r="G117" s="400"/>
      <c r="H117" s="401"/>
      <c r="I117" s="401"/>
      <c r="J117" s="401"/>
      <c r="K117" s="401"/>
      <c r="L117" s="401"/>
      <c r="M117" s="401"/>
      <c r="N117" s="401"/>
      <c r="O117" s="401"/>
      <c r="P117" s="401"/>
      <c r="Q117" s="401"/>
      <c r="R117" s="389"/>
      <c r="S117" s="389"/>
      <c r="T117" s="389"/>
      <c r="U117" s="521"/>
      <c r="V117" s="402"/>
      <c r="W117" s="402" t="e">
        <f t="shared" si="166"/>
        <v>#DIV/0!</v>
      </c>
      <c r="X117" s="400"/>
      <c r="Y117" s="404"/>
      <c r="Z117" s="400"/>
      <c r="AA117" s="401"/>
      <c r="AB117" s="401"/>
      <c r="AC117" s="401"/>
      <c r="AD117" s="401"/>
      <c r="AE117" s="401"/>
      <c r="AF117" s="401"/>
      <c r="AG117" s="401"/>
      <c r="AH117" s="401"/>
      <c r="AI117" s="401"/>
      <c r="AJ117" s="401"/>
      <c r="AK117" s="389"/>
      <c r="AL117" s="389"/>
      <c r="AM117" s="389"/>
      <c r="AN117" s="521"/>
      <c r="AO117" s="402"/>
      <c r="AP117" s="402" t="e">
        <f t="shared" si="167"/>
        <v>#DIV/0!</v>
      </c>
      <c r="AQ117" s="400"/>
      <c r="AR117" s="404"/>
      <c r="AS117" s="400"/>
      <c r="AT117" s="401"/>
      <c r="AU117" s="401"/>
      <c r="AV117" s="401"/>
      <c r="AW117" s="401"/>
      <c r="AX117" s="401"/>
      <c r="AY117" s="401"/>
      <c r="AZ117" s="401"/>
      <c r="BA117" s="401"/>
      <c r="BB117" s="401"/>
      <c r="BC117" s="401"/>
      <c r="BD117" s="389"/>
      <c r="BE117" s="389"/>
      <c r="BF117" s="389"/>
      <c r="BG117" s="521"/>
      <c r="BH117" s="402"/>
      <c r="BI117" s="402" t="e">
        <f t="shared" si="177"/>
        <v>#DIV/0!</v>
      </c>
    </row>
    <row r="118" spans="1:61" s="359" customFormat="1" ht="24.6" customHeight="1" x14ac:dyDescent="0.3">
      <c r="A118" s="560" t="s">
        <v>575</v>
      </c>
      <c r="B118" s="568" t="s">
        <v>595</v>
      </c>
      <c r="C118" s="566"/>
      <c r="D118" s="567">
        <v>6</v>
      </c>
      <c r="E118" s="561">
        <f t="shared" ref="E118:Q118" si="180">SUM(E119:E122)</f>
        <v>0</v>
      </c>
      <c r="F118" s="561">
        <f t="shared" si="180"/>
        <v>0</v>
      </c>
      <c r="G118" s="561">
        <f t="shared" si="180"/>
        <v>0</v>
      </c>
      <c r="H118" s="562">
        <f t="shared" si="180"/>
        <v>0</v>
      </c>
      <c r="I118" s="562">
        <f t="shared" si="180"/>
        <v>0</v>
      </c>
      <c r="J118" s="562">
        <f t="shared" si="180"/>
        <v>0</v>
      </c>
      <c r="K118" s="562">
        <f t="shared" si="180"/>
        <v>0</v>
      </c>
      <c r="L118" s="562">
        <f t="shared" si="180"/>
        <v>0</v>
      </c>
      <c r="M118" s="562">
        <f t="shared" si="180"/>
        <v>0</v>
      </c>
      <c r="N118" s="562">
        <f t="shared" si="180"/>
        <v>0</v>
      </c>
      <c r="O118" s="562">
        <f t="shared" si="180"/>
        <v>0</v>
      </c>
      <c r="P118" s="562">
        <f t="shared" si="180"/>
        <v>0</v>
      </c>
      <c r="Q118" s="562">
        <f t="shared" si="180"/>
        <v>0</v>
      </c>
      <c r="R118" s="563"/>
      <c r="S118" s="563"/>
      <c r="T118" s="563"/>
      <c r="U118" s="564"/>
      <c r="V118" s="565"/>
      <c r="W118" s="565" t="e">
        <f t="shared" si="166"/>
        <v>#DIV/0!</v>
      </c>
      <c r="X118" s="561">
        <f t="shared" ref="X118:AJ118" si="181">SUM(X119:X122)</f>
        <v>0</v>
      </c>
      <c r="Y118" s="561">
        <f t="shared" si="181"/>
        <v>0</v>
      </c>
      <c r="Z118" s="561">
        <f t="shared" si="181"/>
        <v>0</v>
      </c>
      <c r="AA118" s="562">
        <f t="shared" si="181"/>
        <v>239.06888000000001</v>
      </c>
      <c r="AB118" s="562">
        <f t="shared" si="181"/>
        <v>232.01161999999999</v>
      </c>
      <c r="AC118" s="562">
        <f t="shared" si="181"/>
        <v>217.61667</v>
      </c>
      <c r="AD118" s="562">
        <f t="shared" si="181"/>
        <v>17.640840000000001</v>
      </c>
      <c r="AE118" s="562">
        <f t="shared" si="181"/>
        <v>0.76029000000000002</v>
      </c>
      <c r="AF118" s="562">
        <f t="shared" si="181"/>
        <v>0</v>
      </c>
      <c r="AG118" s="562">
        <f t="shared" si="181"/>
        <v>0</v>
      </c>
      <c r="AH118" s="562">
        <f t="shared" si="181"/>
        <v>2.36517</v>
      </c>
      <c r="AI118" s="562">
        <f t="shared" si="181"/>
        <v>217.61667</v>
      </c>
      <c r="AJ118" s="562">
        <f t="shared" si="181"/>
        <v>17.640840000000001</v>
      </c>
      <c r="AK118" s="563"/>
      <c r="AL118" s="563"/>
      <c r="AM118" s="563"/>
      <c r="AN118" s="564"/>
      <c r="AO118" s="565"/>
      <c r="AP118" s="565" t="e">
        <f t="shared" si="167"/>
        <v>#DIV/0!</v>
      </c>
      <c r="AQ118" s="561">
        <f t="shared" ref="AQ118:BC118" si="182">SUM(AQ119:AQ122)</f>
        <v>0</v>
      </c>
      <c r="AR118" s="561">
        <f t="shared" si="182"/>
        <v>0</v>
      </c>
      <c r="AS118" s="561">
        <f t="shared" si="182"/>
        <v>0</v>
      </c>
      <c r="AT118" s="562">
        <f t="shared" si="182"/>
        <v>0</v>
      </c>
      <c r="AU118" s="562">
        <f t="shared" si="182"/>
        <v>0</v>
      </c>
      <c r="AV118" s="562">
        <f t="shared" si="182"/>
        <v>0</v>
      </c>
      <c r="AW118" s="562">
        <f t="shared" si="182"/>
        <v>0</v>
      </c>
      <c r="AX118" s="562">
        <f t="shared" si="182"/>
        <v>0</v>
      </c>
      <c r="AY118" s="562">
        <f t="shared" si="182"/>
        <v>0</v>
      </c>
      <c r="AZ118" s="562">
        <f t="shared" si="182"/>
        <v>0</v>
      </c>
      <c r="BA118" s="562">
        <f t="shared" si="182"/>
        <v>0</v>
      </c>
      <c r="BB118" s="562">
        <f t="shared" si="182"/>
        <v>0</v>
      </c>
      <c r="BC118" s="562">
        <f t="shared" si="182"/>
        <v>0</v>
      </c>
      <c r="BD118" s="563"/>
      <c r="BE118" s="563"/>
      <c r="BF118" s="563"/>
      <c r="BG118" s="564"/>
      <c r="BH118" s="565"/>
      <c r="BI118" s="565" t="e">
        <f t="shared" si="177"/>
        <v>#DIV/0!</v>
      </c>
    </row>
    <row r="119" spans="1:61" s="359" customFormat="1" x14ac:dyDescent="0.3">
      <c r="A119" s="360" t="s">
        <v>178</v>
      </c>
      <c r="B119" s="513"/>
      <c r="C119" s="433"/>
      <c r="D119" s="361"/>
      <c r="E119" s="400"/>
      <c r="F119" s="400"/>
      <c r="G119" s="400"/>
      <c r="H119" s="513"/>
      <c r="I119" s="401"/>
      <c r="J119" s="401"/>
      <c r="K119" s="401"/>
      <c r="L119" s="401"/>
      <c r="M119" s="401"/>
      <c r="N119" s="401"/>
      <c r="O119" s="401"/>
      <c r="P119" s="401"/>
      <c r="Q119" s="401"/>
      <c r="R119" s="389"/>
      <c r="S119" s="389"/>
      <c r="T119" s="389"/>
      <c r="U119" s="521"/>
      <c r="V119" s="402"/>
      <c r="W119" s="402"/>
      <c r="X119" s="400"/>
      <c r="Y119" s="400"/>
      <c r="Z119" s="400"/>
      <c r="AA119" s="419"/>
      <c r="AB119" s="401"/>
      <c r="AC119" s="401"/>
      <c r="AD119" s="401"/>
      <c r="AE119" s="401"/>
      <c r="AF119" s="401"/>
      <c r="AG119" s="401"/>
      <c r="AH119" s="401"/>
      <c r="AI119" s="401"/>
      <c r="AJ119" s="401"/>
      <c r="AK119" s="389"/>
      <c r="AL119" s="389"/>
      <c r="AM119" s="389"/>
      <c r="AN119" s="521"/>
      <c r="AO119" s="402"/>
      <c r="AP119" s="402"/>
      <c r="AQ119" s="400"/>
      <c r="AR119" s="400"/>
      <c r="AS119" s="400"/>
      <c r="AT119" s="419"/>
      <c r="AU119" s="401"/>
      <c r="AV119" s="401"/>
      <c r="AW119" s="401"/>
      <c r="AX119" s="401"/>
      <c r="AY119" s="401"/>
      <c r="AZ119" s="401"/>
      <c r="BA119" s="401"/>
      <c r="BB119" s="401"/>
      <c r="BC119" s="401"/>
      <c r="BD119" s="389"/>
      <c r="BE119" s="389"/>
      <c r="BF119" s="389"/>
      <c r="BG119" s="521"/>
      <c r="BH119" s="402"/>
      <c r="BI119" s="402" t="e">
        <f t="shared" ref="BI119:BI122" si="183">AT119/AR119</f>
        <v>#DIV/0!</v>
      </c>
    </row>
    <row r="120" spans="1:61" s="359" customFormat="1" ht="19.2" x14ac:dyDescent="0.3">
      <c r="A120" s="360" t="s">
        <v>179</v>
      </c>
      <c r="B120" s="543" t="s">
        <v>591</v>
      </c>
      <c r="C120" s="433"/>
      <c r="D120" s="361">
        <v>6</v>
      </c>
      <c r="E120" s="400"/>
      <c r="F120" s="404"/>
      <c r="G120" s="400"/>
      <c r="H120" s="543"/>
      <c r="I120" s="401"/>
      <c r="J120" s="401"/>
      <c r="K120" s="401"/>
      <c r="L120" s="401"/>
      <c r="M120" s="401"/>
      <c r="N120" s="401"/>
      <c r="O120" s="401"/>
      <c r="P120" s="401"/>
      <c r="Q120" s="401"/>
      <c r="R120" s="389"/>
      <c r="S120" s="389"/>
      <c r="T120" s="389"/>
      <c r="U120" s="521"/>
      <c r="V120" s="402"/>
      <c r="W120" s="402" t="e">
        <f t="shared" ref="W120" si="184">H120/F120</f>
        <v>#DIV/0!</v>
      </c>
      <c r="X120" s="400"/>
      <c r="Y120" s="550"/>
      <c r="Z120" s="549"/>
      <c r="AA120" s="573">
        <v>239.06888000000001</v>
      </c>
      <c r="AB120" s="401">
        <v>232.01161999999999</v>
      </c>
      <c r="AC120" s="401">
        <v>217.61667</v>
      </c>
      <c r="AD120" s="401">
        <f>4.49958+1.75204+2.28294+5.54061+3.56567</f>
        <v>17.640840000000001</v>
      </c>
      <c r="AE120" s="401">
        <v>0.76029000000000002</v>
      </c>
      <c r="AF120" s="401">
        <v>0</v>
      </c>
      <c r="AG120" s="401">
        <v>0</v>
      </c>
      <c r="AH120" s="401">
        <v>2.36517</v>
      </c>
      <c r="AI120" s="401">
        <v>217.61667</v>
      </c>
      <c r="AJ120" s="401">
        <f>4.49958+1.75204+2.28294+5.54061+3.56567</f>
        <v>17.640840000000001</v>
      </c>
      <c r="AK120" s="385" t="s">
        <v>167</v>
      </c>
      <c r="AL120" s="439" t="s">
        <v>175</v>
      </c>
      <c r="AM120" s="389"/>
      <c r="AN120" s="521"/>
      <c r="AO120" s="402"/>
      <c r="AP120" s="402" t="e">
        <f t="shared" ref="AP120:AP122" si="185">AA120/Y120</f>
        <v>#DIV/0!</v>
      </c>
      <c r="AQ120" s="400"/>
      <c r="AR120" s="550"/>
      <c r="AS120" s="549"/>
      <c r="AT120" s="573"/>
      <c r="AU120" s="401"/>
      <c r="AV120" s="401"/>
      <c r="AW120" s="401"/>
      <c r="AX120" s="401"/>
      <c r="AY120" s="401"/>
      <c r="AZ120" s="401"/>
      <c r="BA120" s="401"/>
      <c r="BB120" s="401"/>
      <c r="BC120" s="401"/>
      <c r="BD120" s="385"/>
      <c r="BE120" s="439"/>
      <c r="BF120" s="389"/>
      <c r="BG120" s="521"/>
      <c r="BH120" s="402"/>
      <c r="BI120" s="402" t="e">
        <f t="shared" si="183"/>
        <v>#DIV/0!</v>
      </c>
    </row>
    <row r="121" spans="1:61" s="359" customFormat="1" x14ac:dyDescent="0.3">
      <c r="A121" s="360"/>
      <c r="B121" s="382"/>
      <c r="C121" s="433"/>
      <c r="D121" s="361"/>
      <c r="E121" s="400"/>
      <c r="F121" s="404"/>
      <c r="G121" s="400"/>
      <c r="H121" s="382"/>
      <c r="I121" s="401"/>
      <c r="J121" s="401"/>
      <c r="K121" s="401"/>
      <c r="L121" s="401"/>
      <c r="M121" s="401"/>
      <c r="N121" s="401"/>
      <c r="O121" s="401"/>
      <c r="P121" s="401"/>
      <c r="Q121" s="401"/>
      <c r="R121" s="389"/>
      <c r="S121" s="389"/>
      <c r="T121" s="389"/>
      <c r="U121" s="521"/>
      <c r="V121" s="402"/>
      <c r="W121" s="402"/>
      <c r="X121" s="400"/>
      <c r="Y121" s="589"/>
      <c r="Z121" s="337"/>
      <c r="AA121" s="586"/>
      <c r="AB121" s="401"/>
      <c r="AC121" s="401"/>
      <c r="AD121" s="401"/>
      <c r="AE121" s="401"/>
      <c r="AF121" s="401"/>
      <c r="AG121" s="401"/>
      <c r="AH121" s="401"/>
      <c r="AI121" s="401"/>
      <c r="AJ121" s="401"/>
      <c r="AK121" s="385"/>
      <c r="AL121" s="439"/>
      <c r="AM121" s="389"/>
      <c r="AN121" s="521"/>
      <c r="AO121" s="402"/>
      <c r="AP121" s="402"/>
      <c r="AQ121" s="400"/>
      <c r="AR121" s="589"/>
      <c r="AS121" s="337"/>
      <c r="AT121" s="586"/>
      <c r="AU121" s="401"/>
      <c r="AV121" s="401"/>
      <c r="AW121" s="401"/>
      <c r="AX121" s="401"/>
      <c r="AY121" s="401"/>
      <c r="AZ121" s="401"/>
      <c r="BA121" s="401"/>
      <c r="BB121" s="401"/>
      <c r="BC121" s="401"/>
      <c r="BD121" s="385"/>
      <c r="BE121" s="439"/>
      <c r="BF121" s="389"/>
      <c r="BG121" s="521"/>
      <c r="BH121" s="402"/>
      <c r="BI121" s="402" t="e">
        <f t="shared" si="183"/>
        <v>#DIV/0!</v>
      </c>
    </row>
    <row r="122" spans="1:61" s="359" customFormat="1" x14ac:dyDescent="0.3">
      <c r="A122" s="360"/>
      <c r="B122" s="382"/>
      <c r="C122" s="433"/>
      <c r="D122" s="361"/>
      <c r="E122" s="400"/>
      <c r="F122" s="404"/>
      <c r="G122" s="400"/>
      <c r="H122" s="401"/>
      <c r="I122" s="401"/>
      <c r="J122" s="401"/>
      <c r="K122" s="401"/>
      <c r="L122" s="401"/>
      <c r="M122" s="401"/>
      <c r="N122" s="401"/>
      <c r="O122" s="401"/>
      <c r="P122" s="401"/>
      <c r="Q122" s="401"/>
      <c r="R122" s="389"/>
      <c r="S122" s="389"/>
      <c r="T122" s="389"/>
      <c r="U122" s="521"/>
      <c r="V122" s="402"/>
      <c r="W122" s="402" t="e">
        <f t="shared" ref="W122" si="186">H122/F122</f>
        <v>#DIV/0!</v>
      </c>
      <c r="X122" s="400"/>
      <c r="Y122" s="404"/>
      <c r="Z122" s="400"/>
      <c r="AA122" s="401"/>
      <c r="AB122" s="401"/>
      <c r="AC122" s="401"/>
      <c r="AD122" s="401"/>
      <c r="AE122" s="401"/>
      <c r="AF122" s="401"/>
      <c r="AG122" s="401"/>
      <c r="AH122" s="401"/>
      <c r="AI122" s="401"/>
      <c r="AJ122" s="401"/>
      <c r="AK122" s="389"/>
      <c r="AL122" s="389"/>
      <c r="AM122" s="389"/>
      <c r="AN122" s="521"/>
      <c r="AO122" s="402"/>
      <c r="AP122" s="402" t="e">
        <f t="shared" si="185"/>
        <v>#DIV/0!</v>
      </c>
      <c r="AQ122" s="400"/>
      <c r="AR122" s="404"/>
      <c r="AS122" s="400"/>
      <c r="AT122" s="401"/>
      <c r="AU122" s="401"/>
      <c r="AV122" s="401"/>
      <c r="AW122" s="401"/>
      <c r="AX122" s="401"/>
      <c r="AY122" s="401"/>
      <c r="AZ122" s="401"/>
      <c r="BA122" s="401"/>
      <c r="BB122" s="401"/>
      <c r="BC122" s="401"/>
      <c r="BD122" s="389"/>
      <c r="BE122" s="389"/>
      <c r="BF122" s="389"/>
      <c r="BG122" s="521"/>
      <c r="BH122" s="402"/>
      <c r="BI122" s="402" t="e">
        <f t="shared" si="183"/>
        <v>#DIV/0!</v>
      </c>
    </row>
    <row r="123" spans="1:61" s="46" customFormat="1" x14ac:dyDescent="0.3">
      <c r="A123" s="317"/>
      <c r="B123" s="312"/>
      <c r="C123" s="312"/>
      <c r="D123" s="372"/>
      <c r="E123" s="496"/>
      <c r="U123" s="315"/>
      <c r="X123" s="496"/>
      <c r="AN123" s="315"/>
      <c r="AQ123" s="496"/>
      <c r="BG123" s="315"/>
    </row>
    <row r="124" spans="1:61" s="46" customFormat="1" x14ac:dyDescent="0.3">
      <c r="A124" s="317"/>
      <c r="B124" s="312"/>
      <c r="C124" s="312"/>
      <c r="D124" s="372"/>
      <c r="E124" s="496"/>
      <c r="U124" s="315"/>
      <c r="X124" s="496"/>
      <c r="AN124" s="315"/>
      <c r="AQ124" s="496"/>
      <c r="BG124" s="315"/>
    </row>
    <row r="125" spans="1:61" s="46" customFormat="1" x14ac:dyDescent="0.3">
      <c r="A125" s="317"/>
      <c r="B125" s="312"/>
      <c r="C125" s="312"/>
      <c r="D125" s="372"/>
      <c r="E125" s="496"/>
      <c r="U125" s="315"/>
      <c r="X125" s="496"/>
      <c r="AN125" s="315"/>
      <c r="AQ125" s="496"/>
      <c r="BG125" s="315"/>
    </row>
    <row r="126" spans="1:61" s="46" customFormat="1" x14ac:dyDescent="0.3">
      <c r="A126" s="317"/>
      <c r="B126" s="312"/>
      <c r="C126" s="312"/>
      <c r="D126" s="372"/>
      <c r="E126" s="496"/>
      <c r="U126" s="315"/>
      <c r="X126" s="496"/>
      <c r="AN126" s="315"/>
      <c r="AQ126" s="496"/>
      <c r="BG126" s="315"/>
    </row>
    <row r="127" spans="1:61" s="46" customFormat="1" x14ac:dyDescent="0.3">
      <c r="A127" s="317"/>
      <c r="B127" s="312"/>
      <c r="C127" s="312"/>
      <c r="D127" s="372"/>
      <c r="E127" s="496"/>
      <c r="U127" s="315"/>
      <c r="X127" s="496"/>
      <c r="AN127" s="315"/>
      <c r="AQ127" s="496"/>
      <c r="BG127" s="315"/>
    </row>
    <row r="128" spans="1:61" s="46" customFormat="1" x14ac:dyDescent="0.3">
      <c r="A128" s="317"/>
      <c r="B128" s="312"/>
      <c r="C128" s="312"/>
      <c r="D128" s="372"/>
      <c r="E128" s="496"/>
      <c r="U128" s="315"/>
      <c r="X128" s="496"/>
      <c r="AN128" s="315"/>
      <c r="AQ128" s="496"/>
      <c r="BG128" s="315"/>
    </row>
    <row r="129" spans="1:59" s="46" customFormat="1" x14ac:dyDescent="0.3">
      <c r="A129" s="317"/>
      <c r="B129" s="312"/>
      <c r="C129" s="312"/>
      <c r="D129" s="372"/>
      <c r="E129" s="496"/>
      <c r="U129" s="315"/>
      <c r="X129" s="496"/>
      <c r="AN129" s="315"/>
      <c r="AQ129" s="496"/>
      <c r="BG129" s="315"/>
    </row>
    <row r="130" spans="1:59" s="46" customFormat="1" x14ac:dyDescent="0.3">
      <c r="A130" s="317"/>
      <c r="B130" s="312"/>
      <c r="C130" s="312"/>
      <c r="D130" s="372"/>
      <c r="E130" s="496"/>
      <c r="U130" s="315"/>
      <c r="X130" s="496"/>
      <c r="AN130" s="315"/>
      <c r="AQ130" s="496"/>
      <c r="BG130" s="315"/>
    </row>
    <row r="131" spans="1:59" s="46" customFormat="1" x14ac:dyDescent="0.3">
      <c r="A131" s="317"/>
      <c r="B131" s="312"/>
      <c r="C131" s="312"/>
      <c r="D131" s="372"/>
      <c r="E131" s="496"/>
      <c r="U131" s="315"/>
      <c r="X131" s="496"/>
      <c r="AN131" s="315"/>
      <c r="AQ131" s="496"/>
      <c r="BG131" s="315"/>
    </row>
    <row r="132" spans="1:59" s="46" customFormat="1" x14ac:dyDescent="0.3">
      <c r="A132" s="317"/>
      <c r="B132" s="312"/>
      <c r="C132" s="312"/>
      <c r="D132" s="372"/>
      <c r="E132" s="496"/>
      <c r="U132" s="315"/>
      <c r="X132" s="496"/>
      <c r="AN132" s="315"/>
      <c r="AQ132" s="496"/>
      <c r="BG132" s="315"/>
    </row>
    <row r="133" spans="1:59" s="46" customFormat="1" x14ac:dyDescent="0.3">
      <c r="A133" s="317"/>
      <c r="B133" s="312"/>
      <c r="C133" s="312"/>
      <c r="D133" s="372"/>
      <c r="E133" s="496"/>
      <c r="U133" s="315"/>
      <c r="X133" s="496"/>
      <c r="AN133" s="315"/>
      <c r="AQ133" s="496"/>
      <c r="BG133" s="315"/>
    </row>
    <row r="134" spans="1:59" s="46" customFormat="1" x14ac:dyDescent="0.3">
      <c r="A134" s="317"/>
      <c r="B134" s="312"/>
      <c r="C134" s="312"/>
      <c r="D134" s="372"/>
      <c r="E134" s="496"/>
      <c r="U134" s="315"/>
      <c r="X134" s="496"/>
      <c r="AN134" s="315"/>
      <c r="AQ134" s="496"/>
      <c r="BG134" s="315"/>
    </row>
    <row r="135" spans="1:59" s="46" customFormat="1" x14ac:dyDescent="0.3">
      <c r="A135" s="317"/>
      <c r="B135" s="312"/>
      <c r="C135" s="312"/>
      <c r="D135" s="372"/>
      <c r="E135" s="496"/>
      <c r="U135" s="315"/>
      <c r="X135" s="496"/>
      <c r="AN135" s="315"/>
      <c r="AQ135" s="496"/>
      <c r="BG135" s="315"/>
    </row>
    <row r="136" spans="1:59" s="46" customFormat="1" x14ac:dyDescent="0.3">
      <c r="A136" s="317"/>
      <c r="B136" s="312"/>
      <c r="C136" s="312"/>
      <c r="D136" s="372"/>
      <c r="E136" s="496"/>
      <c r="U136" s="315"/>
      <c r="X136" s="496"/>
      <c r="AN136" s="315"/>
      <c r="AQ136" s="496"/>
      <c r="BG136" s="315"/>
    </row>
    <row r="137" spans="1:59" s="46" customFormat="1" x14ac:dyDescent="0.3">
      <c r="A137" s="317"/>
      <c r="B137" s="312"/>
      <c r="C137" s="312"/>
      <c r="D137" s="372"/>
      <c r="E137" s="496"/>
      <c r="U137" s="315"/>
      <c r="X137" s="496"/>
      <c r="AN137" s="315"/>
      <c r="AQ137" s="496"/>
      <c r="BG137" s="315"/>
    </row>
    <row r="138" spans="1:59" s="46" customFormat="1" x14ac:dyDescent="0.3">
      <c r="A138" s="317"/>
      <c r="B138" s="312"/>
      <c r="C138" s="312"/>
      <c r="D138" s="372"/>
      <c r="E138" s="496"/>
      <c r="U138" s="315"/>
      <c r="X138" s="496"/>
      <c r="AN138" s="315"/>
      <c r="AQ138" s="496"/>
      <c r="BG138" s="315"/>
    </row>
    <row r="139" spans="1:59" s="46" customFormat="1" x14ac:dyDescent="0.3">
      <c r="A139" s="317"/>
      <c r="B139" s="312"/>
      <c r="C139" s="312"/>
      <c r="D139" s="372"/>
      <c r="E139" s="496"/>
      <c r="U139" s="315"/>
      <c r="X139" s="496"/>
      <c r="AN139" s="315"/>
      <c r="AQ139" s="496"/>
      <c r="BG139" s="315"/>
    </row>
    <row r="140" spans="1:59" s="46" customFormat="1" x14ac:dyDescent="0.3">
      <c r="A140" s="317"/>
      <c r="B140" s="312"/>
      <c r="C140" s="312"/>
      <c r="D140" s="372"/>
      <c r="E140" s="496"/>
      <c r="U140" s="315"/>
      <c r="X140" s="496"/>
      <c r="AN140" s="315"/>
      <c r="AQ140" s="496"/>
      <c r="BG140" s="315"/>
    </row>
    <row r="141" spans="1:59" s="46" customFormat="1" x14ac:dyDescent="0.3">
      <c r="A141" s="317"/>
      <c r="B141" s="312"/>
      <c r="C141" s="312"/>
      <c r="D141" s="372"/>
      <c r="E141" s="496"/>
      <c r="U141" s="315"/>
      <c r="X141" s="496"/>
      <c r="AN141" s="315"/>
      <c r="AQ141" s="496"/>
      <c r="BG141" s="315"/>
    </row>
    <row r="142" spans="1:59" s="46" customFormat="1" x14ac:dyDescent="0.3">
      <c r="A142" s="317"/>
      <c r="B142" s="312"/>
      <c r="C142" s="312"/>
      <c r="D142" s="372"/>
      <c r="E142" s="496"/>
      <c r="U142" s="315"/>
      <c r="X142" s="496"/>
      <c r="AN142" s="315"/>
      <c r="AQ142" s="496"/>
      <c r="BG142" s="315"/>
    </row>
    <row r="143" spans="1:59" s="46" customFormat="1" x14ac:dyDescent="0.3">
      <c r="A143" s="317"/>
      <c r="B143" s="312"/>
      <c r="C143" s="312"/>
      <c r="D143" s="372"/>
      <c r="E143" s="496"/>
      <c r="U143" s="315"/>
      <c r="X143" s="496"/>
      <c r="AN143" s="315"/>
      <c r="AQ143" s="496"/>
      <c r="BG143" s="315"/>
    </row>
    <row r="144" spans="1:59" s="46" customFormat="1" x14ac:dyDescent="0.3">
      <c r="A144" s="317"/>
      <c r="B144" s="312"/>
      <c r="C144" s="312"/>
      <c r="D144" s="372"/>
      <c r="E144" s="496"/>
      <c r="U144" s="315"/>
      <c r="X144" s="496"/>
      <c r="AN144" s="315"/>
      <c r="AQ144" s="496"/>
      <c r="BG144" s="315"/>
    </row>
    <row r="145" spans="1:59" s="46" customFormat="1" x14ac:dyDescent="0.3">
      <c r="A145" s="317"/>
      <c r="B145" s="312"/>
      <c r="C145" s="312"/>
      <c r="D145" s="372"/>
      <c r="E145" s="496"/>
      <c r="U145" s="315"/>
      <c r="X145" s="496"/>
      <c r="AN145" s="315"/>
      <c r="AQ145" s="496"/>
      <c r="BG145" s="315"/>
    </row>
    <row r="146" spans="1:59" s="46" customFormat="1" x14ac:dyDescent="0.3">
      <c r="A146" s="317"/>
      <c r="B146" s="312"/>
      <c r="C146" s="312"/>
      <c r="D146" s="372"/>
      <c r="E146" s="496"/>
      <c r="U146" s="315"/>
      <c r="X146" s="496"/>
      <c r="AN146" s="315"/>
      <c r="AQ146" s="496"/>
      <c r="BG146" s="315"/>
    </row>
    <row r="147" spans="1:59" s="46" customFormat="1" x14ac:dyDescent="0.3">
      <c r="A147" s="317"/>
      <c r="B147" s="312"/>
      <c r="C147" s="312"/>
      <c r="D147" s="372"/>
      <c r="E147" s="496"/>
      <c r="U147" s="315"/>
      <c r="X147" s="496"/>
      <c r="AN147" s="315"/>
      <c r="AQ147" s="496"/>
      <c r="BG147" s="315"/>
    </row>
    <row r="148" spans="1:59" s="46" customFormat="1" x14ac:dyDescent="0.3">
      <c r="A148" s="317"/>
      <c r="B148" s="312"/>
      <c r="C148" s="312"/>
      <c r="D148" s="372"/>
      <c r="E148" s="496"/>
      <c r="U148" s="315"/>
      <c r="X148" s="496"/>
      <c r="AN148" s="315"/>
      <c r="AQ148" s="496"/>
      <c r="BG148" s="315"/>
    </row>
    <row r="149" spans="1:59" s="46" customFormat="1" x14ac:dyDescent="0.3">
      <c r="A149" s="317"/>
      <c r="B149" s="312"/>
      <c r="C149" s="312"/>
      <c r="D149" s="372"/>
      <c r="E149" s="496"/>
      <c r="U149" s="315"/>
      <c r="X149" s="496"/>
      <c r="AN149" s="315"/>
      <c r="AQ149" s="496"/>
      <c r="BG149" s="315"/>
    </row>
    <row r="150" spans="1:59" s="46" customFormat="1" x14ac:dyDescent="0.3">
      <c r="A150" s="317"/>
      <c r="B150" s="312"/>
      <c r="C150" s="312"/>
      <c r="D150" s="372"/>
      <c r="E150" s="496"/>
      <c r="U150" s="315"/>
      <c r="X150" s="496"/>
      <c r="AN150" s="315"/>
      <c r="AQ150" s="496"/>
      <c r="BG150" s="315"/>
    </row>
    <row r="151" spans="1:59" s="46" customFormat="1" x14ac:dyDescent="0.3">
      <c r="A151" s="317"/>
      <c r="B151" s="312"/>
      <c r="C151" s="312"/>
      <c r="D151" s="372"/>
      <c r="E151" s="496"/>
      <c r="U151" s="315"/>
      <c r="X151" s="496"/>
      <c r="AN151" s="315"/>
      <c r="AQ151" s="496"/>
      <c r="BG151" s="315"/>
    </row>
    <row r="152" spans="1:59" s="46" customFormat="1" x14ac:dyDescent="0.3">
      <c r="A152" s="317"/>
      <c r="B152" s="312"/>
      <c r="C152" s="312"/>
      <c r="D152" s="372"/>
      <c r="E152" s="496"/>
      <c r="U152" s="315"/>
      <c r="X152" s="496"/>
      <c r="AN152" s="315"/>
      <c r="AQ152" s="496"/>
      <c r="BG152" s="315"/>
    </row>
    <row r="153" spans="1:59" s="46" customFormat="1" x14ac:dyDescent="0.3">
      <c r="A153" s="317"/>
      <c r="B153" s="312"/>
      <c r="C153" s="312"/>
      <c r="D153" s="372"/>
      <c r="E153" s="496"/>
      <c r="U153" s="315"/>
      <c r="X153" s="496"/>
      <c r="AN153" s="315"/>
      <c r="AQ153" s="496"/>
      <c r="BG153" s="315"/>
    </row>
    <row r="154" spans="1:59" s="46" customFormat="1" x14ac:dyDescent="0.3">
      <c r="A154" s="317"/>
      <c r="B154" s="312"/>
      <c r="C154" s="312"/>
      <c r="D154" s="372"/>
      <c r="E154" s="496"/>
      <c r="U154" s="315"/>
      <c r="X154" s="496"/>
      <c r="AN154" s="315"/>
      <c r="AQ154" s="496"/>
      <c r="BG154" s="315"/>
    </row>
    <row r="155" spans="1:59" s="46" customFormat="1" x14ac:dyDescent="0.3">
      <c r="A155" s="317"/>
      <c r="B155" s="312"/>
      <c r="C155" s="312"/>
      <c r="D155" s="372"/>
      <c r="E155" s="496"/>
      <c r="U155" s="315"/>
      <c r="X155" s="496"/>
      <c r="AN155" s="315"/>
      <c r="AQ155" s="496"/>
      <c r="BG155" s="315"/>
    </row>
    <row r="156" spans="1:59" s="46" customFormat="1" x14ac:dyDescent="0.3">
      <c r="A156" s="317"/>
      <c r="B156" s="312"/>
      <c r="C156" s="312"/>
      <c r="D156" s="372"/>
      <c r="E156" s="496"/>
      <c r="U156" s="315"/>
      <c r="X156" s="496"/>
      <c r="AN156" s="315"/>
      <c r="AQ156" s="496"/>
      <c r="BG156" s="315"/>
    </row>
    <row r="157" spans="1:59" s="46" customFormat="1" x14ac:dyDescent="0.3">
      <c r="A157" s="317"/>
      <c r="B157" s="312"/>
      <c r="C157" s="312"/>
      <c r="D157" s="372"/>
      <c r="E157" s="496"/>
      <c r="U157" s="315"/>
      <c r="X157" s="496"/>
      <c r="AN157" s="315"/>
      <c r="AQ157" s="496"/>
      <c r="BG157" s="315"/>
    </row>
    <row r="158" spans="1:59" s="46" customFormat="1" x14ac:dyDescent="0.3">
      <c r="A158" s="317"/>
      <c r="B158" s="312"/>
      <c r="C158" s="312"/>
      <c r="D158" s="372"/>
      <c r="E158" s="496"/>
      <c r="U158" s="315"/>
      <c r="X158" s="496"/>
      <c r="AN158" s="315"/>
      <c r="AQ158" s="496"/>
      <c r="BG158" s="315"/>
    </row>
    <row r="159" spans="1:59" s="46" customFormat="1" x14ac:dyDescent="0.3">
      <c r="A159" s="317"/>
      <c r="B159" s="312"/>
      <c r="C159" s="312"/>
      <c r="D159" s="372"/>
      <c r="E159" s="496"/>
      <c r="U159" s="315"/>
      <c r="X159" s="496"/>
      <c r="AN159" s="315"/>
      <c r="AQ159" s="496"/>
      <c r="BG159" s="315"/>
    </row>
    <row r="160" spans="1:59" s="46" customFormat="1" x14ac:dyDescent="0.3">
      <c r="A160" s="317"/>
      <c r="B160" s="312"/>
      <c r="C160" s="312"/>
      <c r="D160" s="372"/>
      <c r="E160" s="496"/>
      <c r="U160" s="315"/>
      <c r="X160" s="496"/>
      <c r="AN160" s="315"/>
      <c r="AQ160" s="496"/>
      <c r="BG160" s="315"/>
    </row>
    <row r="161" spans="1:59" s="46" customFormat="1" x14ac:dyDescent="0.3">
      <c r="A161" s="317"/>
      <c r="B161" s="312"/>
      <c r="C161" s="312"/>
      <c r="D161" s="372"/>
      <c r="E161" s="496"/>
      <c r="U161" s="315"/>
      <c r="X161" s="496"/>
      <c r="AN161" s="315"/>
      <c r="AQ161" s="496"/>
      <c r="BG161" s="315"/>
    </row>
    <row r="162" spans="1:59" s="46" customFormat="1" x14ac:dyDescent="0.3">
      <c r="A162" s="317"/>
      <c r="B162" s="312"/>
      <c r="C162" s="312"/>
      <c r="D162" s="372"/>
      <c r="E162" s="496"/>
      <c r="U162" s="315"/>
      <c r="X162" s="496"/>
      <c r="AN162" s="315"/>
      <c r="AQ162" s="496"/>
      <c r="BG162" s="315"/>
    </row>
    <row r="163" spans="1:59" s="46" customFormat="1" x14ac:dyDescent="0.3">
      <c r="A163" s="317"/>
      <c r="B163" s="312"/>
      <c r="C163" s="312"/>
      <c r="D163" s="372"/>
      <c r="E163" s="496"/>
      <c r="U163" s="315"/>
      <c r="X163" s="496"/>
      <c r="AN163" s="315"/>
      <c r="AQ163" s="496"/>
      <c r="BG163" s="315"/>
    </row>
    <row r="164" spans="1:59" s="46" customFormat="1" x14ac:dyDescent="0.3">
      <c r="A164" s="317"/>
      <c r="B164" s="312"/>
      <c r="C164" s="312"/>
      <c r="D164" s="372"/>
      <c r="E164" s="496"/>
      <c r="U164" s="315"/>
      <c r="X164" s="496"/>
      <c r="AN164" s="315"/>
      <c r="AQ164" s="496"/>
      <c r="BG164" s="315"/>
    </row>
    <row r="165" spans="1:59" s="46" customFormat="1" x14ac:dyDescent="0.3">
      <c r="A165" s="317"/>
      <c r="B165" s="312"/>
      <c r="C165" s="312"/>
      <c r="D165" s="372"/>
      <c r="E165" s="496"/>
      <c r="U165" s="315"/>
      <c r="X165" s="496"/>
      <c r="AN165" s="315"/>
      <c r="AQ165" s="496"/>
      <c r="BG165" s="315"/>
    </row>
    <row r="166" spans="1:59" s="46" customFormat="1" x14ac:dyDescent="0.3">
      <c r="A166" s="317"/>
      <c r="B166" s="312"/>
      <c r="C166" s="312"/>
      <c r="D166" s="372"/>
      <c r="E166" s="496"/>
      <c r="U166" s="315"/>
      <c r="X166" s="496"/>
      <c r="AN166" s="315"/>
      <c r="AQ166" s="496"/>
      <c r="BG166" s="315"/>
    </row>
    <row r="167" spans="1:59" s="46" customFormat="1" x14ac:dyDescent="0.3">
      <c r="A167" s="317"/>
      <c r="B167" s="312"/>
      <c r="C167" s="312"/>
      <c r="D167" s="372"/>
      <c r="E167" s="496"/>
      <c r="U167" s="315"/>
      <c r="X167" s="496"/>
      <c r="AN167" s="315"/>
      <c r="AQ167" s="496"/>
      <c r="BG167" s="315"/>
    </row>
    <row r="168" spans="1:59" s="46" customFormat="1" x14ac:dyDescent="0.3">
      <c r="A168" s="317"/>
      <c r="B168" s="312"/>
      <c r="C168" s="312"/>
      <c r="D168" s="372"/>
      <c r="E168" s="496"/>
      <c r="U168" s="315"/>
      <c r="X168" s="496"/>
      <c r="AN168" s="315"/>
      <c r="AQ168" s="496"/>
      <c r="BG168" s="315"/>
    </row>
    <row r="169" spans="1:59" s="46" customFormat="1" x14ac:dyDescent="0.3">
      <c r="A169" s="317"/>
      <c r="B169" s="312"/>
      <c r="C169" s="312"/>
      <c r="D169" s="372"/>
      <c r="E169" s="496"/>
      <c r="U169" s="315"/>
      <c r="X169" s="496"/>
      <c r="AN169" s="315"/>
      <c r="AQ169" s="496"/>
      <c r="BG169" s="315"/>
    </row>
    <row r="170" spans="1:59" s="46" customFormat="1" x14ac:dyDescent="0.3">
      <c r="A170" s="317"/>
      <c r="B170" s="312"/>
      <c r="C170" s="312"/>
      <c r="D170" s="372"/>
      <c r="E170" s="496"/>
      <c r="U170" s="315"/>
      <c r="X170" s="496"/>
      <c r="AN170" s="315"/>
      <c r="AQ170" s="496"/>
      <c r="BG170" s="315"/>
    </row>
    <row r="171" spans="1:59" s="46" customFormat="1" x14ac:dyDescent="0.3">
      <c r="A171" s="317"/>
      <c r="B171" s="312"/>
      <c r="C171" s="312"/>
      <c r="D171" s="372"/>
      <c r="E171" s="496"/>
      <c r="U171" s="315"/>
      <c r="X171" s="496"/>
      <c r="AN171" s="315"/>
      <c r="AQ171" s="496"/>
      <c r="BG171" s="315"/>
    </row>
    <row r="172" spans="1:59" s="46" customFormat="1" x14ac:dyDescent="0.3">
      <c r="A172" s="317"/>
      <c r="B172" s="312"/>
      <c r="C172" s="312"/>
      <c r="D172" s="372"/>
      <c r="E172" s="496"/>
      <c r="U172" s="315"/>
      <c r="X172" s="496"/>
      <c r="AN172" s="315"/>
      <c r="AQ172" s="496"/>
      <c r="BG172" s="315"/>
    </row>
    <row r="173" spans="1:59" s="46" customFormat="1" x14ac:dyDescent="0.3">
      <c r="A173" s="317"/>
      <c r="B173" s="312"/>
      <c r="C173" s="312"/>
      <c r="D173" s="372"/>
      <c r="E173" s="496"/>
      <c r="U173" s="315"/>
      <c r="X173" s="496"/>
      <c r="AN173" s="315"/>
      <c r="AQ173" s="496"/>
      <c r="BG173" s="315"/>
    </row>
    <row r="174" spans="1:59" s="46" customFormat="1" x14ac:dyDescent="0.3">
      <c r="A174" s="317"/>
      <c r="B174" s="312"/>
      <c r="C174" s="312"/>
      <c r="D174" s="372"/>
      <c r="E174" s="496"/>
      <c r="U174" s="315"/>
      <c r="X174" s="496"/>
      <c r="AN174" s="315"/>
      <c r="AQ174" s="496"/>
      <c r="BG174" s="315"/>
    </row>
    <row r="175" spans="1:59" s="46" customFormat="1" x14ac:dyDescent="0.3">
      <c r="A175" s="317"/>
      <c r="B175" s="312"/>
      <c r="C175" s="312"/>
      <c r="D175" s="372"/>
      <c r="E175" s="496"/>
      <c r="U175" s="315"/>
      <c r="X175" s="496"/>
      <c r="AN175" s="315"/>
      <c r="AQ175" s="496"/>
      <c r="BG175" s="315"/>
    </row>
    <row r="176" spans="1:59" s="46" customFormat="1" x14ac:dyDescent="0.3">
      <c r="A176" s="317"/>
      <c r="B176" s="312"/>
      <c r="C176" s="312"/>
      <c r="D176" s="372"/>
      <c r="E176" s="496"/>
      <c r="U176" s="315"/>
      <c r="X176" s="496"/>
      <c r="AN176" s="315"/>
      <c r="AQ176" s="496"/>
      <c r="BG176" s="315"/>
    </row>
    <row r="177" spans="1:59" s="46" customFormat="1" x14ac:dyDescent="0.3">
      <c r="A177" s="317"/>
      <c r="B177" s="312"/>
      <c r="C177" s="312"/>
      <c r="D177" s="372"/>
      <c r="E177" s="496"/>
      <c r="U177" s="315"/>
      <c r="X177" s="496"/>
      <c r="AN177" s="315"/>
      <c r="AQ177" s="496"/>
      <c r="BG177" s="315"/>
    </row>
    <row r="178" spans="1:59" s="46" customFormat="1" x14ac:dyDescent="0.3">
      <c r="A178" s="317"/>
      <c r="B178" s="312"/>
      <c r="C178" s="312"/>
      <c r="D178" s="372"/>
      <c r="E178" s="496"/>
      <c r="U178" s="315"/>
      <c r="X178" s="496"/>
      <c r="AN178" s="315"/>
      <c r="AQ178" s="496"/>
      <c r="BG178" s="315"/>
    </row>
    <row r="179" spans="1:59" s="46" customFormat="1" x14ac:dyDescent="0.3">
      <c r="A179" s="317"/>
      <c r="B179" s="312"/>
      <c r="C179" s="312"/>
      <c r="D179" s="372"/>
      <c r="E179" s="496"/>
      <c r="U179" s="315"/>
      <c r="X179" s="496"/>
      <c r="AN179" s="315"/>
      <c r="AQ179" s="496"/>
      <c r="BG179" s="315"/>
    </row>
    <row r="180" spans="1:59" s="46" customFormat="1" x14ac:dyDescent="0.3">
      <c r="A180" s="317"/>
      <c r="B180" s="312"/>
      <c r="C180" s="312"/>
      <c r="D180" s="372"/>
      <c r="E180" s="496"/>
      <c r="U180" s="315"/>
      <c r="X180" s="496"/>
      <c r="AN180" s="315"/>
      <c r="AQ180" s="496"/>
      <c r="BG180" s="315"/>
    </row>
    <row r="181" spans="1:59" s="46" customFormat="1" x14ac:dyDescent="0.3">
      <c r="A181" s="317"/>
      <c r="B181" s="312"/>
      <c r="C181" s="312"/>
      <c r="D181" s="372"/>
      <c r="E181" s="496"/>
      <c r="U181" s="315"/>
      <c r="X181" s="496"/>
      <c r="AN181" s="315"/>
      <c r="AQ181" s="496"/>
      <c r="BG181" s="315"/>
    </row>
    <row r="182" spans="1:59" s="46" customFormat="1" x14ac:dyDescent="0.3">
      <c r="A182" s="317"/>
      <c r="B182" s="312"/>
      <c r="C182" s="312"/>
      <c r="D182" s="372"/>
      <c r="E182" s="496"/>
      <c r="U182" s="315"/>
      <c r="X182" s="496"/>
      <c r="AN182" s="315"/>
      <c r="AQ182" s="496"/>
      <c r="BG182" s="315"/>
    </row>
    <row r="183" spans="1:59" s="46" customFormat="1" x14ac:dyDescent="0.3">
      <c r="A183" s="317"/>
      <c r="B183" s="312"/>
      <c r="C183" s="312"/>
      <c r="D183" s="372"/>
      <c r="E183" s="496"/>
      <c r="U183" s="315"/>
      <c r="X183" s="496"/>
      <c r="AN183" s="315"/>
      <c r="AQ183" s="496"/>
      <c r="BG183" s="315"/>
    </row>
    <row r="184" spans="1:59" s="46" customFormat="1" x14ac:dyDescent="0.3">
      <c r="A184" s="317"/>
      <c r="B184" s="312"/>
      <c r="C184" s="312"/>
      <c r="D184" s="372"/>
      <c r="E184" s="496"/>
      <c r="U184" s="315"/>
      <c r="X184" s="496"/>
      <c r="AN184" s="315"/>
      <c r="AQ184" s="496"/>
      <c r="BG184" s="315"/>
    </row>
    <row r="185" spans="1:59" s="46" customFormat="1" x14ac:dyDescent="0.3">
      <c r="A185" s="317"/>
      <c r="B185" s="312"/>
      <c r="C185" s="312"/>
      <c r="D185" s="372"/>
      <c r="E185" s="496"/>
      <c r="U185" s="315"/>
      <c r="X185" s="496"/>
      <c r="AN185" s="315"/>
      <c r="AQ185" s="496"/>
      <c r="BG185" s="315"/>
    </row>
    <row r="186" spans="1:59" s="46" customFormat="1" x14ac:dyDescent="0.3">
      <c r="A186" s="317"/>
      <c r="B186" s="312"/>
      <c r="C186" s="312"/>
      <c r="D186" s="372"/>
      <c r="E186" s="496"/>
      <c r="U186" s="315"/>
      <c r="X186" s="496"/>
      <c r="AN186" s="315"/>
      <c r="AQ186" s="496"/>
      <c r="BG186" s="315"/>
    </row>
    <row r="187" spans="1:59" s="46" customFormat="1" x14ac:dyDescent="0.3">
      <c r="A187" s="317"/>
      <c r="B187" s="312"/>
      <c r="C187" s="312"/>
      <c r="D187" s="372"/>
      <c r="E187" s="496"/>
      <c r="U187" s="315"/>
      <c r="X187" s="496"/>
      <c r="AN187" s="315"/>
      <c r="AQ187" s="496"/>
      <c r="BG187" s="315"/>
    </row>
    <row r="188" spans="1:59" s="46" customFormat="1" x14ac:dyDescent="0.3">
      <c r="A188" s="317"/>
      <c r="B188" s="312"/>
      <c r="C188" s="312"/>
      <c r="D188" s="372"/>
      <c r="E188" s="496"/>
      <c r="U188" s="315"/>
      <c r="X188" s="496"/>
      <c r="AN188" s="315"/>
      <c r="AQ188" s="496"/>
      <c r="BG188" s="315"/>
    </row>
    <row r="189" spans="1:59" s="46" customFormat="1" x14ac:dyDescent="0.3">
      <c r="A189" s="317"/>
      <c r="B189" s="312"/>
      <c r="C189" s="312"/>
      <c r="D189" s="372"/>
      <c r="E189" s="496"/>
      <c r="U189" s="315"/>
      <c r="X189" s="496"/>
      <c r="AN189" s="315"/>
      <c r="AQ189" s="496"/>
      <c r="BG189" s="315"/>
    </row>
    <row r="190" spans="1:59" s="46" customFormat="1" x14ac:dyDescent="0.3">
      <c r="A190" s="317"/>
      <c r="B190" s="312"/>
      <c r="C190" s="312"/>
      <c r="D190" s="372"/>
      <c r="E190" s="496"/>
      <c r="U190" s="315"/>
      <c r="X190" s="496"/>
      <c r="AN190" s="315"/>
      <c r="AQ190" s="496"/>
      <c r="BG190" s="315"/>
    </row>
    <row r="191" spans="1:59" s="46" customFormat="1" x14ac:dyDescent="0.3">
      <c r="A191" s="317"/>
      <c r="B191" s="312"/>
      <c r="C191" s="312"/>
      <c r="D191" s="372"/>
      <c r="E191" s="496"/>
      <c r="U191" s="315"/>
      <c r="X191" s="496"/>
      <c r="AN191" s="315"/>
      <c r="AQ191" s="496"/>
      <c r="BG191" s="315"/>
    </row>
    <row r="192" spans="1:59" s="46" customFormat="1" x14ac:dyDescent="0.3">
      <c r="A192" s="317"/>
      <c r="B192" s="312"/>
      <c r="C192" s="312"/>
      <c r="D192" s="372"/>
      <c r="E192" s="496"/>
      <c r="U192" s="315"/>
      <c r="X192" s="496"/>
      <c r="AN192" s="315"/>
      <c r="AQ192" s="496"/>
      <c r="BG192" s="315"/>
    </row>
    <row r="193" spans="1:59" s="46" customFormat="1" x14ac:dyDescent="0.3">
      <c r="A193" s="317"/>
      <c r="B193" s="312"/>
      <c r="C193" s="312"/>
      <c r="D193" s="372"/>
      <c r="E193" s="496"/>
      <c r="U193" s="315"/>
      <c r="X193" s="496"/>
      <c r="AN193" s="315"/>
      <c r="AQ193" s="496"/>
      <c r="BG193" s="315"/>
    </row>
    <row r="194" spans="1:59" s="46" customFormat="1" x14ac:dyDescent="0.3">
      <c r="A194" s="317"/>
      <c r="B194" s="312"/>
      <c r="C194" s="312"/>
      <c r="D194" s="372"/>
      <c r="E194" s="496"/>
      <c r="U194" s="315"/>
      <c r="X194" s="496"/>
      <c r="AN194" s="315"/>
      <c r="AQ194" s="496"/>
      <c r="BG194" s="315"/>
    </row>
    <row r="195" spans="1:59" s="46" customFormat="1" x14ac:dyDescent="0.3">
      <c r="A195" s="317"/>
      <c r="B195" s="312"/>
      <c r="C195" s="312"/>
      <c r="D195" s="372"/>
      <c r="E195" s="496"/>
      <c r="U195" s="315"/>
      <c r="X195" s="496"/>
      <c r="AN195" s="315"/>
      <c r="AQ195" s="496"/>
      <c r="BG195" s="315"/>
    </row>
    <row r="196" spans="1:59" s="46" customFormat="1" x14ac:dyDescent="0.3">
      <c r="A196" s="317"/>
      <c r="B196" s="312"/>
      <c r="C196" s="312"/>
      <c r="D196" s="372"/>
      <c r="E196" s="496"/>
      <c r="U196" s="315"/>
      <c r="X196" s="496"/>
      <c r="AN196" s="315"/>
      <c r="AQ196" s="496"/>
      <c r="BG196" s="315"/>
    </row>
    <row r="197" spans="1:59" s="46" customFormat="1" x14ac:dyDescent="0.3">
      <c r="A197" s="317"/>
      <c r="B197" s="312"/>
      <c r="C197" s="312"/>
      <c r="D197" s="372"/>
      <c r="E197" s="496"/>
      <c r="U197" s="315"/>
      <c r="X197" s="496"/>
      <c r="AN197" s="315"/>
      <c r="AQ197" s="496"/>
      <c r="BG197" s="315"/>
    </row>
    <row r="198" spans="1:59" s="46" customFormat="1" x14ac:dyDescent="0.3">
      <c r="A198" s="317"/>
      <c r="B198" s="312"/>
      <c r="C198" s="312"/>
      <c r="D198" s="372"/>
      <c r="E198" s="496"/>
      <c r="U198" s="315"/>
      <c r="X198" s="496"/>
      <c r="AN198" s="315"/>
      <c r="AQ198" s="496"/>
      <c r="BG198" s="315"/>
    </row>
    <row r="199" spans="1:59" s="46" customFormat="1" x14ac:dyDescent="0.3">
      <c r="A199" s="317"/>
      <c r="B199" s="312"/>
      <c r="C199" s="312"/>
      <c r="D199" s="372"/>
      <c r="E199" s="496"/>
      <c r="U199" s="315"/>
      <c r="X199" s="496"/>
      <c r="AN199" s="315"/>
      <c r="AQ199" s="496"/>
      <c r="BG199" s="315"/>
    </row>
    <row r="200" spans="1:59" s="46" customFormat="1" x14ac:dyDescent="0.3">
      <c r="A200" s="317"/>
      <c r="B200" s="312"/>
      <c r="C200" s="312"/>
      <c r="D200" s="372"/>
      <c r="E200" s="496"/>
      <c r="U200" s="315"/>
      <c r="X200" s="496"/>
      <c r="AN200" s="315"/>
      <c r="AQ200" s="496"/>
      <c r="BG200" s="315"/>
    </row>
    <row r="201" spans="1:59" s="46" customFormat="1" x14ac:dyDescent="0.3">
      <c r="A201" s="317"/>
      <c r="B201" s="312"/>
      <c r="C201" s="312"/>
      <c r="D201" s="372"/>
      <c r="E201" s="496"/>
      <c r="U201" s="315"/>
      <c r="X201" s="496"/>
      <c r="AN201" s="315"/>
      <c r="AQ201" s="496"/>
      <c r="BG201" s="315"/>
    </row>
    <row r="202" spans="1:59" s="46" customFormat="1" x14ac:dyDescent="0.3">
      <c r="A202" s="317"/>
      <c r="B202" s="312"/>
      <c r="C202" s="312"/>
      <c r="D202" s="372"/>
      <c r="E202" s="496"/>
      <c r="U202" s="315"/>
      <c r="X202" s="496"/>
      <c r="AN202" s="315"/>
      <c r="AQ202" s="496"/>
      <c r="BG202" s="315"/>
    </row>
    <row r="203" spans="1:59" s="46" customFormat="1" x14ac:dyDescent="0.3">
      <c r="A203" s="317"/>
      <c r="B203" s="312"/>
      <c r="C203" s="312"/>
      <c r="D203" s="372"/>
      <c r="E203" s="496"/>
      <c r="U203" s="315"/>
      <c r="X203" s="496"/>
      <c r="AN203" s="315"/>
      <c r="AQ203" s="496"/>
      <c r="BG203" s="315"/>
    </row>
    <row r="204" spans="1:59" s="46" customFormat="1" x14ac:dyDescent="0.3">
      <c r="A204" s="317"/>
      <c r="B204" s="312"/>
      <c r="C204" s="312"/>
      <c r="D204" s="372"/>
      <c r="E204" s="496"/>
      <c r="U204" s="315"/>
      <c r="X204" s="496"/>
      <c r="AN204" s="315"/>
      <c r="AQ204" s="496"/>
      <c r="BG204" s="315"/>
    </row>
    <row r="205" spans="1:59" s="46" customFormat="1" x14ac:dyDescent="0.3">
      <c r="A205" s="317"/>
      <c r="B205" s="312"/>
      <c r="C205" s="312"/>
      <c r="D205" s="372"/>
      <c r="E205" s="496"/>
      <c r="U205" s="315"/>
      <c r="X205" s="496"/>
      <c r="AN205" s="315"/>
      <c r="AQ205" s="496"/>
      <c r="BG205" s="315"/>
    </row>
    <row r="206" spans="1:59" s="46" customFormat="1" x14ac:dyDescent="0.3">
      <c r="A206" s="317"/>
      <c r="B206" s="312"/>
      <c r="C206" s="312"/>
      <c r="D206" s="372"/>
      <c r="E206" s="496"/>
      <c r="U206" s="315"/>
      <c r="X206" s="496"/>
      <c r="AN206" s="315"/>
      <c r="AQ206" s="496"/>
      <c r="BG206" s="315"/>
    </row>
    <row r="207" spans="1:59" s="46" customFormat="1" x14ac:dyDescent="0.3">
      <c r="A207" s="317"/>
      <c r="B207" s="312"/>
      <c r="C207" s="312"/>
      <c r="D207" s="372"/>
      <c r="E207" s="496"/>
      <c r="U207" s="315"/>
      <c r="X207" s="496"/>
      <c r="AN207" s="315"/>
      <c r="AQ207" s="496"/>
      <c r="BG207" s="315"/>
    </row>
    <row r="208" spans="1:59" s="46" customFormat="1" x14ac:dyDescent="0.3">
      <c r="A208" s="317"/>
      <c r="B208" s="312"/>
      <c r="C208" s="312"/>
      <c r="D208" s="372"/>
      <c r="E208" s="496"/>
      <c r="U208" s="315"/>
      <c r="X208" s="496"/>
      <c r="AN208" s="315"/>
      <c r="AQ208" s="496"/>
      <c r="BG208" s="315"/>
    </row>
    <row r="209" spans="1:59" s="46" customFormat="1" x14ac:dyDescent="0.3">
      <c r="A209" s="317"/>
      <c r="B209" s="312"/>
      <c r="C209" s="312"/>
      <c r="D209" s="372"/>
      <c r="E209" s="496"/>
      <c r="U209" s="315"/>
      <c r="X209" s="496"/>
      <c r="AN209" s="315"/>
      <c r="AQ209" s="496"/>
      <c r="BG209" s="315"/>
    </row>
    <row r="210" spans="1:59" s="46" customFormat="1" x14ac:dyDescent="0.3">
      <c r="A210" s="317"/>
      <c r="B210" s="312"/>
      <c r="C210" s="312"/>
      <c r="D210" s="372"/>
      <c r="E210" s="496"/>
      <c r="U210" s="315"/>
      <c r="X210" s="496"/>
      <c r="AN210" s="315"/>
      <c r="AQ210" s="496"/>
      <c r="BG210" s="315"/>
    </row>
    <row r="211" spans="1:59" s="46" customFormat="1" x14ac:dyDescent="0.3">
      <c r="A211" s="317"/>
      <c r="B211" s="312"/>
      <c r="C211" s="312"/>
      <c r="D211" s="372"/>
      <c r="E211" s="496"/>
      <c r="U211" s="315"/>
      <c r="X211" s="496"/>
      <c r="AN211" s="315"/>
      <c r="AQ211" s="496"/>
      <c r="BG211" s="315"/>
    </row>
    <row r="212" spans="1:59" s="46" customFormat="1" x14ac:dyDescent="0.3">
      <c r="A212" s="317"/>
      <c r="B212" s="312"/>
      <c r="C212" s="312"/>
      <c r="D212" s="372"/>
      <c r="E212" s="496"/>
      <c r="U212" s="315"/>
      <c r="X212" s="496"/>
      <c r="AN212" s="315"/>
      <c r="AQ212" s="496"/>
      <c r="BG212" s="315"/>
    </row>
    <row r="213" spans="1:59" s="46" customFormat="1" x14ac:dyDescent="0.3">
      <c r="A213" s="317"/>
      <c r="B213" s="312"/>
      <c r="C213" s="312"/>
      <c r="D213" s="372"/>
      <c r="E213" s="496"/>
      <c r="U213" s="315"/>
      <c r="X213" s="496"/>
      <c r="AN213" s="315"/>
      <c r="AQ213" s="496"/>
      <c r="BG213" s="315"/>
    </row>
    <row r="214" spans="1:59" s="46" customFormat="1" x14ac:dyDescent="0.3">
      <c r="A214" s="317"/>
      <c r="B214" s="312"/>
      <c r="C214" s="312"/>
      <c r="D214" s="372"/>
      <c r="E214" s="496"/>
      <c r="U214" s="315"/>
      <c r="X214" s="496"/>
      <c r="AN214" s="315"/>
      <c r="AQ214" s="496"/>
      <c r="BG214" s="315"/>
    </row>
    <row r="215" spans="1:59" s="46" customFormat="1" x14ac:dyDescent="0.3">
      <c r="A215" s="317"/>
      <c r="B215" s="312"/>
      <c r="C215" s="312"/>
      <c r="D215" s="372"/>
      <c r="E215" s="496"/>
      <c r="U215" s="315"/>
      <c r="X215" s="496"/>
      <c r="AN215" s="315"/>
      <c r="AQ215" s="496"/>
      <c r="BG215" s="315"/>
    </row>
    <row r="216" spans="1:59" s="46" customFormat="1" x14ac:dyDescent="0.3">
      <c r="A216" s="317"/>
      <c r="B216" s="312"/>
      <c r="C216" s="312"/>
      <c r="D216" s="372"/>
      <c r="E216" s="496"/>
      <c r="U216" s="315"/>
      <c r="X216" s="496"/>
      <c r="AN216" s="315"/>
      <c r="AQ216" s="496"/>
      <c r="BG216" s="315"/>
    </row>
    <row r="217" spans="1:59" s="46" customFormat="1" x14ac:dyDescent="0.3">
      <c r="A217" s="317"/>
      <c r="B217" s="312"/>
      <c r="C217" s="312"/>
      <c r="D217" s="372"/>
      <c r="E217" s="496"/>
      <c r="U217" s="315"/>
      <c r="X217" s="496"/>
      <c r="AN217" s="315"/>
      <c r="AQ217" s="496"/>
      <c r="BG217" s="315"/>
    </row>
    <row r="218" spans="1:59" s="46" customFormat="1" x14ac:dyDescent="0.3">
      <c r="A218" s="317"/>
      <c r="B218" s="312"/>
      <c r="C218" s="312"/>
      <c r="D218" s="372"/>
      <c r="E218" s="496"/>
      <c r="U218" s="315"/>
      <c r="X218" s="496"/>
      <c r="AN218" s="315"/>
      <c r="AQ218" s="496"/>
      <c r="BG218" s="315"/>
    </row>
    <row r="219" spans="1:59" s="46" customFormat="1" x14ac:dyDescent="0.3">
      <c r="A219" s="317"/>
      <c r="B219" s="312"/>
      <c r="C219" s="312"/>
      <c r="D219" s="372"/>
      <c r="E219" s="496"/>
      <c r="U219" s="315"/>
      <c r="X219" s="496"/>
      <c r="AN219" s="315"/>
      <c r="AQ219" s="496"/>
      <c r="BG219" s="315"/>
    </row>
    <row r="220" spans="1:59" s="46" customFormat="1" x14ac:dyDescent="0.3">
      <c r="A220" s="317"/>
      <c r="B220" s="312"/>
      <c r="C220" s="312"/>
      <c r="D220" s="372"/>
      <c r="E220" s="496"/>
      <c r="U220" s="315"/>
      <c r="X220" s="496"/>
      <c r="AN220" s="315"/>
      <c r="AQ220" s="496"/>
      <c r="BG220" s="315"/>
    </row>
    <row r="221" spans="1:59" s="46" customFormat="1" x14ac:dyDescent="0.3">
      <c r="A221" s="317"/>
      <c r="B221" s="312"/>
      <c r="C221" s="312"/>
      <c r="D221" s="372"/>
      <c r="E221" s="496"/>
      <c r="U221" s="315"/>
      <c r="X221" s="496"/>
      <c r="AN221" s="315"/>
      <c r="AQ221" s="496"/>
      <c r="BG221" s="315"/>
    </row>
    <row r="222" spans="1:59" s="46" customFormat="1" x14ac:dyDescent="0.3">
      <c r="A222" s="317"/>
      <c r="B222" s="312"/>
      <c r="C222" s="312"/>
      <c r="D222" s="372"/>
      <c r="E222" s="496"/>
      <c r="U222" s="315"/>
      <c r="X222" s="496"/>
      <c r="AN222" s="315"/>
      <c r="AQ222" s="496"/>
      <c r="BG222" s="315"/>
    </row>
    <row r="223" spans="1:59" s="46" customFormat="1" x14ac:dyDescent="0.3">
      <c r="A223" s="317"/>
      <c r="B223" s="312"/>
      <c r="C223" s="312"/>
      <c r="D223" s="372"/>
      <c r="E223" s="496"/>
      <c r="U223" s="315"/>
      <c r="X223" s="496"/>
      <c r="AN223" s="315"/>
      <c r="AQ223" s="496"/>
      <c r="BG223" s="315"/>
    </row>
    <row r="224" spans="1:59" s="46" customFormat="1" x14ac:dyDescent="0.3">
      <c r="A224" s="317"/>
      <c r="B224" s="312"/>
      <c r="C224" s="312"/>
      <c r="D224" s="372"/>
      <c r="E224" s="496"/>
      <c r="U224" s="315"/>
      <c r="X224" s="496"/>
      <c r="AN224" s="315"/>
      <c r="AQ224" s="496"/>
      <c r="BG224" s="315"/>
    </row>
    <row r="225" spans="1:59" s="46" customFormat="1" x14ac:dyDescent="0.3">
      <c r="A225" s="317"/>
      <c r="B225" s="312"/>
      <c r="C225" s="312"/>
      <c r="D225" s="372"/>
      <c r="E225" s="496"/>
      <c r="U225" s="315"/>
      <c r="X225" s="496"/>
      <c r="AN225" s="315"/>
      <c r="AQ225" s="496"/>
      <c r="BG225" s="315"/>
    </row>
    <row r="226" spans="1:59" s="46" customFormat="1" x14ac:dyDescent="0.3">
      <c r="A226" s="317"/>
      <c r="B226" s="312"/>
      <c r="C226" s="312"/>
      <c r="D226" s="372"/>
      <c r="E226" s="496"/>
      <c r="U226" s="315"/>
      <c r="X226" s="496"/>
      <c r="AN226" s="315"/>
      <c r="AQ226" s="496"/>
      <c r="BG226" s="315"/>
    </row>
    <row r="227" spans="1:59" s="46" customFormat="1" x14ac:dyDescent="0.3">
      <c r="A227" s="317"/>
      <c r="B227" s="312"/>
      <c r="C227" s="312"/>
      <c r="D227" s="372"/>
      <c r="E227" s="496"/>
      <c r="U227" s="315"/>
      <c r="X227" s="496"/>
      <c r="AN227" s="315"/>
      <c r="AQ227" s="496"/>
      <c r="BG227" s="315"/>
    </row>
    <row r="228" spans="1:59" s="46" customFormat="1" x14ac:dyDescent="0.3">
      <c r="A228" s="317"/>
      <c r="B228" s="312"/>
      <c r="C228" s="312"/>
      <c r="D228" s="372"/>
      <c r="E228" s="496"/>
      <c r="U228" s="315"/>
      <c r="X228" s="496"/>
      <c r="AN228" s="315"/>
      <c r="AQ228" s="496"/>
      <c r="BG228" s="315"/>
    </row>
    <row r="229" spans="1:59" s="46" customFormat="1" x14ac:dyDescent="0.3">
      <c r="A229" s="317"/>
      <c r="B229" s="312"/>
      <c r="C229" s="312"/>
      <c r="D229" s="372"/>
      <c r="E229" s="496"/>
      <c r="U229" s="315"/>
      <c r="X229" s="496"/>
      <c r="AN229" s="315"/>
      <c r="AQ229" s="496"/>
      <c r="BG229" s="315"/>
    </row>
    <row r="230" spans="1:59" s="46" customFormat="1" x14ac:dyDescent="0.3">
      <c r="A230" s="317"/>
      <c r="B230" s="312"/>
      <c r="C230" s="312"/>
      <c r="D230" s="372"/>
      <c r="E230" s="496"/>
      <c r="U230" s="315"/>
      <c r="X230" s="496"/>
      <c r="AN230" s="315"/>
      <c r="AQ230" s="496"/>
      <c r="BG230" s="315"/>
    </row>
    <row r="231" spans="1:59" s="46" customFormat="1" x14ac:dyDescent="0.3">
      <c r="A231" s="317"/>
      <c r="B231" s="312"/>
      <c r="C231" s="312"/>
      <c r="D231" s="372"/>
      <c r="E231" s="496"/>
      <c r="U231" s="315"/>
      <c r="X231" s="496"/>
      <c r="AN231" s="315"/>
      <c r="AQ231" s="496"/>
      <c r="BG231" s="315"/>
    </row>
    <row r="232" spans="1:59" s="46" customFormat="1" x14ac:dyDescent="0.3">
      <c r="A232" s="317"/>
      <c r="B232" s="312"/>
      <c r="C232" s="312"/>
      <c r="D232" s="372"/>
      <c r="E232" s="496"/>
      <c r="U232" s="315"/>
      <c r="X232" s="496"/>
      <c r="AN232" s="315"/>
      <c r="AQ232" s="496"/>
      <c r="BG232" s="315"/>
    </row>
    <row r="233" spans="1:59" s="46" customFormat="1" x14ac:dyDescent="0.3">
      <c r="A233" s="317"/>
      <c r="B233" s="312"/>
      <c r="C233" s="312"/>
      <c r="D233" s="372"/>
      <c r="E233" s="496"/>
      <c r="U233" s="315"/>
      <c r="X233" s="496"/>
      <c r="AN233" s="315"/>
      <c r="AQ233" s="496"/>
      <c r="BG233" s="315"/>
    </row>
    <row r="234" spans="1:59" s="46" customFormat="1" x14ac:dyDescent="0.3">
      <c r="A234" s="317"/>
      <c r="B234" s="312"/>
      <c r="C234" s="312"/>
      <c r="D234" s="372"/>
      <c r="E234" s="496"/>
      <c r="U234" s="315"/>
      <c r="X234" s="496"/>
      <c r="AN234" s="315"/>
      <c r="AQ234" s="496"/>
      <c r="BG234" s="315"/>
    </row>
    <row r="235" spans="1:59" s="46" customFormat="1" x14ac:dyDescent="0.3">
      <c r="A235" s="317"/>
      <c r="B235" s="312"/>
      <c r="C235" s="312"/>
      <c r="D235" s="372"/>
      <c r="E235" s="496"/>
      <c r="U235" s="315"/>
      <c r="X235" s="496"/>
      <c r="AN235" s="315"/>
      <c r="AQ235" s="496"/>
      <c r="BG235" s="315"/>
    </row>
    <row r="236" spans="1:59" s="46" customFormat="1" x14ac:dyDescent="0.3">
      <c r="A236" s="317"/>
      <c r="B236" s="312"/>
      <c r="C236" s="312"/>
      <c r="D236" s="372"/>
      <c r="E236" s="496"/>
      <c r="U236" s="315"/>
      <c r="X236" s="496"/>
      <c r="AN236" s="315"/>
      <c r="AQ236" s="496"/>
      <c r="BG236" s="315"/>
    </row>
    <row r="237" spans="1:59" s="46" customFormat="1" x14ac:dyDescent="0.3">
      <c r="A237" s="317"/>
      <c r="B237" s="312"/>
      <c r="C237" s="312"/>
      <c r="D237" s="372"/>
      <c r="E237" s="496"/>
      <c r="U237" s="315"/>
      <c r="X237" s="496"/>
      <c r="AN237" s="315"/>
      <c r="AQ237" s="496"/>
      <c r="BG237" s="315"/>
    </row>
    <row r="238" spans="1:59" s="46" customFormat="1" x14ac:dyDescent="0.3">
      <c r="A238" s="317"/>
      <c r="D238" s="372"/>
      <c r="E238" s="496"/>
      <c r="U238" s="315"/>
      <c r="X238" s="496"/>
      <c r="AN238" s="315"/>
      <c r="AQ238" s="496"/>
      <c r="BG238" s="315"/>
    </row>
    <row r="239" spans="1:59" s="46" customFormat="1" x14ac:dyDescent="0.3">
      <c r="A239" s="317"/>
      <c r="D239" s="372"/>
      <c r="E239" s="496"/>
      <c r="U239" s="315"/>
      <c r="X239" s="496"/>
      <c r="AN239" s="315"/>
      <c r="AQ239" s="496"/>
      <c r="BG239" s="315"/>
    </row>
    <row r="240" spans="1:59" s="46" customFormat="1" x14ac:dyDescent="0.3">
      <c r="A240" s="317"/>
      <c r="D240" s="372"/>
      <c r="E240" s="496"/>
      <c r="U240" s="315"/>
      <c r="X240" s="496"/>
      <c r="AN240" s="315"/>
      <c r="AQ240" s="496"/>
      <c r="BG240" s="315"/>
    </row>
    <row r="241" spans="1:59" s="46" customFormat="1" x14ac:dyDescent="0.3">
      <c r="A241" s="317"/>
      <c r="D241" s="372"/>
      <c r="E241" s="496"/>
      <c r="U241" s="315"/>
      <c r="X241" s="496"/>
      <c r="AN241" s="315"/>
      <c r="AQ241" s="496"/>
      <c r="BG241" s="315"/>
    </row>
    <row r="242" spans="1:59" s="46" customFormat="1" x14ac:dyDescent="0.3">
      <c r="A242" s="317"/>
      <c r="B242" s="312"/>
      <c r="C242" s="312"/>
      <c r="D242" s="372"/>
      <c r="E242" s="496"/>
      <c r="U242" s="315"/>
      <c r="X242" s="496"/>
      <c r="AN242" s="315"/>
      <c r="AQ242" s="496"/>
      <c r="BG242" s="315"/>
    </row>
    <row r="243" spans="1:59" s="46" customFormat="1" x14ac:dyDescent="0.3">
      <c r="A243" s="317"/>
      <c r="B243" s="312"/>
      <c r="C243" s="312"/>
      <c r="D243" s="372"/>
      <c r="E243" s="496"/>
      <c r="U243" s="315"/>
      <c r="X243" s="496"/>
      <c r="AN243" s="315"/>
      <c r="AQ243" s="496"/>
      <c r="BG243" s="315"/>
    </row>
    <row r="244" spans="1:59" s="46" customFormat="1" x14ac:dyDescent="0.3">
      <c r="A244" s="317"/>
      <c r="B244" s="312"/>
      <c r="C244" s="312"/>
      <c r="D244" s="372"/>
      <c r="E244" s="496"/>
      <c r="U244" s="315"/>
      <c r="X244" s="496"/>
      <c r="AN244" s="315"/>
      <c r="AQ244" s="496"/>
      <c r="BG244" s="315"/>
    </row>
    <row r="245" spans="1:59" s="46" customFormat="1" x14ac:dyDescent="0.3">
      <c r="A245" s="317"/>
      <c r="B245" s="312"/>
      <c r="C245" s="312"/>
      <c r="D245" s="372"/>
      <c r="E245" s="496"/>
      <c r="U245" s="315"/>
      <c r="X245" s="496"/>
      <c r="AN245" s="315"/>
      <c r="AQ245" s="496"/>
      <c r="BG245" s="315"/>
    </row>
    <row r="246" spans="1:59" s="46" customFormat="1" x14ac:dyDescent="0.3">
      <c r="A246" s="317"/>
      <c r="B246" s="312"/>
      <c r="C246" s="312"/>
      <c r="D246" s="372"/>
      <c r="E246" s="496"/>
      <c r="U246" s="315"/>
      <c r="X246" s="496"/>
      <c r="AN246" s="315"/>
      <c r="AQ246" s="496"/>
      <c r="BG246" s="315"/>
    </row>
    <row r="247" spans="1:59" s="46" customFormat="1" x14ac:dyDescent="0.3">
      <c r="A247" s="317"/>
      <c r="B247" s="312"/>
      <c r="C247" s="312"/>
      <c r="D247" s="372"/>
      <c r="E247" s="496"/>
      <c r="U247" s="315"/>
      <c r="X247" s="496"/>
      <c r="AN247" s="315"/>
      <c r="AQ247" s="496"/>
      <c r="BG247" s="315"/>
    </row>
    <row r="248" spans="1:59" s="46" customFormat="1" x14ac:dyDescent="0.3">
      <c r="A248" s="317"/>
      <c r="B248" s="312"/>
      <c r="C248" s="312"/>
      <c r="D248" s="372"/>
      <c r="E248" s="496"/>
      <c r="U248" s="315"/>
      <c r="X248" s="496"/>
      <c r="AN248" s="315"/>
      <c r="AQ248" s="496"/>
      <c r="BG248" s="315"/>
    </row>
    <row r="249" spans="1:59" s="46" customFormat="1" x14ac:dyDescent="0.3">
      <c r="A249" s="317"/>
      <c r="B249" s="312"/>
      <c r="C249" s="312"/>
      <c r="D249" s="372"/>
      <c r="E249" s="496"/>
      <c r="U249" s="315"/>
      <c r="X249" s="496"/>
      <c r="AN249" s="315"/>
      <c r="AQ249" s="496"/>
      <c r="BG249" s="315"/>
    </row>
    <row r="250" spans="1:59" s="46" customFormat="1" x14ac:dyDescent="0.3">
      <c r="A250" s="317"/>
      <c r="B250" s="312"/>
      <c r="C250" s="312"/>
      <c r="D250" s="372"/>
      <c r="E250" s="496"/>
      <c r="U250" s="315"/>
      <c r="X250" s="496"/>
      <c r="AN250" s="315"/>
      <c r="AQ250" s="496"/>
      <c r="BG250" s="315"/>
    </row>
    <row r="251" spans="1:59" s="46" customFormat="1" x14ac:dyDescent="0.3">
      <c r="A251" s="317"/>
      <c r="B251" s="312"/>
      <c r="C251" s="312"/>
      <c r="D251" s="372"/>
      <c r="E251" s="496"/>
      <c r="U251" s="315"/>
      <c r="X251" s="496"/>
      <c r="AN251" s="315"/>
      <c r="AQ251" s="496"/>
      <c r="BG251" s="315"/>
    </row>
    <row r="252" spans="1:59" s="46" customFormat="1" x14ac:dyDescent="0.3">
      <c r="A252" s="317"/>
      <c r="B252" s="312"/>
      <c r="C252" s="312"/>
      <c r="D252" s="372"/>
      <c r="E252" s="496"/>
      <c r="U252" s="315"/>
      <c r="X252" s="496"/>
      <c r="AN252" s="315"/>
      <c r="AQ252" s="496"/>
      <c r="BG252" s="315"/>
    </row>
    <row r="253" spans="1:59" s="46" customFormat="1" x14ac:dyDescent="0.3">
      <c r="A253" s="317"/>
      <c r="B253" s="312"/>
      <c r="C253" s="312"/>
      <c r="D253" s="372"/>
      <c r="E253" s="496"/>
      <c r="U253" s="315"/>
      <c r="X253" s="496"/>
      <c r="AN253" s="315"/>
      <c r="AQ253" s="496"/>
      <c r="BG253" s="315"/>
    </row>
    <row r="254" spans="1:59" s="46" customFormat="1" x14ac:dyDescent="0.3">
      <c r="A254" s="317"/>
      <c r="B254" s="312"/>
      <c r="C254" s="312"/>
      <c r="D254" s="372"/>
      <c r="E254" s="496"/>
      <c r="U254" s="315"/>
      <c r="X254" s="496"/>
      <c r="AN254" s="315"/>
      <c r="AQ254" s="496"/>
      <c r="BG254" s="315"/>
    </row>
    <row r="255" spans="1:59" s="46" customFormat="1" x14ac:dyDescent="0.3">
      <c r="A255" s="317"/>
      <c r="B255" s="312"/>
      <c r="C255" s="312"/>
      <c r="D255" s="372"/>
      <c r="E255" s="496"/>
      <c r="U255" s="315"/>
      <c r="X255" s="496"/>
      <c r="AN255" s="315"/>
      <c r="AQ255" s="496"/>
      <c r="BG255" s="315"/>
    </row>
    <row r="256" spans="1:59" s="46" customFormat="1" x14ac:dyDescent="0.3">
      <c r="A256" s="317"/>
      <c r="B256" s="312"/>
      <c r="C256" s="312"/>
      <c r="D256" s="372"/>
      <c r="E256" s="496"/>
      <c r="U256" s="315"/>
      <c r="X256" s="496"/>
      <c r="AN256" s="315"/>
      <c r="AQ256" s="496"/>
      <c r="BG256" s="315"/>
    </row>
    <row r="257" spans="1:59" s="46" customFormat="1" x14ac:dyDescent="0.3">
      <c r="A257" s="317"/>
      <c r="B257" s="312"/>
      <c r="C257" s="312"/>
      <c r="D257" s="372"/>
      <c r="E257" s="496"/>
      <c r="U257" s="315"/>
      <c r="X257" s="496"/>
      <c r="AN257" s="315"/>
      <c r="AQ257" s="496"/>
      <c r="BG257" s="315"/>
    </row>
    <row r="258" spans="1:59" s="46" customFormat="1" x14ac:dyDescent="0.3">
      <c r="A258" s="317"/>
      <c r="B258" s="312"/>
      <c r="C258" s="312"/>
      <c r="D258" s="372"/>
      <c r="E258" s="496"/>
      <c r="U258" s="315"/>
      <c r="X258" s="496"/>
      <c r="AN258" s="315"/>
      <c r="AQ258" s="496"/>
      <c r="BG258" s="315"/>
    </row>
    <row r="259" spans="1:59" s="46" customFormat="1" x14ac:dyDescent="0.3">
      <c r="A259" s="317"/>
      <c r="B259" s="312"/>
      <c r="C259" s="312"/>
      <c r="D259" s="372"/>
      <c r="E259" s="496"/>
      <c r="U259" s="315"/>
      <c r="X259" s="496"/>
      <c r="AN259" s="315"/>
      <c r="AQ259" s="496"/>
      <c r="BG259" s="315"/>
    </row>
    <row r="260" spans="1:59" s="46" customFormat="1" x14ac:dyDescent="0.3">
      <c r="A260" s="317"/>
      <c r="B260" s="312"/>
      <c r="C260" s="312"/>
      <c r="D260" s="372"/>
      <c r="E260" s="496"/>
      <c r="U260" s="315"/>
      <c r="X260" s="496"/>
      <c r="AN260" s="315"/>
      <c r="AQ260" s="496"/>
      <c r="BG260" s="315"/>
    </row>
    <row r="261" spans="1:59" s="46" customFormat="1" x14ac:dyDescent="0.3">
      <c r="A261" s="317"/>
      <c r="B261" s="312"/>
      <c r="C261" s="312"/>
      <c r="D261" s="372"/>
      <c r="E261" s="496"/>
      <c r="U261" s="315"/>
      <c r="X261" s="496"/>
      <c r="AN261" s="315"/>
      <c r="AQ261" s="496"/>
      <c r="BG261" s="315"/>
    </row>
    <row r="262" spans="1:59" s="46" customFormat="1" x14ac:dyDescent="0.3">
      <c r="A262" s="317"/>
      <c r="B262" s="312"/>
      <c r="C262" s="312"/>
      <c r="D262" s="372"/>
      <c r="E262" s="496"/>
      <c r="U262" s="315"/>
      <c r="X262" s="496"/>
      <c r="AN262" s="315"/>
      <c r="AQ262" s="496"/>
      <c r="BG262" s="315"/>
    </row>
    <row r="263" spans="1:59" s="46" customFormat="1" x14ac:dyDescent="0.3">
      <c r="A263" s="317"/>
      <c r="B263" s="312"/>
      <c r="C263" s="312"/>
      <c r="D263" s="372"/>
      <c r="E263" s="496"/>
      <c r="U263" s="315"/>
      <c r="X263" s="496"/>
      <c r="AN263" s="315"/>
      <c r="AQ263" s="496"/>
      <c r="BG263" s="315"/>
    </row>
    <row r="264" spans="1:59" s="46" customFormat="1" x14ac:dyDescent="0.3">
      <c r="A264" s="317"/>
      <c r="B264" s="312"/>
      <c r="C264" s="312"/>
      <c r="D264" s="372"/>
      <c r="E264" s="496"/>
      <c r="U264" s="315"/>
      <c r="X264" s="496"/>
      <c r="AN264" s="315"/>
      <c r="AQ264" s="496"/>
      <c r="BG264" s="315"/>
    </row>
    <row r="265" spans="1:59" s="46" customFormat="1" x14ac:dyDescent="0.3">
      <c r="A265" s="317"/>
      <c r="B265" s="312"/>
      <c r="C265" s="312"/>
      <c r="D265" s="372"/>
      <c r="E265" s="496"/>
      <c r="U265" s="315"/>
      <c r="X265" s="496"/>
      <c r="AN265" s="315"/>
      <c r="AQ265" s="496"/>
      <c r="BG265" s="315"/>
    </row>
    <row r="266" spans="1:59" s="46" customFormat="1" x14ac:dyDescent="0.3">
      <c r="A266" s="317"/>
      <c r="B266" s="312"/>
      <c r="C266" s="312"/>
      <c r="D266" s="372"/>
      <c r="E266" s="496"/>
      <c r="U266" s="315"/>
      <c r="X266" s="496"/>
      <c r="AN266" s="315"/>
      <c r="AQ266" s="496"/>
      <c r="BG266" s="315"/>
    </row>
    <row r="267" spans="1:59" s="46" customFormat="1" x14ac:dyDescent="0.3">
      <c r="A267" s="317"/>
      <c r="B267" s="312"/>
      <c r="C267" s="312"/>
      <c r="D267" s="372"/>
      <c r="E267" s="496"/>
      <c r="U267" s="315"/>
      <c r="X267" s="496"/>
      <c r="AN267" s="315"/>
      <c r="AQ267" s="496"/>
      <c r="BG267" s="315"/>
    </row>
    <row r="268" spans="1:59" s="46" customFormat="1" x14ac:dyDescent="0.3">
      <c r="A268" s="317"/>
      <c r="B268" s="312"/>
      <c r="C268" s="312"/>
      <c r="D268" s="372"/>
      <c r="E268" s="496"/>
      <c r="U268" s="315"/>
      <c r="X268" s="496"/>
      <c r="AN268" s="315"/>
      <c r="AQ268" s="496"/>
      <c r="BG268" s="315"/>
    </row>
    <row r="269" spans="1:59" s="46" customFormat="1" x14ac:dyDescent="0.3">
      <c r="A269" s="317"/>
      <c r="B269" s="312"/>
      <c r="C269" s="312"/>
      <c r="D269" s="372"/>
      <c r="E269" s="496"/>
      <c r="U269" s="315"/>
      <c r="X269" s="496"/>
      <c r="AN269" s="315"/>
      <c r="AQ269" s="496"/>
      <c r="BG269" s="315"/>
    </row>
    <row r="270" spans="1:59" s="46" customFormat="1" x14ac:dyDescent="0.3">
      <c r="A270" s="317"/>
      <c r="B270" s="312"/>
      <c r="C270" s="312"/>
      <c r="D270" s="372"/>
      <c r="E270" s="496"/>
      <c r="U270" s="315"/>
      <c r="X270" s="496"/>
      <c r="AN270" s="315"/>
      <c r="AQ270" s="496"/>
      <c r="BG270" s="315"/>
    </row>
    <row r="271" spans="1:59" s="46" customFormat="1" x14ac:dyDescent="0.3">
      <c r="A271" s="317"/>
      <c r="B271" s="312"/>
      <c r="C271" s="312"/>
      <c r="D271" s="372"/>
      <c r="E271" s="496"/>
      <c r="U271" s="315"/>
      <c r="X271" s="496"/>
      <c r="AN271" s="315"/>
      <c r="AQ271" s="496"/>
      <c r="BG271" s="315"/>
    </row>
    <row r="272" spans="1:59" s="46" customFormat="1" x14ac:dyDescent="0.3">
      <c r="A272" s="317"/>
      <c r="B272" s="312"/>
      <c r="C272" s="312"/>
      <c r="D272" s="372"/>
      <c r="E272" s="496"/>
      <c r="U272" s="315"/>
      <c r="X272" s="496"/>
      <c r="AN272" s="315"/>
      <c r="AQ272" s="496"/>
      <c r="BG272" s="315"/>
    </row>
    <row r="273" spans="1:59" s="46" customFormat="1" x14ac:dyDescent="0.3">
      <c r="A273" s="317"/>
      <c r="B273" s="312"/>
      <c r="C273" s="312"/>
      <c r="D273" s="372"/>
      <c r="E273" s="496"/>
      <c r="U273" s="315"/>
      <c r="X273" s="496"/>
      <c r="AN273" s="315"/>
      <c r="AQ273" s="496"/>
      <c r="BG273" s="315"/>
    </row>
  </sheetData>
  <autoFilter ref="A9:W9"/>
  <mergeCells count="4">
    <mergeCell ref="E7:W7"/>
    <mergeCell ref="X7:AP7"/>
    <mergeCell ref="AQ7:BI7"/>
    <mergeCell ref="B3:BH5"/>
  </mergeCells>
  <conditionalFormatting sqref="C32">
    <cfRule type="duplicateValues" dxfId="72" priority="132"/>
  </conditionalFormatting>
  <conditionalFormatting sqref="C32">
    <cfRule type="duplicateValues" dxfId="71" priority="133"/>
  </conditionalFormatting>
  <conditionalFormatting sqref="C36">
    <cfRule type="duplicateValues" dxfId="70" priority="130"/>
  </conditionalFormatting>
  <conditionalFormatting sqref="C36">
    <cfRule type="duplicateValues" dxfId="69" priority="131"/>
  </conditionalFormatting>
  <conditionalFormatting sqref="C43">
    <cfRule type="duplicateValues" dxfId="68" priority="126"/>
  </conditionalFormatting>
  <conditionalFormatting sqref="C43">
    <cfRule type="duplicateValues" dxfId="67" priority="127"/>
  </conditionalFormatting>
  <conditionalFormatting sqref="C47">
    <cfRule type="duplicateValues" dxfId="66" priority="120"/>
  </conditionalFormatting>
  <conditionalFormatting sqref="C47">
    <cfRule type="duplicateValues" dxfId="65" priority="121"/>
  </conditionalFormatting>
  <conditionalFormatting sqref="C54">
    <cfRule type="duplicateValues" dxfId="64" priority="116"/>
  </conditionalFormatting>
  <conditionalFormatting sqref="C54">
    <cfRule type="duplicateValues" dxfId="63" priority="117"/>
  </conditionalFormatting>
  <conditionalFormatting sqref="C57">
    <cfRule type="duplicateValues" dxfId="62" priority="114"/>
  </conditionalFormatting>
  <conditionalFormatting sqref="C57">
    <cfRule type="duplicateValues" dxfId="61" priority="115"/>
  </conditionalFormatting>
  <conditionalFormatting sqref="C58">
    <cfRule type="duplicateValues" dxfId="60" priority="112"/>
  </conditionalFormatting>
  <conditionalFormatting sqref="C74">
    <cfRule type="duplicateValues" dxfId="59" priority="104"/>
  </conditionalFormatting>
  <conditionalFormatting sqref="C74">
    <cfRule type="duplicateValues" dxfId="58" priority="105"/>
  </conditionalFormatting>
  <conditionalFormatting sqref="C77">
    <cfRule type="duplicateValues" dxfId="57" priority="102"/>
  </conditionalFormatting>
  <conditionalFormatting sqref="C77">
    <cfRule type="duplicateValues" dxfId="56" priority="103"/>
  </conditionalFormatting>
  <conditionalFormatting sqref="C78">
    <cfRule type="duplicateValues" dxfId="55" priority="96"/>
  </conditionalFormatting>
  <conditionalFormatting sqref="C78">
    <cfRule type="duplicateValues" dxfId="54" priority="97"/>
  </conditionalFormatting>
  <conditionalFormatting sqref="C90">
    <cfRule type="duplicateValues" dxfId="53" priority="94"/>
  </conditionalFormatting>
  <conditionalFormatting sqref="C90">
    <cfRule type="duplicateValues" dxfId="52" priority="95"/>
  </conditionalFormatting>
  <conditionalFormatting sqref="C42">
    <cfRule type="duplicateValues" dxfId="51" priority="86"/>
  </conditionalFormatting>
  <conditionalFormatting sqref="C42">
    <cfRule type="duplicateValues" dxfId="50" priority="87"/>
  </conditionalFormatting>
  <conditionalFormatting sqref="C60">
    <cfRule type="duplicateValues" dxfId="49" priority="80"/>
  </conditionalFormatting>
  <conditionalFormatting sqref="C60">
    <cfRule type="duplicateValues" dxfId="48" priority="81"/>
  </conditionalFormatting>
  <conditionalFormatting sqref="C71">
    <cfRule type="duplicateValues" dxfId="47" priority="68"/>
  </conditionalFormatting>
  <conditionalFormatting sqref="C71">
    <cfRule type="duplicateValues" dxfId="46" priority="69"/>
  </conditionalFormatting>
  <conditionalFormatting sqref="C16">
    <cfRule type="duplicateValues" dxfId="45" priority="50"/>
  </conditionalFormatting>
  <conditionalFormatting sqref="C21 C15">
    <cfRule type="duplicateValues" dxfId="44" priority="584"/>
  </conditionalFormatting>
  <conditionalFormatting sqref="C25">
    <cfRule type="duplicateValues" dxfId="43" priority="586"/>
  </conditionalFormatting>
  <conditionalFormatting sqref="C28">
    <cfRule type="duplicateValues" dxfId="42" priority="588"/>
  </conditionalFormatting>
  <conditionalFormatting sqref="C46">
    <cfRule type="duplicateValues" dxfId="41" priority="594"/>
  </conditionalFormatting>
  <conditionalFormatting sqref="C50">
    <cfRule type="duplicateValues" dxfId="40" priority="46"/>
  </conditionalFormatting>
  <conditionalFormatting sqref="C50">
    <cfRule type="duplicateValues" dxfId="39" priority="47"/>
  </conditionalFormatting>
  <conditionalFormatting sqref="C49">
    <cfRule type="duplicateValues" dxfId="38" priority="44"/>
  </conditionalFormatting>
  <conditionalFormatting sqref="C49">
    <cfRule type="duplicateValues" dxfId="37" priority="45"/>
  </conditionalFormatting>
  <conditionalFormatting sqref="C53">
    <cfRule type="duplicateValues" dxfId="36" priority="42"/>
  </conditionalFormatting>
  <conditionalFormatting sqref="C53">
    <cfRule type="duplicateValues" dxfId="35" priority="43"/>
  </conditionalFormatting>
  <conditionalFormatting sqref="C65">
    <cfRule type="duplicateValues" dxfId="34" priority="595"/>
  </conditionalFormatting>
  <conditionalFormatting sqref="C67">
    <cfRule type="duplicateValues" dxfId="33" priority="596"/>
  </conditionalFormatting>
  <conditionalFormatting sqref="C68 C65">
    <cfRule type="duplicateValues" dxfId="32" priority="598"/>
  </conditionalFormatting>
  <conditionalFormatting sqref="C70">
    <cfRule type="duplicateValues" dxfId="31" priority="599"/>
  </conditionalFormatting>
  <conditionalFormatting sqref="C75">
    <cfRule type="duplicateValues" dxfId="30" priority="40"/>
  </conditionalFormatting>
  <conditionalFormatting sqref="C75">
    <cfRule type="duplicateValues" dxfId="29" priority="41"/>
  </conditionalFormatting>
  <conditionalFormatting sqref="C83">
    <cfRule type="duplicateValues" dxfId="28" priority="600"/>
  </conditionalFormatting>
  <conditionalFormatting sqref="C86:C87">
    <cfRule type="duplicateValues" dxfId="27" priority="601"/>
  </conditionalFormatting>
  <conditionalFormatting sqref="C89">
    <cfRule type="duplicateValues" dxfId="26" priority="602"/>
  </conditionalFormatting>
  <conditionalFormatting sqref="C92:C93">
    <cfRule type="duplicateValues" dxfId="25" priority="603"/>
  </conditionalFormatting>
  <conditionalFormatting sqref="C95:C96">
    <cfRule type="duplicateValues" dxfId="24" priority="604"/>
  </conditionalFormatting>
  <conditionalFormatting sqref="C31">
    <cfRule type="duplicateValues" dxfId="23" priority="39"/>
  </conditionalFormatting>
  <conditionalFormatting sqref="C17:C20">
    <cfRule type="duplicateValues" dxfId="22" priority="35"/>
  </conditionalFormatting>
  <conditionalFormatting sqref="C122">
    <cfRule type="duplicateValues" dxfId="21" priority="24"/>
  </conditionalFormatting>
  <conditionalFormatting sqref="C103">
    <cfRule type="duplicateValues" dxfId="20" priority="12"/>
  </conditionalFormatting>
  <conditionalFormatting sqref="C103">
    <cfRule type="duplicateValues" dxfId="19" priority="13"/>
  </conditionalFormatting>
  <conditionalFormatting sqref="C112 C105">
    <cfRule type="duplicateValues" dxfId="18" priority="15"/>
  </conditionalFormatting>
  <conditionalFormatting sqref="C117">
    <cfRule type="duplicateValues" dxfId="17" priority="16"/>
  </conditionalFormatting>
  <conditionalFormatting sqref="C106">
    <cfRule type="duplicateValues" dxfId="16" priority="10"/>
  </conditionalFormatting>
  <conditionalFormatting sqref="C119">
    <cfRule type="duplicateValues" dxfId="15" priority="816"/>
  </conditionalFormatting>
  <conditionalFormatting sqref="C114">
    <cfRule type="duplicateValues" dxfId="14" priority="817"/>
  </conditionalFormatting>
  <conditionalFormatting sqref="C107">
    <cfRule type="duplicateValues" dxfId="13" priority="5"/>
  </conditionalFormatting>
  <conditionalFormatting sqref="C101">
    <cfRule type="duplicateValues" dxfId="12" priority="4"/>
  </conditionalFormatting>
  <conditionalFormatting sqref="C108">
    <cfRule type="duplicateValues" dxfId="11" priority="3"/>
  </conditionalFormatting>
  <conditionalFormatting sqref="C110">
    <cfRule type="duplicateValues" dxfId="10" priority="1"/>
  </conditionalFormatting>
  <conditionalFormatting sqref="C23:C24">
    <cfRule type="duplicateValues" dxfId="9" priority="1044"/>
  </conditionalFormatting>
  <conditionalFormatting sqref="C27">
    <cfRule type="duplicateValues" dxfId="8" priority="1048"/>
  </conditionalFormatting>
  <conditionalFormatting sqref="C38:C40">
    <cfRule type="duplicateValues" dxfId="7" priority="1049"/>
  </conditionalFormatting>
  <conditionalFormatting sqref="C38:C39">
    <cfRule type="duplicateValues" dxfId="6" priority="1051"/>
  </conditionalFormatting>
  <conditionalFormatting sqref="C63:C64">
    <cfRule type="duplicateValues" dxfId="5" priority="1053"/>
  </conditionalFormatting>
  <conditionalFormatting sqref="C81:C82">
    <cfRule type="duplicateValues" dxfId="4" priority="1054"/>
  </conditionalFormatting>
  <conditionalFormatting sqref="C99:C100 C102">
    <cfRule type="duplicateValues" dxfId="3" priority="1055"/>
  </conditionalFormatting>
  <conditionalFormatting sqref="C109 C111">
    <cfRule type="duplicateValues" dxfId="2" priority="1057"/>
  </conditionalFormatting>
  <conditionalFormatting sqref="C115:C116">
    <cfRule type="duplicateValues" dxfId="1" priority="1058"/>
  </conditionalFormatting>
  <conditionalFormatting sqref="C120:C121">
    <cfRule type="duplicateValues" dxfId="0" priority="1059"/>
  </conditionalFormatting>
  <dataValidations count="1">
    <dataValidation type="list" allowBlank="1" showInputMessage="1" showErrorMessage="1" sqref="AK15:AL20 R31:S31 R34:S35 AK34:AL35 AK31:AL31 R15:S16 AK23:AL24 AK120:AL121 AK38:AL39 AK63:AL64 AK81:AL82 AK115:AL116 BD15:BE20 BD34:BE35 BD31:BE31 BD23:BE24 BD120:BE121 BD38:BE39 BD63:BE64 BD81:BE82 BD115:BE116 AK99:AL102 BD99:BE102 R99:S102 BD106:BE111 AK106:AL111">
      <formula1>способ</formula1>
    </dataValidation>
  </dataValidations>
  <pageMargins left="0.19685039370078741" right="0.19685039370078741" top="0.59055118110236227" bottom="0.59055118110236227" header="0" footer="0"/>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zoomScale="70" zoomScaleNormal="70" workbookViewId="0">
      <selection activeCell="M21" sqref="M21"/>
    </sheetView>
  </sheetViews>
  <sheetFormatPr defaultColWidth="19.44140625" defaultRowHeight="14.4" x14ac:dyDescent="0.3"/>
  <cols>
    <col min="1" max="1" width="7.44140625" style="6" customWidth="1"/>
    <col min="2" max="2" width="36.5546875" style="6" customWidth="1"/>
    <col min="3" max="17" width="15.77734375" style="6" customWidth="1"/>
    <col min="18" max="16384" width="19.44140625" style="6"/>
  </cols>
  <sheetData>
    <row r="1" spans="1:17" ht="21" x14ac:dyDescent="0.4">
      <c r="C1" s="335"/>
    </row>
    <row r="4" spans="1:17" x14ac:dyDescent="0.3">
      <c r="A4" s="336"/>
      <c r="B4" s="47"/>
      <c r="C4" s="685">
        <v>2018</v>
      </c>
      <c r="D4" s="686"/>
      <c r="E4" s="686"/>
      <c r="F4" s="686"/>
      <c r="G4" s="687"/>
      <c r="H4" s="688">
        <v>2019</v>
      </c>
      <c r="I4" s="688"/>
      <c r="J4" s="688"/>
      <c r="K4" s="688"/>
      <c r="L4" s="688"/>
      <c r="M4" s="684">
        <v>2020</v>
      </c>
      <c r="N4" s="684"/>
      <c r="O4" s="684"/>
      <c r="P4" s="684"/>
      <c r="Q4" s="684"/>
    </row>
    <row r="5" spans="1:17" ht="61.2" customHeight="1" x14ac:dyDescent="0.3">
      <c r="A5" s="303" t="s">
        <v>0</v>
      </c>
      <c r="B5" s="303" t="s">
        <v>37</v>
      </c>
      <c r="C5" s="303" t="s">
        <v>39</v>
      </c>
      <c r="D5" s="303" t="s">
        <v>40</v>
      </c>
      <c r="E5" s="61" t="s">
        <v>158</v>
      </c>
      <c r="F5" s="534" t="s">
        <v>159</v>
      </c>
      <c r="G5" s="534" t="s">
        <v>160</v>
      </c>
      <c r="H5" s="303" t="s">
        <v>39</v>
      </c>
      <c r="I5" s="303" t="s">
        <v>40</v>
      </c>
      <c r="J5" s="61" t="s">
        <v>158</v>
      </c>
      <c r="K5" s="534" t="s">
        <v>159</v>
      </c>
      <c r="L5" s="534" t="s">
        <v>160</v>
      </c>
      <c r="M5" s="303" t="s">
        <v>39</v>
      </c>
      <c r="N5" s="303" t="s">
        <v>40</v>
      </c>
      <c r="O5" s="61" t="s">
        <v>158</v>
      </c>
      <c r="P5" s="534" t="s">
        <v>159</v>
      </c>
      <c r="Q5" s="534" t="s">
        <v>160</v>
      </c>
    </row>
    <row r="6" spans="1:17" s="46" customFormat="1" x14ac:dyDescent="0.3">
      <c r="A6" s="61">
        <v>1</v>
      </c>
      <c r="B6" s="61">
        <v>2</v>
      </c>
      <c r="C6" s="61">
        <v>8</v>
      </c>
      <c r="D6" s="61">
        <v>9</v>
      </c>
      <c r="E6" s="61">
        <v>10</v>
      </c>
      <c r="F6" s="534">
        <v>11</v>
      </c>
      <c r="G6" s="534">
        <v>12</v>
      </c>
      <c r="H6" s="61">
        <v>13</v>
      </c>
      <c r="I6" s="61">
        <v>14</v>
      </c>
      <c r="J6" s="61">
        <v>15</v>
      </c>
      <c r="K6" s="534">
        <v>16</v>
      </c>
      <c r="L6" s="534">
        <v>17</v>
      </c>
      <c r="M6" s="61">
        <v>13</v>
      </c>
      <c r="N6" s="61">
        <v>14</v>
      </c>
      <c r="O6" s="61">
        <v>15</v>
      </c>
      <c r="P6" s="534">
        <v>16</v>
      </c>
      <c r="Q6" s="534">
        <v>17</v>
      </c>
    </row>
    <row r="7" spans="1:17" ht="28.8" customHeight="1" x14ac:dyDescent="0.3">
      <c r="A7" s="610" t="s">
        <v>43</v>
      </c>
      <c r="B7" s="611"/>
      <c r="C7" s="537">
        <f t="shared" ref="C7:E7" si="0">C8+C9</f>
        <v>744</v>
      </c>
      <c r="D7" s="537">
        <f t="shared" si="0"/>
        <v>20659.400000000001</v>
      </c>
      <c r="E7" s="537">
        <f t="shared" si="0"/>
        <v>6362.1770000000006</v>
      </c>
      <c r="F7" s="535">
        <f>E7/C7</f>
        <v>8.5513131720430113</v>
      </c>
      <c r="G7" s="535">
        <f>E7/D7</f>
        <v>0.30795555534042618</v>
      </c>
      <c r="H7" s="537">
        <f t="shared" ref="H7:J7" si="1">H8+H9</f>
        <v>745</v>
      </c>
      <c r="I7" s="537">
        <f t="shared" si="1"/>
        <v>20032</v>
      </c>
      <c r="J7" s="537">
        <f t="shared" si="1"/>
        <v>4779.9070000000002</v>
      </c>
      <c r="K7" s="535">
        <f>J7/H7</f>
        <v>6.4159825503355705</v>
      </c>
      <c r="L7" s="535">
        <f>J7/I7</f>
        <v>0.23861356829073482</v>
      </c>
      <c r="M7" s="537">
        <f t="shared" ref="M7:O7" si="2">M8+M9</f>
        <v>819</v>
      </c>
      <c r="N7" s="537">
        <f t="shared" si="2"/>
        <v>28502.6</v>
      </c>
      <c r="O7" s="537">
        <f t="shared" si="2"/>
        <v>13460.82123</v>
      </c>
      <c r="P7" s="535">
        <f>O7/M7</f>
        <v>16.435679157509156</v>
      </c>
      <c r="Q7" s="535">
        <f>O7/N7</f>
        <v>0.47226643288682435</v>
      </c>
    </row>
    <row r="8" spans="1:17" x14ac:dyDescent="0.3">
      <c r="A8" s="533"/>
      <c r="B8" s="531" t="s">
        <v>157</v>
      </c>
      <c r="C8" s="538">
        <v>730</v>
      </c>
      <c r="D8" s="538">
        <v>15403.1</v>
      </c>
      <c r="E8" s="538">
        <v>4743.47</v>
      </c>
      <c r="F8" s="535">
        <f t="shared" ref="F8:F16" si="3">E8/C8</f>
        <v>6.4979041095890411</v>
      </c>
      <c r="G8" s="535">
        <f t="shared" ref="G8:G16" si="4">E8/D8</f>
        <v>0.3079555414169875</v>
      </c>
      <c r="H8" s="538">
        <v>736</v>
      </c>
      <c r="I8" s="538">
        <v>16484</v>
      </c>
      <c r="J8" s="538">
        <v>3933.306</v>
      </c>
      <c r="K8" s="535">
        <f t="shared" ref="K8:K16" si="5">J8/H8</f>
        <v>5.344165760869565</v>
      </c>
      <c r="L8" s="535">
        <f t="shared" ref="L8:L16" si="6">J8/I8</f>
        <v>0.23861356466876971</v>
      </c>
      <c r="M8" s="538">
        <v>801</v>
      </c>
      <c r="N8" s="538">
        <v>20377.599999999999</v>
      </c>
      <c r="O8" s="538">
        <v>9623.65646279455</v>
      </c>
      <c r="P8" s="535">
        <f t="shared" ref="P8:P16" si="7">O8/M8</f>
        <v>12.014552388008177</v>
      </c>
      <c r="Q8" s="535">
        <f t="shared" ref="Q8:Q16" si="8">O8/N8</f>
        <v>0.47226643288682429</v>
      </c>
    </row>
    <row r="9" spans="1:17" x14ac:dyDescent="0.3">
      <c r="A9" s="533"/>
      <c r="B9" s="531" t="s">
        <v>161</v>
      </c>
      <c r="C9" s="538">
        <v>14</v>
      </c>
      <c r="D9" s="538">
        <v>5256.3</v>
      </c>
      <c r="E9" s="538">
        <v>1618.7070000000001</v>
      </c>
      <c r="F9" s="535">
        <f t="shared" si="3"/>
        <v>115.62192857142858</v>
      </c>
      <c r="G9" s="535">
        <f t="shared" si="4"/>
        <v>0.30795559614177276</v>
      </c>
      <c r="H9" s="538">
        <v>9</v>
      </c>
      <c r="I9" s="538">
        <v>3548</v>
      </c>
      <c r="J9" s="538">
        <v>846.601</v>
      </c>
      <c r="K9" s="535">
        <f t="shared" si="5"/>
        <v>94.066777777777773</v>
      </c>
      <c r="L9" s="535">
        <f t="shared" si="6"/>
        <v>0.23861358511837655</v>
      </c>
      <c r="M9" s="538">
        <v>18</v>
      </c>
      <c r="N9" s="538">
        <v>8125</v>
      </c>
      <c r="O9" s="538">
        <v>3837.1647672054501</v>
      </c>
      <c r="P9" s="535">
        <f t="shared" si="7"/>
        <v>213.17582040030277</v>
      </c>
      <c r="Q9" s="535">
        <f t="shared" si="8"/>
        <v>0.47226643288682463</v>
      </c>
    </row>
    <row r="10" spans="1:17" s="532" customFormat="1" ht="28.8" customHeight="1" x14ac:dyDescent="0.3">
      <c r="A10" s="612" t="s">
        <v>1190</v>
      </c>
      <c r="B10" s="689"/>
      <c r="C10" s="537">
        <f>C12+C13</f>
        <v>730</v>
      </c>
      <c r="D10" s="537">
        <f>D12+D13</f>
        <v>15403.1</v>
      </c>
      <c r="E10" s="537">
        <f>E12+E13</f>
        <v>6550.51</v>
      </c>
      <c r="F10" s="536">
        <f t="shared" si="3"/>
        <v>8.9733013698630142</v>
      </c>
      <c r="G10" s="536">
        <f t="shared" si="4"/>
        <v>0.42527218546915879</v>
      </c>
      <c r="H10" s="537">
        <f>H12+H13</f>
        <v>736</v>
      </c>
      <c r="I10" s="537">
        <f>I12+I13</f>
        <v>16484</v>
      </c>
      <c r="J10" s="537">
        <f>J12+J13</f>
        <v>8273.3230000000003</v>
      </c>
      <c r="K10" s="536">
        <f t="shared" si="5"/>
        <v>11.240927989130435</v>
      </c>
      <c r="L10" s="536">
        <f t="shared" si="6"/>
        <v>0.50190020626061638</v>
      </c>
      <c r="M10" s="537">
        <f>M12+M13</f>
        <v>0</v>
      </c>
      <c r="N10" s="537">
        <f>N12+N13</f>
        <v>0</v>
      </c>
      <c r="O10" s="537">
        <f>O12+O13</f>
        <v>0</v>
      </c>
      <c r="P10" s="536" t="e">
        <f t="shared" si="7"/>
        <v>#DIV/0!</v>
      </c>
      <c r="Q10" s="536" t="e">
        <f t="shared" si="8"/>
        <v>#DIV/0!</v>
      </c>
    </row>
    <row r="11" spans="1:17" s="532" customFormat="1" ht="49.2" customHeight="1" x14ac:dyDescent="0.3">
      <c r="A11" s="692" t="s">
        <v>1191</v>
      </c>
      <c r="B11" s="691" t="s">
        <v>1192</v>
      </c>
      <c r="C11" s="537"/>
      <c r="D11" s="537"/>
      <c r="E11" s="537"/>
      <c r="F11" s="536"/>
      <c r="G11" s="536"/>
      <c r="H11" s="537"/>
      <c r="I11" s="537"/>
      <c r="J11" s="537"/>
      <c r="K11" s="536"/>
      <c r="L11" s="536"/>
      <c r="M11" s="537"/>
      <c r="N11" s="537"/>
      <c r="O11" s="537"/>
      <c r="P11" s="536"/>
      <c r="Q11" s="536"/>
    </row>
    <row r="12" spans="1:17" s="260" customFormat="1" ht="17.399999999999999" customHeight="1" x14ac:dyDescent="0.3">
      <c r="A12" s="362"/>
      <c r="B12" s="362" t="s">
        <v>1195</v>
      </c>
      <c r="C12" s="538">
        <v>730</v>
      </c>
      <c r="D12" s="538">
        <v>15403.1</v>
      </c>
      <c r="E12" s="538">
        <v>6550.51</v>
      </c>
      <c r="F12" s="535">
        <f t="shared" si="3"/>
        <v>8.9733013698630142</v>
      </c>
      <c r="G12" s="535">
        <f t="shared" si="4"/>
        <v>0.42527218546915879</v>
      </c>
      <c r="H12" s="538">
        <v>736</v>
      </c>
      <c r="I12" s="538">
        <v>16484</v>
      </c>
      <c r="J12" s="538">
        <v>8273.3230000000003</v>
      </c>
      <c r="K12" s="535">
        <f t="shared" si="5"/>
        <v>11.240927989130435</v>
      </c>
      <c r="L12" s="535">
        <f t="shared" si="6"/>
        <v>0.50190020626061638</v>
      </c>
      <c r="M12" s="538"/>
      <c r="N12" s="538"/>
      <c r="O12" s="538"/>
      <c r="P12" s="535" t="e">
        <f t="shared" si="7"/>
        <v>#DIV/0!</v>
      </c>
      <c r="Q12" s="535" t="e">
        <f t="shared" si="8"/>
        <v>#DIV/0!</v>
      </c>
    </row>
    <row r="13" spans="1:17" s="46" customFormat="1" ht="34.799999999999997" customHeight="1" x14ac:dyDescent="0.3">
      <c r="A13" s="362"/>
      <c r="B13" s="531" t="s">
        <v>1196</v>
      </c>
      <c r="C13" s="538"/>
      <c r="D13" s="538"/>
      <c r="E13" s="538"/>
      <c r="F13" s="535" t="e">
        <f t="shared" si="3"/>
        <v>#DIV/0!</v>
      </c>
      <c r="G13" s="535" t="e">
        <f t="shared" si="4"/>
        <v>#DIV/0!</v>
      </c>
      <c r="H13" s="538"/>
      <c r="I13" s="538"/>
      <c r="J13" s="538"/>
      <c r="K13" s="535" t="e">
        <f t="shared" si="5"/>
        <v>#DIV/0!</v>
      </c>
      <c r="L13" s="535" t="e">
        <f t="shared" si="6"/>
        <v>#DIV/0!</v>
      </c>
      <c r="M13" s="538"/>
      <c r="N13" s="538"/>
      <c r="O13" s="538"/>
      <c r="P13" s="535" t="e">
        <f t="shared" si="7"/>
        <v>#DIV/0!</v>
      </c>
      <c r="Q13" s="535" t="e">
        <f t="shared" si="8"/>
        <v>#DIV/0!</v>
      </c>
    </row>
    <row r="14" spans="1:17" s="46" customFormat="1" ht="16.5" customHeight="1" x14ac:dyDescent="0.3">
      <c r="A14" s="690"/>
      <c r="B14" s="531" t="s">
        <v>161</v>
      </c>
      <c r="C14" s="538">
        <v>14</v>
      </c>
      <c r="D14" s="538">
        <v>5256.3</v>
      </c>
      <c r="E14" s="538">
        <v>2235.3580000000002</v>
      </c>
      <c r="F14" s="535"/>
      <c r="G14" s="535"/>
      <c r="H14" s="538">
        <v>9</v>
      </c>
      <c r="I14" s="538">
        <v>3548</v>
      </c>
      <c r="J14" s="538">
        <v>1780.742</v>
      </c>
      <c r="K14" s="535"/>
      <c r="L14" s="535"/>
      <c r="M14" s="538"/>
      <c r="N14" s="538"/>
      <c r="O14" s="538"/>
      <c r="P14" s="535"/>
      <c r="Q14" s="535"/>
    </row>
    <row r="15" spans="1:17" s="46" customFormat="1" ht="44.4" customHeight="1" x14ac:dyDescent="0.3">
      <c r="A15" s="690" t="s">
        <v>1193</v>
      </c>
      <c r="B15" s="693" t="s">
        <v>1194</v>
      </c>
      <c r="C15" s="538"/>
      <c r="D15" s="538"/>
      <c r="E15" s="538"/>
      <c r="F15" s="535"/>
      <c r="G15" s="535"/>
      <c r="H15" s="538"/>
      <c r="I15" s="538"/>
      <c r="J15" s="538"/>
      <c r="K15" s="535"/>
      <c r="L15" s="535"/>
      <c r="M15" s="538">
        <v>506</v>
      </c>
      <c r="N15" s="538">
        <v>15758</v>
      </c>
      <c r="O15" s="538">
        <v>8490.67</v>
      </c>
      <c r="P15" s="535">
        <f t="shared" si="7"/>
        <v>16.779980237154149</v>
      </c>
      <c r="Q15" s="535">
        <f t="shared" si="8"/>
        <v>0.53881647417184919</v>
      </c>
    </row>
    <row r="16" spans="1:17" ht="28.8" customHeight="1" x14ac:dyDescent="0.3">
      <c r="A16" s="610" t="s">
        <v>399</v>
      </c>
      <c r="B16" s="611"/>
      <c r="C16" s="535">
        <f>C7+C10</f>
        <v>1474</v>
      </c>
      <c r="D16" s="535">
        <f t="shared" ref="D16:E16" si="9">D7+D10</f>
        <v>36062.5</v>
      </c>
      <c r="E16" s="535">
        <f t="shared" si="9"/>
        <v>12912.687000000002</v>
      </c>
      <c r="F16" s="535">
        <f t="shared" si="3"/>
        <v>8.7603032564450487</v>
      </c>
      <c r="G16" s="535">
        <f t="shared" si="4"/>
        <v>0.35806411091854423</v>
      </c>
      <c r="H16" s="535">
        <f>H7+H10</f>
        <v>1481</v>
      </c>
      <c r="I16" s="535">
        <f t="shared" ref="I16:J16" si="10">I7+I10</f>
        <v>36516</v>
      </c>
      <c r="J16" s="535">
        <f t="shared" si="10"/>
        <v>13053.23</v>
      </c>
      <c r="K16" s="535">
        <f t="shared" si="5"/>
        <v>8.8137947332883186</v>
      </c>
      <c r="L16" s="535">
        <f t="shared" si="6"/>
        <v>0.35746604228283491</v>
      </c>
      <c r="M16" s="535">
        <f>M7+M10</f>
        <v>819</v>
      </c>
      <c r="N16" s="535">
        <f t="shared" ref="N16:O16" si="11">N7+N10</f>
        <v>28502.6</v>
      </c>
      <c r="O16" s="535">
        <f t="shared" si="11"/>
        <v>13460.82123</v>
      </c>
      <c r="P16" s="535">
        <f t="shared" si="7"/>
        <v>16.435679157509156</v>
      </c>
      <c r="Q16" s="535">
        <f t="shared" si="8"/>
        <v>0.47226643288682435</v>
      </c>
    </row>
  </sheetData>
  <mergeCells count="6">
    <mergeCell ref="A16:B16"/>
    <mergeCell ref="C4:G4"/>
    <mergeCell ref="H4:L4"/>
    <mergeCell ref="M4:Q4"/>
    <mergeCell ref="A7:B7"/>
    <mergeCell ref="A10:B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J74"/>
  <sheetViews>
    <sheetView topLeftCell="A4" zoomScale="70" zoomScaleNormal="70" workbookViewId="0">
      <pane xSplit="2" ySplit="9" topLeftCell="D13" activePane="bottomRight" state="frozen"/>
      <selection activeCell="A4" sqref="A4"/>
      <selection pane="topRight" activeCell="C4" sqref="C4"/>
      <selection pane="bottomLeft" activeCell="A13" sqref="A13"/>
      <selection pane="bottomRight" activeCell="S40" sqref="S40"/>
    </sheetView>
  </sheetViews>
  <sheetFormatPr defaultColWidth="19.44140625" defaultRowHeight="14.4" x14ac:dyDescent="0.3"/>
  <cols>
    <col min="1" max="1" width="7.44140625" style="6" customWidth="1"/>
    <col min="2" max="2" width="32.44140625" style="6" customWidth="1"/>
    <col min="3" max="75" width="19.44140625" style="6"/>
    <col min="76" max="82" width="19.44140625" style="6" customWidth="1"/>
    <col min="83" max="83" width="19.44140625" style="46" customWidth="1"/>
    <col min="84" max="95" width="19.44140625" style="6" customWidth="1"/>
    <col min="96" max="108" width="19.44140625" style="6"/>
    <col min="109" max="109" width="19.44140625" style="46"/>
    <col min="110" max="111" width="19.44140625" style="6"/>
    <col min="112" max="113" width="19.44140625" style="46"/>
    <col min="114" max="115" width="19.44140625" style="6"/>
    <col min="116" max="116" width="19.44140625" style="46"/>
    <col min="117" max="118" width="19.44140625" style="6"/>
    <col min="119" max="120" width="19.44140625" style="46"/>
    <col min="121" max="134" width="19.44140625" style="6"/>
    <col min="135" max="135" width="19.44140625" style="46"/>
    <col min="136" max="16384" width="19.44140625" style="6"/>
  </cols>
  <sheetData>
    <row r="1" spans="1:166" x14ac:dyDescent="0.3">
      <c r="G1" s="3" t="s">
        <v>31</v>
      </c>
      <c r="H1" s="3"/>
      <c r="I1" s="3"/>
      <c r="J1" s="3"/>
      <c r="R1" s="3"/>
      <c r="S1" s="3"/>
      <c r="T1" s="3"/>
      <c r="X1" s="3"/>
      <c r="Y1" s="3"/>
      <c r="Z1" s="3"/>
    </row>
    <row r="2" spans="1:166" x14ac:dyDescent="0.3">
      <c r="G2" s="3" t="s">
        <v>32</v>
      </c>
      <c r="H2" s="3"/>
      <c r="I2" s="3"/>
      <c r="J2" s="3"/>
      <c r="R2" s="3"/>
      <c r="S2" s="3"/>
      <c r="T2" s="3"/>
      <c r="X2" s="3"/>
      <c r="Y2" s="3"/>
      <c r="Z2" s="3"/>
    </row>
    <row r="3" spans="1:166" x14ac:dyDescent="0.3">
      <c r="G3" s="3" t="s">
        <v>33</v>
      </c>
      <c r="H3" s="3"/>
      <c r="I3" s="3"/>
      <c r="J3" s="3"/>
      <c r="R3" s="3"/>
      <c r="S3" s="3"/>
      <c r="T3" s="3"/>
      <c r="X3" s="3"/>
      <c r="Y3" s="3"/>
      <c r="Z3" s="3"/>
    </row>
    <row r="4" spans="1:166" ht="33.75" customHeight="1" x14ac:dyDescent="0.3">
      <c r="G4" s="3" t="s">
        <v>34</v>
      </c>
      <c r="H4" s="3"/>
      <c r="I4" s="3"/>
      <c r="J4" s="3"/>
      <c r="R4" s="3"/>
      <c r="S4" s="3"/>
      <c r="T4" s="3"/>
      <c r="X4" s="3"/>
      <c r="Y4" s="3"/>
      <c r="Z4" s="3"/>
      <c r="FD4" s="641" t="s">
        <v>87</v>
      </c>
      <c r="FE4" s="642"/>
      <c r="FF4" s="642"/>
      <c r="FG4" s="642"/>
      <c r="FH4" s="643"/>
    </row>
    <row r="5" spans="1:166" x14ac:dyDescent="0.3">
      <c r="G5" s="3" t="s">
        <v>35</v>
      </c>
      <c r="H5" s="3"/>
      <c r="I5" s="3"/>
      <c r="J5" s="3"/>
      <c r="R5" s="3"/>
      <c r="S5" s="3"/>
      <c r="T5" s="3"/>
      <c r="X5" s="3"/>
      <c r="Y5" s="3"/>
      <c r="Z5" s="3"/>
      <c r="FD5" s="310">
        <v>2015</v>
      </c>
      <c r="FE5" s="310">
        <v>2016</v>
      </c>
      <c r="FF5" s="310">
        <v>2017</v>
      </c>
      <c r="FG5" s="310">
        <v>2018</v>
      </c>
      <c r="FH5" s="310">
        <v>2019</v>
      </c>
    </row>
    <row r="6" spans="1:166" ht="15" x14ac:dyDescent="0.25">
      <c r="G6" s="3"/>
      <c r="H6" s="3"/>
      <c r="I6" s="3"/>
      <c r="J6" s="3"/>
      <c r="R6" s="3"/>
      <c r="S6" s="3"/>
      <c r="T6" s="3"/>
      <c r="X6" s="3"/>
      <c r="Y6" s="3"/>
      <c r="Z6" s="3"/>
      <c r="FD6" s="311">
        <v>1.155</v>
      </c>
      <c r="FE6" s="311">
        <v>1.071</v>
      </c>
      <c r="FF6" s="311">
        <v>1.0369999999999999</v>
      </c>
      <c r="FG6" s="311">
        <v>1.0269999999999999</v>
      </c>
      <c r="FH6" s="311">
        <v>1.046</v>
      </c>
    </row>
    <row r="7" spans="1:166" x14ac:dyDescent="0.3">
      <c r="EB7" s="14"/>
      <c r="EC7" s="14"/>
      <c r="ED7" s="14"/>
      <c r="FA7" s="15" t="s">
        <v>36</v>
      </c>
      <c r="FB7" s="15"/>
      <c r="FC7" s="15"/>
    </row>
    <row r="8" spans="1:166" x14ac:dyDescent="0.3">
      <c r="A8" s="47"/>
      <c r="B8" s="47"/>
      <c r="C8" s="625" t="s">
        <v>96</v>
      </c>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7"/>
      <c r="AD8" s="628"/>
      <c r="AE8" s="635" t="s">
        <v>121</v>
      </c>
      <c r="AF8" s="635"/>
      <c r="AG8" s="635"/>
      <c r="AH8" s="635"/>
      <c r="AI8" s="635"/>
      <c r="AJ8" s="635"/>
      <c r="AK8" s="635"/>
      <c r="AL8" s="635"/>
      <c r="AM8" s="635"/>
      <c r="AN8" s="635"/>
      <c r="AO8" s="635"/>
      <c r="AP8" s="635"/>
      <c r="AQ8" s="635"/>
      <c r="AR8" s="635"/>
      <c r="AS8" s="635"/>
      <c r="AT8" s="635"/>
      <c r="AU8" s="635"/>
      <c r="AV8" s="635"/>
      <c r="AW8" s="635"/>
      <c r="AX8" s="635"/>
      <c r="AY8" s="635"/>
      <c r="AZ8" s="635"/>
      <c r="BA8" s="635"/>
      <c r="BB8" s="306"/>
      <c r="BC8" s="649" t="s">
        <v>97</v>
      </c>
      <c r="BD8" s="650"/>
      <c r="BE8" s="650"/>
      <c r="BF8" s="650"/>
      <c r="BG8" s="650"/>
      <c r="BH8" s="650"/>
      <c r="BI8" s="650"/>
      <c r="BJ8" s="650"/>
      <c r="BK8" s="650"/>
      <c r="BL8" s="650"/>
      <c r="BM8" s="650"/>
      <c r="BN8" s="650"/>
      <c r="BO8" s="650"/>
      <c r="BP8" s="650"/>
      <c r="BQ8" s="650"/>
      <c r="BR8" s="650"/>
      <c r="BS8" s="650"/>
      <c r="BT8" s="650"/>
      <c r="BU8" s="650"/>
      <c r="BV8" s="650"/>
      <c r="BW8" s="650"/>
      <c r="BX8" s="650"/>
      <c r="BY8" s="650"/>
      <c r="BZ8" s="650"/>
      <c r="CA8" s="650"/>
      <c r="CB8" s="650"/>
      <c r="CC8" s="627"/>
      <c r="CD8" s="628"/>
      <c r="CE8" s="636" t="s">
        <v>122</v>
      </c>
      <c r="CF8" s="636"/>
      <c r="CG8" s="636"/>
      <c r="CH8" s="636"/>
      <c r="CI8" s="636"/>
      <c r="CJ8" s="636"/>
      <c r="CK8" s="636"/>
      <c r="CL8" s="636"/>
      <c r="CM8" s="636"/>
      <c r="CN8" s="636"/>
      <c r="CO8" s="636"/>
      <c r="CP8" s="636"/>
      <c r="CQ8" s="636"/>
      <c r="CR8" s="636"/>
      <c r="CS8" s="636"/>
      <c r="CT8" s="636"/>
      <c r="CU8" s="636"/>
      <c r="CV8" s="636"/>
      <c r="CW8" s="636"/>
      <c r="CX8" s="636"/>
      <c r="CY8" s="636"/>
      <c r="CZ8" s="636"/>
      <c r="DA8" s="636"/>
      <c r="DB8" s="307"/>
      <c r="DC8" s="652" t="s">
        <v>98</v>
      </c>
      <c r="DD8" s="653"/>
      <c r="DE8" s="653"/>
      <c r="DF8" s="653"/>
      <c r="DG8" s="653"/>
      <c r="DH8" s="653"/>
      <c r="DI8" s="653"/>
      <c r="DJ8" s="653"/>
      <c r="DK8" s="653"/>
      <c r="DL8" s="653"/>
      <c r="DM8" s="653"/>
      <c r="DN8" s="653"/>
      <c r="DO8" s="653"/>
      <c r="DP8" s="653"/>
      <c r="DQ8" s="653"/>
      <c r="DR8" s="653"/>
      <c r="DS8" s="653"/>
      <c r="DT8" s="653"/>
      <c r="DU8" s="653"/>
      <c r="DV8" s="653"/>
      <c r="DW8" s="653"/>
      <c r="DX8" s="653"/>
      <c r="DY8" s="653"/>
      <c r="DZ8" s="653"/>
      <c r="EA8" s="653"/>
      <c r="EB8" s="653"/>
      <c r="EC8" s="627"/>
      <c r="ED8" s="628"/>
      <c r="EE8" s="654" t="s">
        <v>123</v>
      </c>
      <c r="EF8" s="655"/>
      <c r="EG8" s="655"/>
      <c r="EH8" s="655"/>
      <c r="EI8" s="655"/>
      <c r="EJ8" s="655"/>
      <c r="EK8" s="655"/>
      <c r="EL8" s="655"/>
      <c r="EM8" s="655"/>
      <c r="EN8" s="655"/>
      <c r="EO8" s="655"/>
      <c r="EP8" s="655"/>
      <c r="EQ8" s="655"/>
      <c r="ER8" s="655"/>
      <c r="ES8" s="655"/>
      <c r="ET8" s="655"/>
      <c r="EU8" s="655"/>
      <c r="EV8" s="655"/>
      <c r="EW8" s="655"/>
      <c r="EX8" s="655"/>
      <c r="EY8" s="655"/>
      <c r="EZ8" s="655"/>
      <c r="FA8" s="655"/>
      <c r="FB8" s="628"/>
      <c r="FC8" s="257"/>
      <c r="FD8" s="47"/>
      <c r="FE8" s="47"/>
      <c r="FF8" s="47"/>
      <c r="FG8" s="47"/>
      <c r="FH8" s="47"/>
      <c r="FI8" s="47"/>
      <c r="FJ8" s="47"/>
    </row>
    <row r="9" spans="1:166" ht="15.75" customHeight="1" x14ac:dyDescent="0.3">
      <c r="A9" s="48" t="s">
        <v>0</v>
      </c>
      <c r="B9" s="48" t="s">
        <v>37</v>
      </c>
      <c r="C9" s="618" t="s">
        <v>38</v>
      </c>
      <c r="D9" s="619"/>
      <c r="E9" s="619"/>
      <c r="F9" s="619"/>
      <c r="G9" s="619"/>
      <c r="H9" s="619"/>
      <c r="I9" s="615"/>
      <c r="J9" s="622" t="s">
        <v>39</v>
      </c>
      <c r="K9" s="623"/>
      <c r="L9" s="623"/>
      <c r="M9" s="623"/>
      <c r="N9" s="623"/>
      <c r="O9" s="623"/>
      <c r="P9" s="624"/>
      <c r="Q9" s="618" t="s">
        <v>40</v>
      </c>
      <c r="R9" s="619"/>
      <c r="S9" s="619"/>
      <c r="T9" s="619"/>
      <c r="U9" s="619"/>
      <c r="V9" s="619"/>
      <c r="W9" s="615"/>
      <c r="X9" s="618" t="s">
        <v>101</v>
      </c>
      <c r="Y9" s="619"/>
      <c r="Z9" s="619"/>
      <c r="AA9" s="619"/>
      <c r="AB9" s="619"/>
      <c r="AC9" s="619"/>
      <c r="AD9" s="615"/>
      <c r="AE9" s="616" t="s">
        <v>72</v>
      </c>
      <c r="AF9" s="617"/>
      <c r="AG9" s="617"/>
      <c r="AH9" s="615"/>
      <c r="AI9" s="616" t="s">
        <v>73</v>
      </c>
      <c r="AJ9" s="617"/>
      <c r="AK9" s="617"/>
      <c r="AL9" s="615"/>
      <c r="AM9" s="616" t="s">
        <v>74</v>
      </c>
      <c r="AN9" s="617"/>
      <c r="AO9" s="617"/>
      <c r="AP9" s="615"/>
      <c r="AQ9" s="616" t="s">
        <v>75</v>
      </c>
      <c r="AR9" s="617"/>
      <c r="AS9" s="617"/>
      <c r="AT9" s="615"/>
      <c r="AU9" s="616" t="s">
        <v>109</v>
      </c>
      <c r="AV9" s="617"/>
      <c r="AW9" s="617"/>
      <c r="AX9" s="615"/>
      <c r="AY9" s="616" t="s">
        <v>110</v>
      </c>
      <c r="AZ9" s="617"/>
      <c r="BA9" s="637"/>
      <c r="BB9" s="304"/>
      <c r="BC9" s="618" t="s">
        <v>38</v>
      </c>
      <c r="BD9" s="619"/>
      <c r="BE9" s="619"/>
      <c r="BF9" s="619"/>
      <c r="BG9" s="619"/>
      <c r="BH9" s="619"/>
      <c r="BI9" s="615"/>
      <c r="BJ9" s="618" t="s">
        <v>39</v>
      </c>
      <c r="BK9" s="619"/>
      <c r="BL9" s="619"/>
      <c r="BM9" s="619"/>
      <c r="BN9" s="619"/>
      <c r="BO9" s="619"/>
      <c r="BP9" s="615"/>
      <c r="BQ9" s="618" t="s">
        <v>40</v>
      </c>
      <c r="BR9" s="619"/>
      <c r="BS9" s="619"/>
      <c r="BT9" s="619"/>
      <c r="BU9" s="619"/>
      <c r="BV9" s="619"/>
      <c r="BW9" s="615"/>
      <c r="BX9" s="618" t="s">
        <v>111</v>
      </c>
      <c r="BY9" s="619"/>
      <c r="BZ9" s="619"/>
      <c r="CA9" s="619"/>
      <c r="CB9" s="619"/>
      <c r="CC9" s="619"/>
      <c r="CD9" s="615"/>
      <c r="CE9" s="620" t="s">
        <v>72</v>
      </c>
      <c r="CF9" s="621"/>
      <c r="CG9" s="621"/>
      <c r="CH9" s="615"/>
      <c r="CI9" s="620" t="s">
        <v>73</v>
      </c>
      <c r="CJ9" s="621"/>
      <c r="CK9" s="621"/>
      <c r="CL9" s="615"/>
      <c r="CM9" s="620" t="s">
        <v>74</v>
      </c>
      <c r="CN9" s="621"/>
      <c r="CO9" s="621"/>
      <c r="CP9" s="615"/>
      <c r="CQ9" s="620" t="s">
        <v>75</v>
      </c>
      <c r="CR9" s="621"/>
      <c r="CS9" s="621"/>
      <c r="CT9" s="615"/>
      <c r="CU9" s="620" t="s">
        <v>109</v>
      </c>
      <c r="CV9" s="621"/>
      <c r="CW9" s="621"/>
      <c r="CX9" s="615"/>
      <c r="CY9" s="620" t="s">
        <v>112</v>
      </c>
      <c r="CZ9" s="621"/>
      <c r="DA9" s="621"/>
      <c r="DB9" s="615"/>
      <c r="DC9" s="618" t="s">
        <v>38</v>
      </c>
      <c r="DD9" s="619"/>
      <c r="DE9" s="619"/>
      <c r="DF9" s="619"/>
      <c r="DG9" s="619"/>
      <c r="DH9" s="619"/>
      <c r="DI9" s="615"/>
      <c r="DJ9" s="618" t="s">
        <v>39</v>
      </c>
      <c r="DK9" s="619"/>
      <c r="DL9" s="619"/>
      <c r="DM9" s="619"/>
      <c r="DN9" s="619"/>
      <c r="DO9" s="619"/>
      <c r="DP9" s="615"/>
      <c r="DQ9" s="618" t="s">
        <v>40</v>
      </c>
      <c r="DR9" s="619"/>
      <c r="DS9" s="619"/>
      <c r="DT9" s="619"/>
      <c r="DU9" s="619"/>
      <c r="DV9" s="619"/>
      <c r="DW9" s="615"/>
      <c r="DX9" s="618" t="s">
        <v>114</v>
      </c>
      <c r="DY9" s="619"/>
      <c r="DZ9" s="619"/>
      <c r="EA9" s="619"/>
      <c r="EB9" s="619"/>
      <c r="EC9" s="619"/>
      <c r="ED9" s="615"/>
      <c r="EE9" s="638" t="s">
        <v>72</v>
      </c>
      <c r="EF9" s="639"/>
      <c r="EG9" s="639"/>
      <c r="EH9" s="615"/>
      <c r="EI9" s="638" t="s">
        <v>73</v>
      </c>
      <c r="EJ9" s="639"/>
      <c r="EK9" s="639"/>
      <c r="EL9" s="615"/>
      <c r="EM9" s="638" t="s">
        <v>74</v>
      </c>
      <c r="EN9" s="639"/>
      <c r="EO9" s="640"/>
      <c r="EP9" s="305"/>
      <c r="EQ9" s="638" t="s">
        <v>75</v>
      </c>
      <c r="ER9" s="639"/>
      <c r="ES9" s="639"/>
      <c r="ET9" s="615"/>
      <c r="EU9" s="638" t="s">
        <v>109</v>
      </c>
      <c r="EV9" s="639"/>
      <c r="EW9" s="639"/>
      <c r="EX9" s="615"/>
      <c r="EY9" s="638" t="s">
        <v>113</v>
      </c>
      <c r="EZ9" s="639"/>
      <c r="FA9" s="639"/>
      <c r="FB9" s="615"/>
      <c r="FC9" s="644" t="s">
        <v>78</v>
      </c>
      <c r="FD9" s="645"/>
      <c r="FE9" s="645"/>
      <c r="FF9" s="615"/>
      <c r="FG9" s="633" t="s">
        <v>95</v>
      </c>
      <c r="FH9" s="634"/>
      <c r="FI9" s="634"/>
      <c r="FJ9" s="634"/>
    </row>
    <row r="10" spans="1:166" x14ac:dyDescent="0.3">
      <c r="A10" s="48"/>
      <c r="B10" s="48"/>
      <c r="C10" s="48" t="s">
        <v>63</v>
      </c>
      <c r="D10" s="48" t="s">
        <v>65</v>
      </c>
      <c r="E10" s="48" t="s">
        <v>99</v>
      </c>
      <c r="F10" s="48" t="s">
        <v>64</v>
      </c>
      <c r="G10" s="48" t="s">
        <v>66</v>
      </c>
      <c r="H10" s="48" t="s">
        <v>100</v>
      </c>
      <c r="I10" s="303" t="s">
        <v>136</v>
      </c>
      <c r="J10" s="48" t="s">
        <v>63</v>
      </c>
      <c r="K10" s="48" t="s">
        <v>65</v>
      </c>
      <c r="L10" s="48" t="s">
        <v>99</v>
      </c>
      <c r="M10" s="48" t="s">
        <v>64</v>
      </c>
      <c r="N10" s="48" t="s">
        <v>66</v>
      </c>
      <c r="O10" s="48" t="s">
        <v>100</v>
      </c>
      <c r="P10" s="303" t="s">
        <v>136</v>
      </c>
      <c r="Q10" s="48" t="s">
        <v>63</v>
      </c>
      <c r="R10" s="48" t="s">
        <v>65</v>
      </c>
      <c r="S10" s="48" t="s">
        <v>99</v>
      </c>
      <c r="T10" s="48" t="s">
        <v>64</v>
      </c>
      <c r="U10" s="48" t="s">
        <v>66</v>
      </c>
      <c r="V10" s="48" t="s">
        <v>100</v>
      </c>
      <c r="W10" s="303" t="s">
        <v>136</v>
      </c>
      <c r="X10" s="48" t="s">
        <v>63</v>
      </c>
      <c r="Y10" s="48" t="s">
        <v>65</v>
      </c>
      <c r="Z10" s="48" t="s">
        <v>99</v>
      </c>
      <c r="AA10" s="48" t="s">
        <v>64</v>
      </c>
      <c r="AB10" s="48" t="s">
        <v>66</v>
      </c>
      <c r="AC10" s="48" t="s">
        <v>100</v>
      </c>
      <c r="AD10" s="303" t="s">
        <v>137</v>
      </c>
      <c r="AE10" s="267" t="s">
        <v>63</v>
      </c>
      <c r="AF10" s="267" t="s">
        <v>70</v>
      </c>
      <c r="AG10" s="267" t="s">
        <v>71</v>
      </c>
      <c r="AH10" s="267" t="s">
        <v>137</v>
      </c>
      <c r="AI10" s="267" t="s">
        <v>63</v>
      </c>
      <c r="AJ10" s="267" t="s">
        <v>70</v>
      </c>
      <c r="AK10" s="267" t="s">
        <v>71</v>
      </c>
      <c r="AL10" s="267" t="s">
        <v>137</v>
      </c>
      <c r="AM10" s="267" t="s">
        <v>63</v>
      </c>
      <c r="AN10" s="267" t="s">
        <v>70</v>
      </c>
      <c r="AO10" s="267" t="s">
        <v>71</v>
      </c>
      <c r="AP10" s="267" t="s">
        <v>137</v>
      </c>
      <c r="AQ10" s="267" t="s">
        <v>63</v>
      </c>
      <c r="AR10" s="267" t="s">
        <v>70</v>
      </c>
      <c r="AS10" s="267" t="s">
        <v>71</v>
      </c>
      <c r="AT10" s="267" t="s">
        <v>137</v>
      </c>
      <c r="AU10" s="267" t="s">
        <v>63</v>
      </c>
      <c r="AV10" s="267" t="s">
        <v>70</v>
      </c>
      <c r="AW10" s="267" t="s">
        <v>71</v>
      </c>
      <c r="AX10" s="267" t="s">
        <v>137</v>
      </c>
      <c r="AY10" s="267" t="s">
        <v>63</v>
      </c>
      <c r="AZ10" s="267" t="s">
        <v>70</v>
      </c>
      <c r="BA10" s="267" t="s">
        <v>71</v>
      </c>
      <c r="BB10" s="267" t="s">
        <v>137</v>
      </c>
      <c r="BC10" s="48" t="s">
        <v>63</v>
      </c>
      <c r="BD10" s="48" t="s">
        <v>65</v>
      </c>
      <c r="BE10" s="48" t="s">
        <v>99</v>
      </c>
      <c r="BF10" s="48" t="s">
        <v>64</v>
      </c>
      <c r="BG10" s="48" t="s">
        <v>66</v>
      </c>
      <c r="BH10" s="48" t="s">
        <v>100</v>
      </c>
      <c r="BI10" s="303" t="s">
        <v>136</v>
      </c>
      <c r="BJ10" s="48" t="s">
        <v>63</v>
      </c>
      <c r="BK10" s="48" t="s">
        <v>65</v>
      </c>
      <c r="BL10" s="48" t="s">
        <v>99</v>
      </c>
      <c r="BM10" s="48" t="s">
        <v>64</v>
      </c>
      <c r="BN10" s="48" t="s">
        <v>66</v>
      </c>
      <c r="BO10" s="48" t="s">
        <v>100</v>
      </c>
      <c r="BP10" s="303" t="s">
        <v>136</v>
      </c>
      <c r="BQ10" s="48" t="s">
        <v>63</v>
      </c>
      <c r="BR10" s="48" t="s">
        <v>65</v>
      </c>
      <c r="BS10" s="48" t="s">
        <v>99</v>
      </c>
      <c r="BT10" s="48" t="s">
        <v>64</v>
      </c>
      <c r="BU10" s="48" t="s">
        <v>66</v>
      </c>
      <c r="BV10" s="48" t="s">
        <v>100</v>
      </c>
      <c r="BW10" s="303" t="s">
        <v>136</v>
      </c>
      <c r="BX10" s="48" t="s">
        <v>63</v>
      </c>
      <c r="BY10" s="48" t="s">
        <v>65</v>
      </c>
      <c r="BZ10" s="48" t="s">
        <v>99</v>
      </c>
      <c r="CA10" s="48" t="s">
        <v>64</v>
      </c>
      <c r="CB10" s="48" t="s">
        <v>66</v>
      </c>
      <c r="CC10" s="48" t="s">
        <v>100</v>
      </c>
      <c r="CD10" s="303" t="s">
        <v>137</v>
      </c>
      <c r="CE10" s="233" t="s">
        <v>63</v>
      </c>
      <c r="CF10" s="233" t="s">
        <v>70</v>
      </c>
      <c r="CG10" s="233" t="s">
        <v>71</v>
      </c>
      <c r="CH10" s="233" t="s">
        <v>137</v>
      </c>
      <c r="CI10" s="233" t="s">
        <v>63</v>
      </c>
      <c r="CJ10" s="233" t="s">
        <v>70</v>
      </c>
      <c r="CK10" s="233" t="s">
        <v>71</v>
      </c>
      <c r="CL10" s="233" t="s">
        <v>137</v>
      </c>
      <c r="CM10" s="233" t="s">
        <v>63</v>
      </c>
      <c r="CN10" s="233" t="s">
        <v>70</v>
      </c>
      <c r="CO10" s="233" t="s">
        <v>71</v>
      </c>
      <c r="CP10" s="233" t="s">
        <v>137</v>
      </c>
      <c r="CQ10" s="233" t="s">
        <v>63</v>
      </c>
      <c r="CR10" s="233" t="s">
        <v>70</v>
      </c>
      <c r="CS10" s="233" t="s">
        <v>71</v>
      </c>
      <c r="CT10" s="233" t="s">
        <v>137</v>
      </c>
      <c r="CU10" s="233" t="s">
        <v>63</v>
      </c>
      <c r="CV10" s="233" t="s">
        <v>70</v>
      </c>
      <c r="CW10" s="233" t="s">
        <v>71</v>
      </c>
      <c r="CX10" s="233" t="s">
        <v>137</v>
      </c>
      <c r="CY10" s="233" t="s">
        <v>63</v>
      </c>
      <c r="CZ10" s="233" t="s">
        <v>70</v>
      </c>
      <c r="DA10" s="233" t="s">
        <v>71</v>
      </c>
      <c r="DB10" s="233" t="s">
        <v>137</v>
      </c>
      <c r="DC10" s="48" t="s">
        <v>63</v>
      </c>
      <c r="DD10" s="48" t="s">
        <v>65</v>
      </c>
      <c r="DE10" s="61" t="s">
        <v>99</v>
      </c>
      <c r="DF10" s="48" t="s">
        <v>64</v>
      </c>
      <c r="DG10" s="48" t="s">
        <v>66</v>
      </c>
      <c r="DH10" s="61" t="s">
        <v>100</v>
      </c>
      <c r="DI10" s="61" t="s">
        <v>136</v>
      </c>
      <c r="DJ10" s="48" t="s">
        <v>63</v>
      </c>
      <c r="DK10" s="48" t="s">
        <v>65</v>
      </c>
      <c r="DL10" s="61" t="s">
        <v>99</v>
      </c>
      <c r="DM10" s="48" t="s">
        <v>64</v>
      </c>
      <c r="DN10" s="48" t="s">
        <v>66</v>
      </c>
      <c r="DO10" s="61" t="s">
        <v>100</v>
      </c>
      <c r="DP10" s="61" t="s">
        <v>136</v>
      </c>
      <c r="DQ10" s="48" t="s">
        <v>63</v>
      </c>
      <c r="DR10" s="48" t="s">
        <v>65</v>
      </c>
      <c r="DS10" s="61" t="s">
        <v>99</v>
      </c>
      <c r="DT10" s="48" t="s">
        <v>64</v>
      </c>
      <c r="DU10" s="48" t="s">
        <v>66</v>
      </c>
      <c r="DV10" s="61" t="s">
        <v>100</v>
      </c>
      <c r="DW10" s="61" t="s">
        <v>136</v>
      </c>
      <c r="DX10" s="48" t="s">
        <v>63</v>
      </c>
      <c r="DY10" s="48" t="s">
        <v>65</v>
      </c>
      <c r="DZ10" s="61" t="s">
        <v>99</v>
      </c>
      <c r="EA10" s="48" t="s">
        <v>64</v>
      </c>
      <c r="EB10" s="48" t="s">
        <v>66</v>
      </c>
      <c r="EC10" s="61" t="s">
        <v>99</v>
      </c>
      <c r="ED10" s="61" t="s">
        <v>137</v>
      </c>
      <c r="EE10" s="231" t="s">
        <v>63</v>
      </c>
      <c r="EF10" s="231" t="s">
        <v>70</v>
      </c>
      <c r="EG10" s="231" t="s">
        <v>71</v>
      </c>
      <c r="EH10" s="231" t="s">
        <v>137</v>
      </c>
      <c r="EI10" s="231" t="s">
        <v>63</v>
      </c>
      <c r="EJ10" s="231" t="s">
        <v>70</v>
      </c>
      <c r="EK10" s="231" t="s">
        <v>71</v>
      </c>
      <c r="EL10" s="231" t="s">
        <v>137</v>
      </c>
      <c r="EM10" s="231" t="s">
        <v>63</v>
      </c>
      <c r="EN10" s="231" t="s">
        <v>70</v>
      </c>
      <c r="EO10" s="231" t="s">
        <v>71</v>
      </c>
      <c r="EP10" s="231" t="s">
        <v>137</v>
      </c>
      <c r="EQ10" s="231" t="s">
        <v>63</v>
      </c>
      <c r="ER10" s="231" t="s">
        <v>70</v>
      </c>
      <c r="ES10" s="231" t="s">
        <v>71</v>
      </c>
      <c r="ET10" s="231" t="s">
        <v>137</v>
      </c>
      <c r="EU10" s="231" t="s">
        <v>63</v>
      </c>
      <c r="EV10" s="231" t="s">
        <v>70</v>
      </c>
      <c r="EW10" s="231" t="s">
        <v>71</v>
      </c>
      <c r="EX10" s="231" t="s">
        <v>137</v>
      </c>
      <c r="EY10" s="231" t="s">
        <v>63</v>
      </c>
      <c r="EZ10" s="231" t="s">
        <v>70</v>
      </c>
      <c r="FA10" s="231" t="s">
        <v>71</v>
      </c>
      <c r="FB10" s="231" t="s">
        <v>137</v>
      </c>
      <c r="FC10" s="48" t="s">
        <v>83</v>
      </c>
      <c r="FD10" s="48" t="s">
        <v>70</v>
      </c>
      <c r="FE10" s="48" t="s">
        <v>71</v>
      </c>
      <c r="FF10" s="303" t="s">
        <v>137</v>
      </c>
      <c r="FG10" s="48" t="s">
        <v>83</v>
      </c>
      <c r="FH10" s="48" t="s">
        <v>70</v>
      </c>
      <c r="FI10" s="303" t="s">
        <v>71</v>
      </c>
      <c r="FJ10" s="303" t="s">
        <v>137</v>
      </c>
    </row>
    <row r="11" spans="1:166" s="46" customFormat="1" x14ac:dyDescent="0.3">
      <c r="A11" s="61">
        <v>1</v>
      </c>
      <c r="B11" s="61">
        <v>2</v>
      </c>
      <c r="C11" s="61">
        <v>3</v>
      </c>
      <c r="D11" s="61">
        <v>4</v>
      </c>
      <c r="E11" s="61" t="s">
        <v>102</v>
      </c>
      <c r="F11" s="61">
        <v>5</v>
      </c>
      <c r="G11" s="61">
        <v>6</v>
      </c>
      <c r="H11" s="61" t="s">
        <v>103</v>
      </c>
      <c r="I11" s="61"/>
      <c r="J11" s="61">
        <v>7</v>
      </c>
      <c r="K11" s="61">
        <v>8</v>
      </c>
      <c r="L11" s="61" t="s">
        <v>104</v>
      </c>
      <c r="M11" s="61">
        <v>9</v>
      </c>
      <c r="N11" s="61">
        <v>10</v>
      </c>
      <c r="O11" s="61" t="s">
        <v>105</v>
      </c>
      <c r="P11" s="61"/>
      <c r="Q11" s="61">
        <v>11</v>
      </c>
      <c r="R11" s="61">
        <v>12</v>
      </c>
      <c r="S11" s="61" t="s">
        <v>106</v>
      </c>
      <c r="T11" s="61">
        <v>13</v>
      </c>
      <c r="U11" s="61">
        <v>14</v>
      </c>
      <c r="V11" s="61" t="s">
        <v>107</v>
      </c>
      <c r="W11" s="61"/>
      <c r="X11" s="61">
        <v>15</v>
      </c>
      <c r="Y11" s="61">
        <v>16</v>
      </c>
      <c r="Z11" s="61" t="s">
        <v>108</v>
      </c>
      <c r="AA11" s="61">
        <v>17</v>
      </c>
      <c r="AB11" s="61">
        <v>18</v>
      </c>
      <c r="AC11" s="61" t="s">
        <v>108</v>
      </c>
      <c r="AD11" s="61" t="s">
        <v>108</v>
      </c>
      <c r="AE11" s="61">
        <v>19</v>
      </c>
      <c r="AF11" s="61">
        <v>20</v>
      </c>
      <c r="AG11" s="61">
        <v>21</v>
      </c>
      <c r="AH11" s="61"/>
      <c r="AI11" s="61">
        <v>22</v>
      </c>
      <c r="AJ11" s="61">
        <v>23</v>
      </c>
      <c r="AK11" s="61">
        <v>24</v>
      </c>
      <c r="AL11" s="61"/>
      <c r="AM11" s="61">
        <v>25</v>
      </c>
      <c r="AN11" s="61">
        <v>26</v>
      </c>
      <c r="AO11" s="61">
        <v>27</v>
      </c>
      <c r="AP11" s="61"/>
      <c r="AQ11" s="61">
        <v>28</v>
      </c>
      <c r="AR11" s="61">
        <v>29</v>
      </c>
      <c r="AS11" s="61">
        <v>30</v>
      </c>
      <c r="AT11" s="61"/>
      <c r="AU11" s="61">
        <v>31</v>
      </c>
      <c r="AV11" s="61">
        <v>32</v>
      </c>
      <c r="AW11" s="61">
        <v>33</v>
      </c>
      <c r="AX11" s="61"/>
      <c r="AY11" s="61">
        <v>34</v>
      </c>
      <c r="AZ11" s="61">
        <v>35</v>
      </c>
      <c r="BA11" s="61">
        <v>36</v>
      </c>
      <c r="BB11" s="61"/>
      <c r="BC11" s="61">
        <v>37</v>
      </c>
      <c r="BD11" s="61">
        <v>38</v>
      </c>
      <c r="BE11" s="61">
        <v>39</v>
      </c>
      <c r="BF11" s="61">
        <v>40</v>
      </c>
      <c r="BG11" s="61">
        <v>41</v>
      </c>
      <c r="BH11" s="61">
        <v>42</v>
      </c>
      <c r="BI11" s="61"/>
      <c r="BJ11" s="61">
        <v>43</v>
      </c>
      <c r="BK11" s="61">
        <v>44</v>
      </c>
      <c r="BL11" s="61">
        <v>45</v>
      </c>
      <c r="BM11" s="61">
        <v>46</v>
      </c>
      <c r="BN11" s="61">
        <v>47</v>
      </c>
      <c r="BO11" s="61">
        <v>48</v>
      </c>
      <c r="BP11" s="61"/>
      <c r="BQ11" s="61">
        <v>49</v>
      </c>
      <c r="BR11" s="61">
        <v>50</v>
      </c>
      <c r="BS11" s="61">
        <v>51</v>
      </c>
      <c r="BT11" s="61">
        <v>52</v>
      </c>
      <c r="BU11" s="61">
        <v>53</v>
      </c>
      <c r="BV11" s="61">
        <v>54</v>
      </c>
      <c r="BW11" s="61"/>
      <c r="BX11" s="61">
        <v>55</v>
      </c>
      <c r="BY11" s="61">
        <v>56</v>
      </c>
      <c r="BZ11" s="61">
        <v>57</v>
      </c>
      <c r="CA11" s="61">
        <v>58</v>
      </c>
      <c r="CB11" s="61">
        <v>59</v>
      </c>
      <c r="CC11" s="61">
        <v>60</v>
      </c>
      <c r="CD11" s="61" t="s">
        <v>108</v>
      </c>
      <c r="CE11" s="61">
        <v>61</v>
      </c>
      <c r="CF11" s="61">
        <v>62</v>
      </c>
      <c r="CG11" s="61">
        <v>63</v>
      </c>
      <c r="CH11" s="61"/>
      <c r="CI11" s="61">
        <v>64</v>
      </c>
      <c r="CJ11" s="61">
        <v>65</v>
      </c>
      <c r="CK11" s="61">
        <v>66</v>
      </c>
      <c r="CL11" s="61"/>
      <c r="CM11" s="61">
        <v>67</v>
      </c>
      <c r="CN11" s="61">
        <v>68</v>
      </c>
      <c r="CO11" s="61">
        <v>69</v>
      </c>
      <c r="CP11" s="61"/>
      <c r="CQ11" s="61">
        <v>70</v>
      </c>
      <c r="CR11" s="61">
        <v>71</v>
      </c>
      <c r="CS11" s="61">
        <v>72</v>
      </c>
      <c r="CT11" s="61"/>
      <c r="CU11" s="61">
        <v>73</v>
      </c>
      <c r="CV11" s="61">
        <v>74</v>
      </c>
      <c r="CW11" s="61">
        <v>75</v>
      </c>
      <c r="CX11" s="61"/>
      <c r="CY11" s="61">
        <v>76</v>
      </c>
      <c r="CZ11" s="61">
        <v>77</v>
      </c>
      <c r="DA11" s="61">
        <v>78</v>
      </c>
      <c r="DB11" s="61"/>
      <c r="DC11" s="61">
        <v>79</v>
      </c>
      <c r="DD11" s="61">
        <v>80</v>
      </c>
      <c r="DE11" s="61">
        <v>81</v>
      </c>
      <c r="DF11" s="61">
        <v>82</v>
      </c>
      <c r="DG11" s="61">
        <v>83</v>
      </c>
      <c r="DH11" s="61">
        <v>84</v>
      </c>
      <c r="DI11" s="61"/>
      <c r="DJ11" s="61">
        <v>85</v>
      </c>
      <c r="DK11" s="61">
        <v>86</v>
      </c>
      <c r="DL11" s="61">
        <v>87</v>
      </c>
      <c r="DM11" s="61">
        <v>88</v>
      </c>
      <c r="DN11" s="61">
        <v>89</v>
      </c>
      <c r="DO11" s="61">
        <v>90</v>
      </c>
      <c r="DP11" s="61"/>
      <c r="DQ11" s="61">
        <v>91</v>
      </c>
      <c r="DR11" s="61">
        <v>92</v>
      </c>
      <c r="DS11" s="61">
        <v>93</v>
      </c>
      <c r="DT11" s="61">
        <v>94</v>
      </c>
      <c r="DU11" s="61">
        <v>95</v>
      </c>
      <c r="DV11" s="61">
        <v>96</v>
      </c>
      <c r="DW11" s="61"/>
      <c r="DX11" s="61">
        <v>97</v>
      </c>
      <c r="DY11" s="61">
        <v>98</v>
      </c>
      <c r="DZ11" s="61">
        <v>99</v>
      </c>
      <c r="EA11" s="61">
        <v>100</v>
      </c>
      <c r="EB11" s="61">
        <v>101</v>
      </c>
      <c r="EC11" s="61">
        <v>102</v>
      </c>
      <c r="ED11" s="61" t="s">
        <v>108</v>
      </c>
      <c r="EE11" s="61">
        <v>103</v>
      </c>
      <c r="EF11" s="61">
        <v>104</v>
      </c>
      <c r="EG11" s="61">
        <v>105</v>
      </c>
      <c r="EH11" s="61"/>
      <c r="EI11" s="61">
        <v>106</v>
      </c>
      <c r="EJ11" s="61">
        <v>107</v>
      </c>
      <c r="EK11" s="61">
        <v>108</v>
      </c>
      <c r="EL11" s="61"/>
      <c r="EM11" s="61">
        <v>109</v>
      </c>
      <c r="EN11" s="61">
        <v>110</v>
      </c>
      <c r="EO11" s="61">
        <v>111</v>
      </c>
      <c r="EP11" s="61"/>
      <c r="EQ11" s="61">
        <v>112</v>
      </c>
      <c r="ER11" s="61">
        <v>113</v>
      </c>
      <c r="ES11" s="61">
        <v>114</v>
      </c>
      <c r="ET11" s="61"/>
      <c r="EU11" s="61">
        <v>115</v>
      </c>
      <c r="EV11" s="61">
        <v>116</v>
      </c>
      <c r="EW11" s="61">
        <v>117</v>
      </c>
      <c r="EX11" s="61"/>
      <c r="EY11" s="61">
        <v>118</v>
      </c>
      <c r="EZ11" s="61">
        <v>119</v>
      </c>
      <c r="FA11" s="61">
        <v>120</v>
      </c>
      <c r="FB11" s="61"/>
      <c r="FC11" s="61">
        <v>121</v>
      </c>
      <c r="FD11" s="61">
        <v>122</v>
      </c>
      <c r="FE11" s="61">
        <v>123</v>
      </c>
      <c r="FF11" s="61"/>
      <c r="FG11" s="61">
        <v>124</v>
      </c>
      <c r="FH11" s="61">
        <v>125</v>
      </c>
      <c r="FI11" s="61">
        <v>126</v>
      </c>
      <c r="FJ11" s="61"/>
    </row>
    <row r="12" spans="1:166" x14ac:dyDescent="0.3">
      <c r="A12" s="290" t="s">
        <v>43</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47"/>
      <c r="FD12" s="47"/>
      <c r="FE12" s="47"/>
      <c r="FF12" s="47"/>
      <c r="FG12" s="47"/>
      <c r="FH12" s="47"/>
      <c r="FI12" s="47"/>
      <c r="FJ12" s="47"/>
    </row>
    <row r="13" spans="1:166" x14ac:dyDescent="0.3">
      <c r="A13" s="48" t="s">
        <v>3</v>
      </c>
      <c r="B13" s="258" t="s">
        <v>9</v>
      </c>
      <c r="C13" s="53">
        <v>34030054.159999996</v>
      </c>
      <c r="D13" s="53">
        <v>2168221.59</v>
      </c>
      <c r="E13" s="53">
        <f>C13+D13</f>
        <v>36198275.75</v>
      </c>
      <c r="F13" s="53">
        <v>808489.41</v>
      </c>
      <c r="G13" s="53">
        <v>1212734.1100000001</v>
      </c>
      <c r="H13" s="53">
        <f t="shared" ref="H13:H38" si="0">F13+G13</f>
        <v>2021223.52</v>
      </c>
      <c r="I13" s="56">
        <f>C13+D13+F13+G13</f>
        <v>38219499.269999996</v>
      </c>
      <c r="J13" s="252">
        <v>2778</v>
      </c>
      <c r="K13" s="252">
        <v>177</v>
      </c>
      <c r="L13" s="252">
        <f>J13+K13</f>
        <v>2955</v>
      </c>
      <c r="M13" s="252">
        <v>66</v>
      </c>
      <c r="N13" s="252">
        <v>99</v>
      </c>
      <c r="O13" s="252">
        <f>M13+N13</f>
        <v>165</v>
      </c>
      <c r="P13" s="56">
        <f>J13+K13+M13+N13</f>
        <v>3120</v>
      </c>
      <c r="Q13" s="252">
        <v>34096</v>
      </c>
      <c r="R13" s="252">
        <v>8059</v>
      </c>
      <c r="S13" s="59">
        <f>Q13+R13</f>
        <v>42155</v>
      </c>
      <c r="T13" s="252">
        <v>16027</v>
      </c>
      <c r="U13" s="252">
        <v>74749</v>
      </c>
      <c r="V13" s="256">
        <f>T13+U13</f>
        <v>90776</v>
      </c>
      <c r="W13" s="56">
        <f>Q13+R13+T13+U13</f>
        <v>132931</v>
      </c>
      <c r="X13" s="56">
        <f t="shared" ref="X13:AB14" si="1">C13/J13</f>
        <v>12249.839510439164</v>
      </c>
      <c r="Y13" s="56">
        <f t="shared" si="1"/>
        <v>12249.839491525423</v>
      </c>
      <c r="Z13" s="56">
        <f t="shared" si="1"/>
        <v>12249.839509306261</v>
      </c>
      <c r="AA13" s="56">
        <f t="shared" si="1"/>
        <v>12249.839545454546</v>
      </c>
      <c r="AB13" s="56">
        <f t="shared" si="1"/>
        <v>12249.839494949496</v>
      </c>
      <c r="AC13" s="56">
        <f t="shared" ref="AC13:AD28" si="2">H13/O13</f>
        <v>12249.839515151516</v>
      </c>
      <c r="AD13" s="56">
        <f t="shared" si="2"/>
        <v>12249.839509615384</v>
      </c>
      <c r="AE13" s="269">
        <f>AVERAGE(X13:X38)</f>
        <v>11179.172539100718</v>
      </c>
      <c r="AF13" s="269">
        <f>AVERAGE(Z13:Z38)</f>
        <v>11749.345879561241</v>
      </c>
      <c r="AG13" s="269">
        <f>AVERAGE(AC13:AC38)</f>
        <v>62447.597320796202</v>
      </c>
      <c r="AH13" s="269">
        <f>AVERAGE(AD13:AD38)</f>
        <v>14030.084680886577</v>
      </c>
      <c r="AI13" s="269">
        <f>_xlfn.STDEV.S(X13:X38)</f>
        <v>10947.419092737762</v>
      </c>
      <c r="AJ13" s="269">
        <f>_xlfn.STDEV.S(Z13:Z38)</f>
        <v>11462.838583242534</v>
      </c>
      <c r="AK13" s="269">
        <f>_xlfn.STDEV.S(AC13:AC38)</f>
        <v>71087.313681547399</v>
      </c>
      <c r="AL13" s="269">
        <f>_xlfn.STDEV.S(AD13:AD38)</f>
        <v>13201.274679232716</v>
      </c>
      <c r="AM13" s="269">
        <f>AE13-AI13</f>
        <v>231.75344636295631</v>
      </c>
      <c r="AN13" s="269">
        <f>AF13-AJ13</f>
        <v>286.50729631870672</v>
      </c>
      <c r="AO13" s="269">
        <f>AG13-AK13</f>
        <v>-8639.7163607511975</v>
      </c>
      <c r="AP13" s="269">
        <f>AH13-AL13</f>
        <v>828.81000165386104</v>
      </c>
      <c r="AQ13" s="269">
        <f>AE13+AI13</f>
        <v>22126.591631838481</v>
      </c>
      <c r="AR13" s="269">
        <f>AF13+AJ13</f>
        <v>23212.184462803772</v>
      </c>
      <c r="AS13" s="269">
        <f>AG13+AK13</f>
        <v>133534.91100234361</v>
      </c>
      <c r="AT13" s="269">
        <f>AH13+AL13</f>
        <v>27231.359360119292</v>
      </c>
      <c r="AU13" s="269">
        <f t="shared" ref="AU13:AU35" si="3">IF(AND(X13&gt;$AM$13,X13&lt;$AQ$13),X13,0)</f>
        <v>12249.839510439164</v>
      </c>
      <c r="AV13" s="269">
        <f t="shared" ref="AV13:AV38" si="4">IF(AND(Z13&gt;$AN$13,Z13&lt;$AR$13),Z13,0)</f>
        <v>12249.839509306261</v>
      </c>
      <c r="AW13" s="269">
        <f>IF(AND(AC13&gt;$AO$13,AC13&lt;$AS$13),AC13,0)</f>
        <v>12249.839515151516</v>
      </c>
      <c r="AX13" s="269">
        <f>IF(AND(AD13&gt;$AP$13,AD13&lt;$AT$13),AD13,0)</f>
        <v>12249.839509615384</v>
      </c>
      <c r="AY13" s="269">
        <f t="shared" ref="AY13:AY35" si="5">AU13*J13</f>
        <v>34030054.159999996</v>
      </c>
      <c r="AZ13" s="269">
        <f t="shared" ref="AZ13:AZ38" si="6">AV13*L13</f>
        <v>36198275.75</v>
      </c>
      <c r="BA13" s="269">
        <f>AW13*O13</f>
        <v>2021223.5200000003</v>
      </c>
      <c r="BB13" s="269">
        <f>AX13*P13</f>
        <v>38219499.269999996</v>
      </c>
      <c r="BC13" s="53">
        <v>32542152.899999999</v>
      </c>
      <c r="BD13" s="53">
        <v>3374017.36</v>
      </c>
      <c r="BE13" s="56">
        <f>BC13+BD13</f>
        <v>35916170.259999998</v>
      </c>
      <c r="BF13" s="53">
        <v>2017075.59</v>
      </c>
      <c r="BG13" s="53">
        <v>1479188.77</v>
      </c>
      <c r="BH13" s="56">
        <f>BF13+BG13</f>
        <v>3496264.3600000003</v>
      </c>
      <c r="BI13" s="56">
        <f>BC13+BD13+BF13+BG13</f>
        <v>39412434.620000005</v>
      </c>
      <c r="BJ13" s="252">
        <v>2662</v>
      </c>
      <c r="BK13" s="252">
        <v>276</v>
      </c>
      <c r="BL13" s="252">
        <f>BJ13+BK13</f>
        <v>2938</v>
      </c>
      <c r="BM13" s="252">
        <v>165</v>
      </c>
      <c r="BN13" s="252">
        <v>121</v>
      </c>
      <c r="BO13" s="252">
        <f>BM13+BN13</f>
        <v>286</v>
      </c>
      <c r="BP13" s="56">
        <f>BJ13+BK13+BM13+BN13</f>
        <v>3224</v>
      </c>
      <c r="BQ13" s="252">
        <v>31792</v>
      </c>
      <c r="BR13" s="252">
        <v>13498</v>
      </c>
      <c r="BS13" s="59">
        <f>BQ13+BR13</f>
        <v>45290</v>
      </c>
      <c r="BT13" s="252">
        <v>30316</v>
      </c>
      <c r="BU13" s="252">
        <v>84282</v>
      </c>
      <c r="BV13" s="59">
        <f>BT13+BU13</f>
        <v>114598</v>
      </c>
      <c r="BW13" s="56">
        <f>BQ13+BR13+BT13+BU13</f>
        <v>159888</v>
      </c>
      <c r="BX13" s="56">
        <f t="shared" ref="BX13:CD13" si="7">BC13/BJ13</f>
        <v>12224.7005634861</v>
      </c>
      <c r="BY13" s="56">
        <f t="shared" si="7"/>
        <v>12224.700579710145</v>
      </c>
      <c r="BZ13" s="56">
        <f t="shared" si="7"/>
        <v>12224.700565010211</v>
      </c>
      <c r="CA13" s="56">
        <f t="shared" si="7"/>
        <v>12224.700545454545</v>
      </c>
      <c r="CB13" s="56">
        <f t="shared" si="7"/>
        <v>12224.700578512397</v>
      </c>
      <c r="CC13" s="56">
        <f t="shared" si="7"/>
        <v>12224.70055944056</v>
      </c>
      <c r="CD13" s="56">
        <f t="shared" si="7"/>
        <v>12224.70056451613</v>
      </c>
      <c r="CE13" s="238">
        <f>AVERAGE(BX13:BX38)</f>
        <v>9817.070627187426</v>
      </c>
      <c r="CF13" s="238">
        <f>AVERAGE(BZ13:BZ38)</f>
        <v>11033.355190828497</v>
      </c>
      <c r="CG13" s="238">
        <f>AVERAGE(CC13:CC38)</f>
        <v>31525.41156631324</v>
      </c>
      <c r="CH13" s="238">
        <f>AVERAGE(CD13:CD38)</f>
        <v>10908.769165192944</v>
      </c>
      <c r="CI13" s="238">
        <f>_xlfn.STDEV.S(BX13:BX38)</f>
        <v>7481.5861196230408</v>
      </c>
      <c r="CJ13" s="238">
        <f>_xlfn.STDEV.S(BZ13:BZ38)</f>
        <v>7686.808031337333</v>
      </c>
      <c r="CK13" s="238">
        <f>_xlfn.STDEV.S(CC13:CC38)</f>
        <v>32487.438307588865</v>
      </c>
      <c r="CL13" s="238">
        <f>_xlfn.STDEV.S(CD13:CD38)</f>
        <v>7652.6664863270971</v>
      </c>
      <c r="CM13" s="238">
        <f>CE13-CI13</f>
        <v>2335.4845075643852</v>
      </c>
      <c r="CN13" s="238">
        <f>CF13-CJ13</f>
        <v>3346.5471594911642</v>
      </c>
      <c r="CO13" s="238">
        <f>CG13-CK13</f>
        <v>-962.02674127562568</v>
      </c>
      <c r="CP13" s="238">
        <f>CH13-CL13</f>
        <v>3256.1026788658464</v>
      </c>
      <c r="CQ13" s="238">
        <f>CE13+CI13</f>
        <v>17298.656746810466</v>
      </c>
      <c r="CR13" s="238">
        <f>CF13+CJ13</f>
        <v>18720.163222165829</v>
      </c>
      <c r="CS13" s="238">
        <f>CG13+CK13</f>
        <v>64012.849873902102</v>
      </c>
      <c r="CT13" s="238">
        <f>CH13+CL13</f>
        <v>18561.435651520042</v>
      </c>
      <c r="CU13" s="238">
        <f t="shared" ref="CU13:CU38" si="8">IF(AND(BX13&gt;$CM$13,BX13&lt;$CQ$13),BX13,0)</f>
        <v>12224.7005634861</v>
      </c>
      <c r="CV13" s="238">
        <f t="shared" ref="CV13:CV38" si="9">IF(AND(BZ13&gt;$CN$13,BZ13&lt;$CR$13),BZ13,0)</f>
        <v>12224.700565010211</v>
      </c>
      <c r="CW13" s="238">
        <f>IF(AND(CC13&gt;$CO$13,CC13&lt;$CS$13),CC13,0)</f>
        <v>12224.70055944056</v>
      </c>
      <c r="CX13" s="238">
        <f>IF(AND(CD13&gt;$CP$13,CD13&lt;$CT$13),CD13,0)</f>
        <v>12224.70056451613</v>
      </c>
      <c r="CY13" s="238">
        <f t="shared" ref="CY13:CY38" si="10">CU13*BJ13</f>
        <v>32542152.899999999</v>
      </c>
      <c r="CZ13" s="238">
        <f t="shared" ref="CZ13:CZ38" si="11">CV13*BL13</f>
        <v>35916170.259999998</v>
      </c>
      <c r="DA13" s="238">
        <f>CW13*BO13</f>
        <v>3496264.3600000003</v>
      </c>
      <c r="DB13" s="238">
        <f>CX13*BP13</f>
        <v>39412434.620000005</v>
      </c>
      <c r="DC13" s="53">
        <v>40630969.369999997</v>
      </c>
      <c r="DD13" s="53">
        <v>2553312.2799999998</v>
      </c>
      <c r="DE13" s="56">
        <f>DC13+DD13</f>
        <v>43184281.649999999</v>
      </c>
      <c r="DF13" s="53">
        <v>1387669.72</v>
      </c>
      <c r="DG13" s="53">
        <v>1124012.47</v>
      </c>
      <c r="DH13" s="56">
        <f>DF13+DG13</f>
        <v>2511682.19</v>
      </c>
      <c r="DI13" s="56">
        <f>DC13+DD13+DF13+DG13</f>
        <v>45695963.839999996</v>
      </c>
      <c r="DJ13" s="252">
        <v>2928</v>
      </c>
      <c r="DK13" s="252">
        <v>184</v>
      </c>
      <c r="DL13" s="56">
        <f>DJ13+DK13</f>
        <v>3112</v>
      </c>
      <c r="DM13" s="252">
        <v>100</v>
      </c>
      <c r="DN13" s="252">
        <v>81</v>
      </c>
      <c r="DO13" s="56">
        <f>DM13+DN13</f>
        <v>181</v>
      </c>
      <c r="DP13" s="56">
        <f>DJ13+DK13+DM13+DN13</f>
        <v>3293</v>
      </c>
      <c r="DQ13" s="252">
        <v>35262</v>
      </c>
      <c r="DR13" s="252">
        <v>7918</v>
      </c>
      <c r="DS13" s="59">
        <f>DQ13+DR13</f>
        <v>43180</v>
      </c>
      <c r="DT13" s="252">
        <v>17938</v>
      </c>
      <c r="DU13" s="252">
        <v>56691</v>
      </c>
      <c r="DV13" s="59">
        <f>DT13+DU13</f>
        <v>74629</v>
      </c>
      <c r="DW13" s="59">
        <f>DQ13+DR13+DT13+DU13</f>
        <v>117809</v>
      </c>
      <c r="DX13" s="56">
        <f>DC13/DJ13</f>
        <v>13876.697189207649</v>
      </c>
      <c r="DY13" s="56">
        <f t="shared" ref="DY13" si="12">DD13/DK13</f>
        <v>13876.697173913042</v>
      </c>
      <c r="DZ13" s="56">
        <f t="shared" ref="DZ13" si="13">DE13/DL13</f>
        <v>13876.697188303342</v>
      </c>
      <c r="EA13" s="56">
        <f>DF13/DM13</f>
        <v>13876.697200000001</v>
      </c>
      <c r="EB13" s="56">
        <f t="shared" ref="EB13" si="14">DG13/DN13</f>
        <v>13876.697160493826</v>
      </c>
      <c r="EC13" s="56">
        <f t="shared" ref="EC13:ED28" si="15">DH13/DO13</f>
        <v>13876.697182320442</v>
      </c>
      <c r="ED13" s="56">
        <f t="shared" si="15"/>
        <v>13876.697187974491</v>
      </c>
      <c r="EE13" s="273">
        <f>AVERAGE(DX13:DX38)</f>
        <v>11309.021073900938</v>
      </c>
      <c r="EF13" s="273">
        <f>AVERAGE(DZ13:DZ38)</f>
        <v>11641.356848377141</v>
      </c>
      <c r="EG13" s="273">
        <f>AVERAGE(EC13:EC38)</f>
        <v>49693.426567432907</v>
      </c>
      <c r="EH13" s="273">
        <f>AVERAGE(ED13:ED38)</f>
        <v>11908.969481318618</v>
      </c>
      <c r="EI13" s="273">
        <f>_xlfn.STDEV.S(DX13:DX38)</f>
        <v>11911.690239266396</v>
      </c>
      <c r="EJ13" s="273">
        <f>_xlfn.STDEV.S(DZ13:DZ38)</f>
        <v>11926.972929703876</v>
      </c>
      <c r="EK13" s="273">
        <f>_xlfn.STDEV.S(EC13:EC38)</f>
        <v>44639.938366593473</v>
      </c>
      <c r="EL13" s="273">
        <f>_xlfn.STDEV.S(ED13:ED38)</f>
        <v>11965.734182427328</v>
      </c>
      <c r="EM13" s="273">
        <f>EE13-EI13</f>
        <v>-602.66916536545796</v>
      </c>
      <c r="EN13" s="273">
        <f>EF13-EJ13</f>
        <v>-285.61608132673427</v>
      </c>
      <c r="EO13" s="273">
        <f>EG13-EK13</f>
        <v>5053.4882008394343</v>
      </c>
      <c r="EP13" s="273">
        <f>EH13-EL13</f>
        <v>-56.764701108710142</v>
      </c>
      <c r="EQ13" s="273">
        <f>EE13+EI13</f>
        <v>23220.711313167332</v>
      </c>
      <c r="ER13" s="273">
        <f>EF13+EJ13</f>
        <v>23568.329778081017</v>
      </c>
      <c r="ES13" s="273">
        <f>EG13+EK13</f>
        <v>94333.36493402638</v>
      </c>
      <c r="ET13" s="273">
        <f>EH13+EL13</f>
        <v>23874.703663745946</v>
      </c>
      <c r="EU13" s="273">
        <f t="shared" ref="EU13:EU38" si="16">IF(AND(DX13&gt;$EM$13,DX13&lt;$EQ$13),DX13,0)</f>
        <v>13876.697189207649</v>
      </c>
      <c r="EV13" s="273">
        <f t="shared" ref="EV13:EV38" si="17">IF(AND(DZ13&gt;$EN$13,DZ13&lt;$ER$13),DZ13,0)</f>
        <v>13876.697188303342</v>
      </c>
      <c r="EW13" s="273">
        <f t="shared" ref="EW13:EW38" si="18">IF(AND(EC13&gt;$EO$13,EC13&lt;$ES$13),EC13,0)</f>
        <v>13876.697182320442</v>
      </c>
      <c r="EX13" s="273">
        <f>IF(AND(ED13&gt;$EP$13,ED13&lt;$ET$13),ED13,0)</f>
        <v>13876.697187974491</v>
      </c>
      <c r="EY13" s="273">
        <f t="shared" ref="EY13:EY38" si="19">EU13*DJ13</f>
        <v>40630969.369999997</v>
      </c>
      <c r="EZ13" s="273">
        <f t="shared" ref="EZ13:EZ38" si="20">EV13*DL13</f>
        <v>43184281.649999999</v>
      </c>
      <c r="FA13" s="273">
        <f>EW13*DO13</f>
        <v>2511682.19</v>
      </c>
      <c r="FB13" s="273">
        <f>EX13*DP13</f>
        <v>45695963.839999996</v>
      </c>
      <c r="FC13" s="56"/>
      <c r="FD13" s="56"/>
      <c r="FE13" s="56"/>
      <c r="FF13" s="56"/>
      <c r="FG13" s="47"/>
      <c r="FH13" s="47"/>
      <c r="FI13" s="47"/>
      <c r="FJ13" s="47"/>
    </row>
    <row r="14" spans="1:166" x14ac:dyDescent="0.3">
      <c r="A14" s="48" t="s">
        <v>4</v>
      </c>
      <c r="B14" s="258" t="s">
        <v>10</v>
      </c>
      <c r="C14" s="53">
        <v>12605709.199999999</v>
      </c>
      <c r="D14" s="53">
        <v>6188718.3999999994</v>
      </c>
      <c r="E14" s="53">
        <f t="shared" ref="E14:E38" si="21">C14+D14</f>
        <v>18794427.599999998</v>
      </c>
      <c r="F14" s="53">
        <v>1318907.2</v>
      </c>
      <c r="G14" s="53">
        <v>101454.39999999999</v>
      </c>
      <c r="H14" s="53">
        <f t="shared" si="0"/>
        <v>1420361.5999999999</v>
      </c>
      <c r="I14" s="56">
        <f t="shared" ref="I14:I38" si="22">C14+D14+F14+G14</f>
        <v>20214789.199999996</v>
      </c>
      <c r="J14" s="59">
        <f>3+507</f>
        <v>510</v>
      </c>
      <c r="K14" s="59">
        <f>1+186</f>
        <v>187</v>
      </c>
      <c r="L14" s="59">
        <f>J14+K14</f>
        <v>697</v>
      </c>
      <c r="M14" s="59">
        <f>2+36</f>
        <v>38</v>
      </c>
      <c r="N14" s="59">
        <v>2</v>
      </c>
      <c r="O14" s="59">
        <f t="shared" ref="O14:O36" si="23">M14+N14</f>
        <v>40</v>
      </c>
      <c r="P14" s="56">
        <f t="shared" ref="P14:P38" si="24">J14+K14+M14+N14</f>
        <v>737</v>
      </c>
      <c r="Q14" s="59">
        <f>45+7323</f>
        <v>7368</v>
      </c>
      <c r="R14" s="59">
        <f>150+11623</f>
        <v>11773</v>
      </c>
      <c r="S14" s="59">
        <f t="shared" ref="S14:S38" si="25">Q14+R14</f>
        <v>19141</v>
      </c>
      <c r="T14" s="59">
        <f>920+11827.5</f>
        <v>12747.5</v>
      </c>
      <c r="U14" s="59">
        <v>2631.7</v>
      </c>
      <c r="V14" s="256">
        <f t="shared" ref="V14:V22" si="26">T14+U14</f>
        <v>15379.2</v>
      </c>
      <c r="W14" s="56">
        <f t="shared" ref="W14:W38" si="27">Q14+R14+T14+U14</f>
        <v>34520.199999999997</v>
      </c>
      <c r="X14" s="56">
        <f t="shared" si="1"/>
        <v>24717.076862745096</v>
      </c>
      <c r="Y14" s="56">
        <f t="shared" si="1"/>
        <v>33094.750802139031</v>
      </c>
      <c r="Z14" s="56">
        <f t="shared" si="1"/>
        <v>26964.745480631274</v>
      </c>
      <c r="AA14" s="56">
        <f t="shared" si="1"/>
        <v>34708.084210526315</v>
      </c>
      <c r="AB14" s="56">
        <f t="shared" si="1"/>
        <v>50727.199999999997</v>
      </c>
      <c r="AC14" s="56">
        <f t="shared" ref="AC14:AC30" si="28">H14/O14</f>
        <v>35509.039999999994</v>
      </c>
      <c r="AD14" s="56">
        <f t="shared" si="2"/>
        <v>27428.479240162815</v>
      </c>
      <c r="AE14" s="269"/>
      <c r="AF14" s="270"/>
      <c r="AG14" s="269"/>
      <c r="AH14" s="269"/>
      <c r="AI14" s="269"/>
      <c r="AJ14" s="269"/>
      <c r="AK14" s="270"/>
      <c r="AL14" s="270"/>
      <c r="AM14" s="270"/>
      <c r="AN14" s="267"/>
      <c r="AO14" s="267"/>
      <c r="AP14" s="267"/>
      <c r="AQ14" s="267"/>
      <c r="AR14" s="267"/>
      <c r="AS14" s="267"/>
      <c r="AT14" s="267"/>
      <c r="AU14" s="269">
        <f t="shared" si="3"/>
        <v>0</v>
      </c>
      <c r="AV14" s="269">
        <f t="shared" si="4"/>
        <v>0</v>
      </c>
      <c r="AW14" s="269">
        <f t="shared" ref="AW14:AW38" si="29">IF(AND(AC14&gt;$AO$13,AC14&lt;$AS$13),AC14,0)</f>
        <v>35509.039999999994</v>
      </c>
      <c r="AX14" s="269">
        <f t="shared" ref="AX14:AX38" si="30">IF(AND(AD14&gt;$AP$13,AD14&lt;$AT$13),AD14,0)</f>
        <v>0</v>
      </c>
      <c r="AY14" s="269">
        <f t="shared" si="5"/>
        <v>0</v>
      </c>
      <c r="AZ14" s="269">
        <f t="shared" si="6"/>
        <v>0</v>
      </c>
      <c r="BA14" s="269">
        <f t="shared" ref="BA14:BA38" si="31">AW14*O14</f>
        <v>1420361.5999999996</v>
      </c>
      <c r="BB14" s="269">
        <f t="shared" ref="BB14:BB38" si="32">AX14*P14</f>
        <v>0</v>
      </c>
      <c r="BC14" s="53">
        <f>54359.6+15927362.8</f>
        <v>15981722.4</v>
      </c>
      <c r="BD14" s="53">
        <v>6713410.5999999996</v>
      </c>
      <c r="BE14" s="56">
        <f t="shared" ref="BE14:BE38" si="33">BC14+BD14</f>
        <v>22695133</v>
      </c>
      <c r="BF14" s="53">
        <v>1440529.4</v>
      </c>
      <c r="BG14" s="53">
        <v>163078.79999999999</v>
      </c>
      <c r="BH14" s="56">
        <f t="shared" ref="BH14:BH38" si="34">BF14+BG14</f>
        <v>1603608.2</v>
      </c>
      <c r="BI14" s="56">
        <f t="shared" ref="BI14:BI38" si="35">BC14+BD14+BF14+BG14</f>
        <v>24298741.199999999</v>
      </c>
      <c r="BJ14" s="256">
        <f>2+586</f>
        <v>588</v>
      </c>
      <c r="BK14" s="256">
        <f>6+242</f>
        <v>248</v>
      </c>
      <c r="BL14" s="256">
        <f t="shared" ref="BL14:BL38" si="36">BJ14+BK14</f>
        <v>836</v>
      </c>
      <c r="BM14" s="256">
        <f>3+50</f>
        <v>53</v>
      </c>
      <c r="BN14" s="256">
        <f>1+5</f>
        <v>6</v>
      </c>
      <c r="BO14" s="256">
        <f t="shared" ref="BO14:BO38" si="37">BM14+BN14</f>
        <v>59</v>
      </c>
      <c r="BP14" s="56">
        <f t="shared" ref="BP14:BP38" si="38">BJ14+BK14+BM14+BN14</f>
        <v>895</v>
      </c>
      <c r="BQ14" s="256">
        <f>24+8218</f>
        <v>8242</v>
      </c>
      <c r="BR14" s="256">
        <f>475+15571.4</f>
        <v>16046.4</v>
      </c>
      <c r="BS14" s="256">
        <f t="shared" ref="BS14:BS38" si="39">BQ14+BR14</f>
        <v>24288.400000000001</v>
      </c>
      <c r="BT14" s="256">
        <f>710+16663.4</f>
        <v>17373.400000000001</v>
      </c>
      <c r="BU14" s="256">
        <f>1200+44694.8</f>
        <v>45894.8</v>
      </c>
      <c r="BV14" s="59">
        <f t="shared" ref="BV14:BV38" si="40">BT14+BU14</f>
        <v>63268.200000000004</v>
      </c>
      <c r="BW14" s="56">
        <f t="shared" ref="BW14:BW38" si="41">BQ14+BR14+BT14+BU14</f>
        <v>87556.6</v>
      </c>
      <c r="BX14" s="56">
        <f t="shared" ref="BX14:BX35" si="42">BC14/BJ14</f>
        <v>27179.8</v>
      </c>
      <c r="BY14" s="56">
        <f t="shared" ref="BY14:BY33" si="43">BD14/BK14</f>
        <v>27070.204032258061</v>
      </c>
      <c r="BZ14" s="56">
        <f t="shared" ref="BZ14:BZ33" si="44">BE14/BL14</f>
        <v>27147.288277511961</v>
      </c>
      <c r="CA14" s="56">
        <f t="shared" ref="CA14:CA33" si="45">BF14/BM14</f>
        <v>27179.8</v>
      </c>
      <c r="CB14" s="56">
        <f t="shared" ref="CB14" si="46">BG14/BN14</f>
        <v>27179.8</v>
      </c>
      <c r="CC14" s="56">
        <f t="shared" ref="CC14:CC33" si="47">BH14/BO14</f>
        <v>27179.8</v>
      </c>
      <c r="CD14" s="56">
        <f t="shared" ref="CD14:CD35" si="48">BI14/BP14</f>
        <v>27149.431508379887</v>
      </c>
      <c r="CE14" s="238"/>
      <c r="CF14" s="241"/>
      <c r="CG14" s="241"/>
      <c r="CH14" s="241"/>
      <c r="CI14" s="241"/>
      <c r="CJ14" s="241"/>
      <c r="CK14" s="241"/>
      <c r="CL14" s="241"/>
      <c r="CM14" s="241"/>
      <c r="CN14" s="241"/>
      <c r="CO14" s="241"/>
      <c r="CP14" s="241"/>
      <c r="CQ14" s="241"/>
      <c r="CR14" s="241"/>
      <c r="CS14" s="241"/>
      <c r="CT14" s="241"/>
      <c r="CU14" s="238">
        <f t="shared" si="8"/>
        <v>0</v>
      </c>
      <c r="CV14" s="238">
        <f t="shared" si="9"/>
        <v>0</v>
      </c>
      <c r="CW14" s="238">
        <f t="shared" ref="CW14:CW38" si="49">IF(AND(CC14&gt;$CO$13,CC14&lt;$CS$13),CC14,0)</f>
        <v>27179.8</v>
      </c>
      <c r="CX14" s="238">
        <f t="shared" ref="CX14:CX38" si="50">IF(AND(CD14&gt;$CP$13,CD14&lt;$CT$13),CD14,0)</f>
        <v>0</v>
      </c>
      <c r="CY14" s="238">
        <f t="shared" si="10"/>
        <v>0</v>
      </c>
      <c r="CZ14" s="238">
        <f t="shared" si="11"/>
        <v>0</v>
      </c>
      <c r="DA14" s="238">
        <f t="shared" ref="DA14:DA38" si="51">CW14*BO14</f>
        <v>1603608.2</v>
      </c>
      <c r="DB14" s="238">
        <f t="shared" ref="DB14:DB38" si="52">CX14*BP14</f>
        <v>0</v>
      </c>
      <c r="DC14" s="53">
        <v>14754550.600000001</v>
      </c>
      <c r="DD14" s="53">
        <v>5466714.4000000004</v>
      </c>
      <c r="DE14" s="56">
        <f t="shared" ref="DE14:DE38" si="53">DC14+DD14</f>
        <v>20221265</v>
      </c>
      <c r="DF14" s="53">
        <v>1785049.6</v>
      </c>
      <c r="DG14" s="53">
        <v>111565.6</v>
      </c>
      <c r="DH14" s="56">
        <f t="shared" ref="DH14:DH38" si="54">DF14+DG14</f>
        <v>1896615.2000000002</v>
      </c>
      <c r="DI14" s="56">
        <f t="shared" ref="DI14:DI38" si="55">DC14+DD14+DF14+DG14</f>
        <v>22117880.200000003</v>
      </c>
      <c r="DJ14" s="256">
        <f>3+526</f>
        <v>529</v>
      </c>
      <c r="DK14" s="256">
        <f>7+189</f>
        <v>196</v>
      </c>
      <c r="DL14" s="255">
        <f t="shared" ref="DL14:DL38" si="56">DJ14+DK14</f>
        <v>725</v>
      </c>
      <c r="DM14" s="256">
        <f>3+61</f>
        <v>64</v>
      </c>
      <c r="DN14" s="256">
        <v>4</v>
      </c>
      <c r="DO14" s="255">
        <f t="shared" ref="DO14:DO38" si="57">DM14+DN14</f>
        <v>68</v>
      </c>
      <c r="DP14" s="255">
        <f t="shared" ref="DP14:DP38" si="58">DJ14+DK14+DM14+DN14</f>
        <v>793</v>
      </c>
      <c r="DQ14" s="256">
        <f>45+7269.9</f>
        <v>7314.9</v>
      </c>
      <c r="DR14" s="256">
        <f>490+11716.3</f>
        <v>12206.3</v>
      </c>
      <c r="DS14" s="256">
        <f t="shared" ref="DS14:DS38" si="59">DQ14+DR14</f>
        <v>19521.199999999997</v>
      </c>
      <c r="DT14" s="256">
        <f>640+20190</f>
        <v>20830</v>
      </c>
      <c r="DU14" s="256">
        <v>3130</v>
      </c>
      <c r="DV14" s="59">
        <f t="shared" ref="DV14:DV38" si="60">DT14+DU14</f>
        <v>23960</v>
      </c>
      <c r="DW14" s="59">
        <f t="shared" ref="DW14:DW38" si="61">DQ14+DR14+DT14+DU14</f>
        <v>43481.2</v>
      </c>
      <c r="DX14" s="56">
        <f t="shared" ref="DX14:DX38" si="62">DC14/DJ14</f>
        <v>27891.4</v>
      </c>
      <c r="DY14" s="56">
        <f t="shared" ref="DY14:DY33" si="63">DD14/DK14</f>
        <v>27891.4</v>
      </c>
      <c r="DZ14" s="56">
        <f t="shared" ref="DZ14:DZ38" si="64">DE14/DL14</f>
        <v>27891.4</v>
      </c>
      <c r="EA14" s="56">
        <f t="shared" ref="EA14:EA30" si="65">DF14/DM14</f>
        <v>27891.4</v>
      </c>
      <c r="EB14" s="56">
        <f t="shared" ref="EB14:EB30" si="66">DG14/DN14</f>
        <v>27891.4</v>
      </c>
      <c r="EC14" s="56">
        <f t="shared" ref="EC14:EC30" si="67">DH14/DO14</f>
        <v>27891.4</v>
      </c>
      <c r="ED14" s="56">
        <f t="shared" si="15"/>
        <v>27891.400000000005</v>
      </c>
      <c r="EE14" s="273"/>
      <c r="EF14" s="274"/>
      <c r="EG14" s="274"/>
      <c r="EH14" s="274"/>
      <c r="EI14" s="274"/>
      <c r="EJ14" s="274"/>
      <c r="EK14" s="274"/>
      <c r="EL14" s="274"/>
      <c r="EM14" s="274"/>
      <c r="EN14" s="274"/>
      <c r="EO14" s="274"/>
      <c r="EP14" s="274"/>
      <c r="EQ14" s="274"/>
      <c r="ER14" s="274"/>
      <c r="ES14" s="274"/>
      <c r="ET14" s="274"/>
      <c r="EU14" s="273">
        <f t="shared" si="16"/>
        <v>0</v>
      </c>
      <c r="EV14" s="273">
        <f t="shared" si="17"/>
        <v>0</v>
      </c>
      <c r="EW14" s="273">
        <f t="shared" si="18"/>
        <v>27891.4</v>
      </c>
      <c r="EX14" s="273">
        <f t="shared" ref="EX14:EX38" si="68">IF(AND(ED14&gt;$EP$13,ED14&lt;$ET$13),ED14,0)</f>
        <v>0</v>
      </c>
      <c r="EY14" s="273">
        <f t="shared" si="19"/>
        <v>0</v>
      </c>
      <c r="EZ14" s="273">
        <f t="shared" si="20"/>
        <v>0</v>
      </c>
      <c r="FA14" s="273">
        <f t="shared" ref="FA14:FA38" si="69">EW14*DO14</f>
        <v>1896615.2000000002</v>
      </c>
      <c r="FB14" s="273">
        <f t="shared" ref="FB14:FB38" si="70">EX14*DP14</f>
        <v>0</v>
      </c>
      <c r="FC14" s="56"/>
      <c r="FD14" s="56"/>
      <c r="FE14" s="56"/>
      <c r="FF14" s="56"/>
      <c r="FG14" s="47"/>
      <c r="FH14" s="47"/>
      <c r="FI14" s="47"/>
      <c r="FJ14" s="47"/>
    </row>
    <row r="15" spans="1:166" ht="28.8" x14ac:dyDescent="0.3">
      <c r="A15" s="48" t="s">
        <v>5</v>
      </c>
      <c r="B15" s="258" t="s">
        <v>11</v>
      </c>
      <c r="C15" s="53">
        <v>14210602</v>
      </c>
      <c r="D15" s="53">
        <v>2581317</v>
      </c>
      <c r="E15" s="53">
        <f t="shared" si="21"/>
        <v>16791919</v>
      </c>
      <c r="F15" s="53">
        <v>0</v>
      </c>
      <c r="G15" s="53">
        <v>0</v>
      </c>
      <c r="H15" s="53">
        <f t="shared" si="0"/>
        <v>0</v>
      </c>
      <c r="I15" s="56">
        <f t="shared" si="22"/>
        <v>16791919</v>
      </c>
      <c r="J15" s="252">
        <v>356</v>
      </c>
      <c r="K15" s="252">
        <v>35</v>
      </c>
      <c r="L15" s="252">
        <f t="shared" ref="L15:L38" si="71">J15+K15</f>
        <v>391</v>
      </c>
      <c r="M15" s="253">
        <v>0</v>
      </c>
      <c r="N15" s="252">
        <v>0</v>
      </c>
      <c r="O15" s="252">
        <f t="shared" si="23"/>
        <v>0</v>
      </c>
      <c r="P15" s="56">
        <f t="shared" si="24"/>
        <v>391</v>
      </c>
      <c r="Q15" s="252">
        <v>4550</v>
      </c>
      <c r="R15" s="252">
        <v>2439</v>
      </c>
      <c r="S15" s="59">
        <f t="shared" si="25"/>
        <v>6989</v>
      </c>
      <c r="T15" s="252">
        <v>0</v>
      </c>
      <c r="U15" s="252">
        <v>0</v>
      </c>
      <c r="V15" s="256">
        <f t="shared" si="26"/>
        <v>0</v>
      </c>
      <c r="W15" s="56">
        <f t="shared" si="27"/>
        <v>6989</v>
      </c>
      <c r="X15" s="56">
        <f t="shared" ref="X15:Z16" si="72">C15/J15</f>
        <v>39917.421348314609</v>
      </c>
      <c r="Y15" s="56">
        <f t="shared" si="72"/>
        <v>73751.914285714287</v>
      </c>
      <c r="Z15" s="56">
        <f t="shared" si="72"/>
        <v>42946.084398976986</v>
      </c>
      <c r="AA15" s="56"/>
      <c r="AB15" s="56"/>
      <c r="AC15" s="56"/>
      <c r="AD15" s="56">
        <f t="shared" si="2"/>
        <v>42946.084398976986</v>
      </c>
      <c r="AE15" s="269"/>
      <c r="AF15" s="270"/>
      <c r="AG15" s="269"/>
      <c r="AH15" s="269"/>
      <c r="AI15" s="269"/>
      <c r="AJ15" s="269"/>
      <c r="AK15" s="270"/>
      <c r="AL15" s="270"/>
      <c r="AM15" s="270"/>
      <c r="AN15" s="267"/>
      <c r="AO15" s="267"/>
      <c r="AP15" s="267"/>
      <c r="AQ15" s="267"/>
      <c r="AR15" s="267"/>
      <c r="AS15" s="267"/>
      <c r="AT15" s="267"/>
      <c r="AU15" s="269">
        <f t="shared" si="3"/>
        <v>0</v>
      </c>
      <c r="AV15" s="269">
        <f t="shared" si="4"/>
        <v>0</v>
      </c>
      <c r="AW15" s="269">
        <f t="shared" si="29"/>
        <v>0</v>
      </c>
      <c r="AX15" s="269">
        <f t="shared" si="30"/>
        <v>0</v>
      </c>
      <c r="AY15" s="269">
        <f t="shared" si="5"/>
        <v>0</v>
      </c>
      <c r="AZ15" s="269">
        <f t="shared" si="6"/>
        <v>0</v>
      </c>
      <c r="BA15" s="269">
        <f t="shared" si="31"/>
        <v>0</v>
      </c>
      <c r="BB15" s="269">
        <f t="shared" si="32"/>
        <v>0</v>
      </c>
      <c r="BC15" s="53">
        <v>8485933</v>
      </c>
      <c r="BD15" s="53">
        <v>206095</v>
      </c>
      <c r="BE15" s="56">
        <f t="shared" si="33"/>
        <v>8692028</v>
      </c>
      <c r="BF15" s="53">
        <v>50032</v>
      </c>
      <c r="BG15" s="53"/>
      <c r="BH15" s="56">
        <f t="shared" si="34"/>
        <v>50032</v>
      </c>
      <c r="BI15" s="56">
        <f t="shared" si="35"/>
        <v>8742060</v>
      </c>
      <c r="BJ15" s="252">
        <v>402</v>
      </c>
      <c r="BK15" s="252">
        <v>3</v>
      </c>
      <c r="BL15" s="252">
        <f t="shared" si="36"/>
        <v>405</v>
      </c>
      <c r="BM15" s="252">
        <v>1</v>
      </c>
      <c r="BN15" s="252"/>
      <c r="BO15" s="252">
        <f t="shared" si="37"/>
        <v>1</v>
      </c>
      <c r="BP15" s="56">
        <f t="shared" si="38"/>
        <v>406</v>
      </c>
      <c r="BQ15" s="252">
        <v>7753</v>
      </c>
      <c r="BR15" s="252">
        <v>208</v>
      </c>
      <c r="BS15" s="59">
        <f t="shared" si="39"/>
        <v>7961</v>
      </c>
      <c r="BT15" s="252">
        <v>225</v>
      </c>
      <c r="BU15" s="252"/>
      <c r="BV15" s="59">
        <f t="shared" si="40"/>
        <v>225</v>
      </c>
      <c r="BW15" s="56">
        <f t="shared" si="41"/>
        <v>8186</v>
      </c>
      <c r="BX15" s="56">
        <f t="shared" si="42"/>
        <v>21109.286069651742</v>
      </c>
      <c r="BY15" s="56">
        <f t="shared" si="43"/>
        <v>68698.333333333328</v>
      </c>
      <c r="BZ15" s="56">
        <f t="shared" si="44"/>
        <v>21461.797530864198</v>
      </c>
      <c r="CA15" s="56">
        <f t="shared" si="45"/>
        <v>50032</v>
      </c>
      <c r="CB15" s="56"/>
      <c r="CC15" s="56">
        <f t="shared" si="47"/>
        <v>50032</v>
      </c>
      <c r="CD15" s="56">
        <f t="shared" si="48"/>
        <v>21532.167487684728</v>
      </c>
      <c r="CE15" s="238"/>
      <c r="CF15" s="241"/>
      <c r="CG15" s="241"/>
      <c r="CH15" s="241"/>
      <c r="CI15" s="241"/>
      <c r="CJ15" s="241"/>
      <c r="CK15" s="241"/>
      <c r="CL15" s="241"/>
      <c r="CM15" s="241"/>
      <c r="CN15" s="241"/>
      <c r="CO15" s="241"/>
      <c r="CP15" s="241"/>
      <c r="CQ15" s="241"/>
      <c r="CR15" s="241"/>
      <c r="CS15" s="241"/>
      <c r="CT15" s="241"/>
      <c r="CU15" s="238">
        <f t="shared" si="8"/>
        <v>0</v>
      </c>
      <c r="CV15" s="238">
        <f t="shared" si="9"/>
        <v>0</v>
      </c>
      <c r="CW15" s="238">
        <f t="shared" si="49"/>
        <v>50032</v>
      </c>
      <c r="CX15" s="238">
        <f t="shared" si="50"/>
        <v>0</v>
      </c>
      <c r="CY15" s="238">
        <f t="shared" si="10"/>
        <v>0</v>
      </c>
      <c r="CZ15" s="238">
        <f t="shared" si="11"/>
        <v>0</v>
      </c>
      <c r="DA15" s="238">
        <f t="shared" si="51"/>
        <v>50032</v>
      </c>
      <c r="DB15" s="238">
        <f t="shared" si="52"/>
        <v>0</v>
      </c>
      <c r="DC15" s="53">
        <v>10127114</v>
      </c>
      <c r="DD15" s="53">
        <v>219896</v>
      </c>
      <c r="DE15" s="56">
        <f t="shared" si="53"/>
        <v>10347010</v>
      </c>
      <c r="DF15" s="53"/>
      <c r="DG15" s="53"/>
      <c r="DH15" s="56">
        <f t="shared" si="54"/>
        <v>0</v>
      </c>
      <c r="DI15" s="56">
        <f t="shared" si="55"/>
        <v>10347010</v>
      </c>
      <c r="DJ15" s="252">
        <v>256</v>
      </c>
      <c r="DK15" s="252">
        <v>3</v>
      </c>
      <c r="DL15" s="56">
        <f t="shared" si="56"/>
        <v>259</v>
      </c>
      <c r="DM15" s="252"/>
      <c r="DN15" s="252"/>
      <c r="DO15" s="56">
        <f t="shared" si="57"/>
        <v>0</v>
      </c>
      <c r="DP15" s="56">
        <f t="shared" si="58"/>
        <v>259</v>
      </c>
      <c r="DQ15" s="252">
        <v>216</v>
      </c>
      <c r="DR15" s="252">
        <v>3840</v>
      </c>
      <c r="DS15" s="59">
        <f t="shared" si="59"/>
        <v>4056</v>
      </c>
      <c r="DT15" s="252"/>
      <c r="DU15" s="252"/>
      <c r="DV15" s="59">
        <f t="shared" si="60"/>
        <v>0</v>
      </c>
      <c r="DW15" s="59">
        <f t="shared" si="61"/>
        <v>4056</v>
      </c>
      <c r="DX15" s="56">
        <f t="shared" si="62"/>
        <v>39559.0390625</v>
      </c>
      <c r="DY15" s="56">
        <f>DD15/DK15</f>
        <v>73298.666666666672</v>
      </c>
      <c r="DZ15" s="56">
        <f t="shared" si="64"/>
        <v>39949.845559845562</v>
      </c>
      <c r="EA15" s="56"/>
      <c r="EB15" s="56"/>
      <c r="EC15" s="56"/>
      <c r="ED15" s="56">
        <f t="shared" si="15"/>
        <v>39949.845559845562</v>
      </c>
      <c r="EE15" s="273"/>
      <c r="EF15" s="274"/>
      <c r="EG15" s="274"/>
      <c r="EH15" s="274"/>
      <c r="EI15" s="274"/>
      <c r="EJ15" s="274"/>
      <c r="EK15" s="274"/>
      <c r="EL15" s="274"/>
      <c r="EM15" s="274"/>
      <c r="EN15" s="274"/>
      <c r="EO15" s="274"/>
      <c r="EP15" s="274"/>
      <c r="EQ15" s="274"/>
      <c r="ER15" s="274"/>
      <c r="ES15" s="274"/>
      <c r="ET15" s="274"/>
      <c r="EU15" s="273">
        <f t="shared" si="16"/>
        <v>0</v>
      </c>
      <c r="EV15" s="273">
        <f t="shared" si="17"/>
        <v>0</v>
      </c>
      <c r="EW15" s="273">
        <f t="shared" si="18"/>
        <v>0</v>
      </c>
      <c r="EX15" s="273">
        <f t="shared" si="68"/>
        <v>0</v>
      </c>
      <c r="EY15" s="273">
        <f t="shared" si="19"/>
        <v>0</v>
      </c>
      <c r="EZ15" s="273">
        <f t="shared" si="20"/>
        <v>0</v>
      </c>
      <c r="FA15" s="273">
        <f t="shared" si="69"/>
        <v>0</v>
      </c>
      <c r="FB15" s="273">
        <f t="shared" si="70"/>
        <v>0</v>
      </c>
      <c r="FC15" s="56"/>
      <c r="FD15" s="56"/>
      <c r="FE15" s="56"/>
      <c r="FF15" s="56"/>
      <c r="FG15" s="47"/>
      <c r="FH15" s="47"/>
      <c r="FI15" s="47"/>
      <c r="FJ15" s="47"/>
    </row>
    <row r="16" spans="1:166" s="46" customFormat="1" x14ac:dyDescent="0.3">
      <c r="A16" s="61" t="s">
        <v>6</v>
      </c>
      <c r="B16" s="258" t="s">
        <v>12</v>
      </c>
      <c r="C16" s="53">
        <v>2589642</v>
      </c>
      <c r="D16" s="53">
        <v>2305840</v>
      </c>
      <c r="E16" s="53">
        <f t="shared" si="21"/>
        <v>4895482</v>
      </c>
      <c r="F16" s="53">
        <v>1139547</v>
      </c>
      <c r="G16" s="53"/>
      <c r="H16" s="53">
        <f t="shared" si="0"/>
        <v>1139547</v>
      </c>
      <c r="I16" s="56">
        <f t="shared" si="22"/>
        <v>6035029</v>
      </c>
      <c r="J16" s="252">
        <v>139</v>
      </c>
      <c r="K16" s="252">
        <v>98</v>
      </c>
      <c r="L16" s="252">
        <f t="shared" si="71"/>
        <v>237</v>
      </c>
      <c r="M16" s="252">
        <v>5</v>
      </c>
      <c r="N16" s="252"/>
      <c r="O16" s="252">
        <f t="shared" si="23"/>
        <v>5</v>
      </c>
      <c r="P16" s="56">
        <f t="shared" si="24"/>
        <v>242</v>
      </c>
      <c r="Q16" s="252">
        <v>1703.54</v>
      </c>
      <c r="R16" s="252">
        <v>2897.67</v>
      </c>
      <c r="S16" s="59">
        <f t="shared" si="25"/>
        <v>4601.21</v>
      </c>
      <c r="T16" s="252">
        <v>1884</v>
      </c>
      <c r="U16" s="252"/>
      <c r="V16" s="256">
        <f t="shared" si="26"/>
        <v>1884</v>
      </c>
      <c r="W16" s="56">
        <f t="shared" si="27"/>
        <v>6485.21</v>
      </c>
      <c r="X16" s="56">
        <f t="shared" si="72"/>
        <v>18630.51798561151</v>
      </c>
      <c r="Y16" s="56">
        <f t="shared" si="72"/>
        <v>23528.979591836734</v>
      </c>
      <c r="Z16" s="56">
        <f t="shared" si="72"/>
        <v>20656.042194092828</v>
      </c>
      <c r="AA16" s="56">
        <f>F16/M16</f>
        <v>227909.4</v>
      </c>
      <c r="AB16" s="56"/>
      <c r="AC16" s="56">
        <f t="shared" si="28"/>
        <v>227909.4</v>
      </c>
      <c r="AD16" s="56">
        <f t="shared" si="2"/>
        <v>24938.136363636364</v>
      </c>
      <c r="AE16" s="269"/>
      <c r="AF16" s="270"/>
      <c r="AG16" s="269"/>
      <c r="AH16" s="269"/>
      <c r="AI16" s="269"/>
      <c r="AJ16" s="269"/>
      <c r="AK16" s="270"/>
      <c r="AL16" s="270"/>
      <c r="AM16" s="270"/>
      <c r="AN16" s="267"/>
      <c r="AO16" s="267"/>
      <c r="AP16" s="267"/>
      <c r="AQ16" s="267"/>
      <c r="AR16" s="267"/>
      <c r="AS16" s="267"/>
      <c r="AT16" s="267"/>
      <c r="AU16" s="269">
        <f t="shared" si="3"/>
        <v>18630.51798561151</v>
      </c>
      <c r="AV16" s="269">
        <f t="shared" si="4"/>
        <v>20656.042194092828</v>
      </c>
      <c r="AW16" s="269">
        <f t="shared" si="29"/>
        <v>0</v>
      </c>
      <c r="AX16" s="269">
        <f t="shared" si="30"/>
        <v>24938.136363636364</v>
      </c>
      <c r="AY16" s="269">
        <f t="shared" si="5"/>
        <v>2589642</v>
      </c>
      <c r="AZ16" s="269">
        <f t="shared" si="6"/>
        <v>4895482</v>
      </c>
      <c r="BA16" s="269">
        <f t="shared" si="31"/>
        <v>0</v>
      </c>
      <c r="BB16" s="269">
        <f t="shared" si="32"/>
        <v>6035029</v>
      </c>
      <c r="BC16" s="53">
        <v>4854694</v>
      </c>
      <c r="BD16" s="53">
        <v>2152165</v>
      </c>
      <c r="BE16" s="56">
        <f t="shared" si="33"/>
        <v>7006859</v>
      </c>
      <c r="BF16" s="53">
        <v>184597</v>
      </c>
      <c r="BG16" s="53"/>
      <c r="BH16" s="56">
        <f t="shared" si="34"/>
        <v>184597</v>
      </c>
      <c r="BI16" s="56">
        <f t="shared" si="35"/>
        <v>7191456</v>
      </c>
      <c r="BJ16" s="252">
        <v>229</v>
      </c>
      <c r="BK16" s="252">
        <v>69</v>
      </c>
      <c r="BL16" s="252">
        <f t="shared" si="36"/>
        <v>298</v>
      </c>
      <c r="BM16" s="252">
        <v>4</v>
      </c>
      <c r="BN16" s="252"/>
      <c r="BO16" s="252">
        <f t="shared" si="37"/>
        <v>4</v>
      </c>
      <c r="BP16" s="56">
        <f t="shared" si="38"/>
        <v>302</v>
      </c>
      <c r="BQ16" s="252">
        <v>2552.6</v>
      </c>
      <c r="BR16" s="252">
        <v>3131.59</v>
      </c>
      <c r="BS16" s="59">
        <f t="shared" si="39"/>
        <v>5684.1900000000005</v>
      </c>
      <c r="BT16" s="252">
        <v>564.29999999999995</v>
      </c>
      <c r="BU16" s="252"/>
      <c r="BV16" s="59">
        <f t="shared" si="40"/>
        <v>564.29999999999995</v>
      </c>
      <c r="BW16" s="56">
        <f t="shared" si="41"/>
        <v>6248.4900000000007</v>
      </c>
      <c r="BX16" s="56">
        <f t="shared" si="42"/>
        <v>21199.537117903928</v>
      </c>
      <c r="BY16" s="56">
        <f t="shared" si="43"/>
        <v>31190.797101449276</v>
      </c>
      <c r="BZ16" s="56">
        <f t="shared" si="44"/>
        <v>23512.949664429529</v>
      </c>
      <c r="CA16" s="56">
        <f t="shared" si="45"/>
        <v>46149.25</v>
      </c>
      <c r="CB16" s="56"/>
      <c r="CC16" s="56">
        <f t="shared" si="47"/>
        <v>46149.25</v>
      </c>
      <c r="CD16" s="56">
        <f t="shared" si="48"/>
        <v>23812.768211920531</v>
      </c>
      <c r="CE16" s="238"/>
      <c r="CF16" s="241"/>
      <c r="CG16" s="241"/>
      <c r="CH16" s="241"/>
      <c r="CI16" s="241"/>
      <c r="CJ16" s="241"/>
      <c r="CK16" s="241"/>
      <c r="CL16" s="241"/>
      <c r="CM16" s="241"/>
      <c r="CN16" s="241"/>
      <c r="CO16" s="241"/>
      <c r="CP16" s="241"/>
      <c r="CQ16" s="241"/>
      <c r="CR16" s="241"/>
      <c r="CS16" s="241"/>
      <c r="CT16" s="241"/>
      <c r="CU16" s="238">
        <f t="shared" si="8"/>
        <v>0</v>
      </c>
      <c r="CV16" s="238">
        <f t="shared" si="9"/>
        <v>0</v>
      </c>
      <c r="CW16" s="238">
        <f t="shared" si="49"/>
        <v>46149.25</v>
      </c>
      <c r="CX16" s="238">
        <f t="shared" si="50"/>
        <v>0</v>
      </c>
      <c r="CY16" s="238">
        <f t="shared" si="10"/>
        <v>0</v>
      </c>
      <c r="CZ16" s="238">
        <f t="shared" si="11"/>
        <v>0</v>
      </c>
      <c r="DA16" s="238">
        <f t="shared" si="51"/>
        <v>184597</v>
      </c>
      <c r="DB16" s="238">
        <f t="shared" si="52"/>
        <v>0</v>
      </c>
      <c r="DC16" s="53">
        <v>4315890</v>
      </c>
      <c r="DD16" s="53">
        <v>1745210</v>
      </c>
      <c r="DE16" s="56">
        <f t="shared" si="53"/>
        <v>6061100</v>
      </c>
      <c r="DF16" s="53">
        <v>654340</v>
      </c>
      <c r="DG16" s="53"/>
      <c r="DH16" s="56">
        <f t="shared" si="54"/>
        <v>654340</v>
      </c>
      <c r="DI16" s="56">
        <f t="shared" si="55"/>
        <v>6715440</v>
      </c>
      <c r="DJ16" s="252">
        <v>245</v>
      </c>
      <c r="DK16" s="252">
        <v>60</v>
      </c>
      <c r="DL16" s="56">
        <f t="shared" si="56"/>
        <v>305</v>
      </c>
      <c r="DM16" s="252">
        <v>7</v>
      </c>
      <c r="DN16" s="252"/>
      <c r="DO16" s="56">
        <f t="shared" si="57"/>
        <v>7</v>
      </c>
      <c r="DP16" s="56">
        <f t="shared" si="58"/>
        <v>312</v>
      </c>
      <c r="DQ16" s="252">
        <v>2511.09</v>
      </c>
      <c r="DR16" s="252">
        <v>2806.58</v>
      </c>
      <c r="DS16" s="56">
        <f>DQ16+DR16</f>
        <v>5317.67</v>
      </c>
      <c r="DT16" s="252">
        <v>2315</v>
      </c>
      <c r="DU16" s="252"/>
      <c r="DV16" s="56">
        <f t="shared" si="60"/>
        <v>2315</v>
      </c>
      <c r="DW16" s="59">
        <f t="shared" si="61"/>
        <v>7632.67</v>
      </c>
      <c r="DX16" s="56">
        <f t="shared" si="62"/>
        <v>17615.877551020407</v>
      </c>
      <c r="DY16" s="56">
        <f t="shared" si="63"/>
        <v>29086.833333333332</v>
      </c>
      <c r="DZ16" s="56">
        <f t="shared" si="64"/>
        <v>19872.459016393441</v>
      </c>
      <c r="EA16" s="56">
        <f t="shared" si="65"/>
        <v>93477.142857142855</v>
      </c>
      <c r="EB16" s="56"/>
      <c r="EC16" s="56">
        <f>DH16/DO16</f>
        <v>93477.142857142855</v>
      </c>
      <c r="ED16" s="56">
        <f t="shared" si="15"/>
        <v>21523.846153846152</v>
      </c>
      <c r="EE16" s="273"/>
      <c r="EF16" s="274"/>
      <c r="EG16" s="274"/>
      <c r="EH16" s="274"/>
      <c r="EI16" s="274"/>
      <c r="EJ16" s="274"/>
      <c r="EK16" s="274"/>
      <c r="EL16" s="274"/>
      <c r="EM16" s="274"/>
      <c r="EN16" s="274"/>
      <c r="EO16" s="274"/>
      <c r="EP16" s="274"/>
      <c r="EQ16" s="274"/>
      <c r="ER16" s="274"/>
      <c r="ES16" s="274"/>
      <c r="ET16" s="274"/>
      <c r="EU16" s="273">
        <f t="shared" si="16"/>
        <v>17615.877551020407</v>
      </c>
      <c r="EV16" s="273">
        <f t="shared" si="17"/>
        <v>19872.459016393441</v>
      </c>
      <c r="EW16" s="273">
        <f t="shared" si="18"/>
        <v>93477.142857142855</v>
      </c>
      <c r="EX16" s="273">
        <f t="shared" si="68"/>
        <v>21523.846153846152</v>
      </c>
      <c r="EY16" s="273">
        <f t="shared" si="19"/>
        <v>4315890</v>
      </c>
      <c r="EZ16" s="273">
        <f t="shared" si="20"/>
        <v>6061099.9999999991</v>
      </c>
      <c r="FA16" s="273">
        <f t="shared" si="69"/>
        <v>654340</v>
      </c>
      <c r="FB16" s="273">
        <f t="shared" si="70"/>
        <v>6715440</v>
      </c>
      <c r="FC16" s="56"/>
      <c r="FD16" s="56"/>
      <c r="FE16" s="56"/>
      <c r="FF16" s="56"/>
      <c r="FG16" s="230"/>
      <c r="FH16" s="230"/>
      <c r="FI16" s="230"/>
      <c r="FJ16" s="230"/>
    </row>
    <row r="17" spans="1:166" x14ac:dyDescent="0.3">
      <c r="A17" s="48" t="s">
        <v>7</v>
      </c>
      <c r="B17" s="258" t="s">
        <v>13</v>
      </c>
      <c r="C17" s="53">
        <v>556671</v>
      </c>
      <c r="D17" s="53"/>
      <c r="E17" s="53">
        <f t="shared" si="21"/>
        <v>556671</v>
      </c>
      <c r="F17" s="53"/>
      <c r="G17" s="53"/>
      <c r="H17" s="53">
        <f t="shared" si="0"/>
        <v>0</v>
      </c>
      <c r="I17" s="56">
        <f t="shared" si="22"/>
        <v>556671</v>
      </c>
      <c r="J17" s="252">
        <v>119</v>
      </c>
      <c r="K17" s="252"/>
      <c r="L17" s="252">
        <f t="shared" si="71"/>
        <v>119</v>
      </c>
      <c r="M17" s="252"/>
      <c r="N17" s="252"/>
      <c r="O17" s="252">
        <f t="shared" si="23"/>
        <v>0</v>
      </c>
      <c r="P17" s="56">
        <f t="shared" si="24"/>
        <v>119</v>
      </c>
      <c r="Q17" s="252">
        <v>1201</v>
      </c>
      <c r="R17" s="252"/>
      <c r="S17" s="59">
        <f t="shared" si="25"/>
        <v>1201</v>
      </c>
      <c r="T17" s="252"/>
      <c r="U17" s="252"/>
      <c r="V17" s="256">
        <f t="shared" si="26"/>
        <v>0</v>
      </c>
      <c r="W17" s="56">
        <f t="shared" si="27"/>
        <v>1201</v>
      </c>
      <c r="X17" s="56">
        <f t="shared" ref="X17:X31" si="73">C17/J17</f>
        <v>4677.90756302521</v>
      </c>
      <c r="Y17" s="56"/>
      <c r="Z17" s="56">
        <f t="shared" ref="Z17:Z31" si="74">E17/L17</f>
        <v>4677.90756302521</v>
      </c>
      <c r="AA17" s="56"/>
      <c r="AB17" s="56"/>
      <c r="AC17" s="56"/>
      <c r="AD17" s="56">
        <f t="shared" si="2"/>
        <v>4677.90756302521</v>
      </c>
      <c r="AE17" s="269"/>
      <c r="AF17" s="270"/>
      <c r="AG17" s="269"/>
      <c r="AH17" s="269"/>
      <c r="AI17" s="269"/>
      <c r="AJ17" s="269"/>
      <c r="AK17" s="270"/>
      <c r="AL17" s="270"/>
      <c r="AM17" s="270"/>
      <c r="AN17" s="267"/>
      <c r="AO17" s="267"/>
      <c r="AP17" s="267"/>
      <c r="AQ17" s="267"/>
      <c r="AR17" s="267"/>
      <c r="AS17" s="267"/>
      <c r="AT17" s="267"/>
      <c r="AU17" s="269">
        <f t="shared" si="3"/>
        <v>4677.90756302521</v>
      </c>
      <c r="AV17" s="269">
        <f t="shared" si="4"/>
        <v>4677.90756302521</v>
      </c>
      <c r="AW17" s="269">
        <f t="shared" si="29"/>
        <v>0</v>
      </c>
      <c r="AX17" s="269">
        <f t="shared" si="30"/>
        <v>4677.90756302521</v>
      </c>
      <c r="AY17" s="269">
        <f t="shared" si="5"/>
        <v>556671</v>
      </c>
      <c r="AZ17" s="269">
        <f t="shared" si="6"/>
        <v>556671</v>
      </c>
      <c r="BA17" s="269">
        <f t="shared" si="31"/>
        <v>0</v>
      </c>
      <c r="BB17" s="269">
        <f t="shared" si="32"/>
        <v>556671</v>
      </c>
      <c r="BC17" s="53">
        <v>294208</v>
      </c>
      <c r="BD17" s="53"/>
      <c r="BE17" s="56">
        <f t="shared" si="33"/>
        <v>294208</v>
      </c>
      <c r="BF17" s="53"/>
      <c r="BG17" s="53"/>
      <c r="BH17" s="56">
        <f t="shared" si="34"/>
        <v>0</v>
      </c>
      <c r="BI17" s="56">
        <f t="shared" si="35"/>
        <v>294208</v>
      </c>
      <c r="BJ17" s="252">
        <v>79</v>
      </c>
      <c r="BK17" s="252"/>
      <c r="BL17" s="252">
        <f t="shared" si="36"/>
        <v>79</v>
      </c>
      <c r="BM17" s="252"/>
      <c r="BN17" s="252"/>
      <c r="BO17" s="252">
        <f t="shared" si="37"/>
        <v>0</v>
      </c>
      <c r="BP17" s="56">
        <f t="shared" si="38"/>
        <v>79</v>
      </c>
      <c r="BQ17" s="252">
        <v>877.875</v>
      </c>
      <c r="BR17" s="252"/>
      <c r="BS17" s="59">
        <f t="shared" si="39"/>
        <v>877.875</v>
      </c>
      <c r="BT17" s="252"/>
      <c r="BU17" s="252"/>
      <c r="BV17" s="59">
        <f t="shared" si="40"/>
        <v>0</v>
      </c>
      <c r="BW17" s="56">
        <f t="shared" si="41"/>
        <v>877.875</v>
      </c>
      <c r="BX17" s="56">
        <f t="shared" si="42"/>
        <v>3724.1518987341774</v>
      </c>
      <c r="BY17" s="56"/>
      <c r="BZ17" s="56">
        <f t="shared" si="44"/>
        <v>3724.1518987341774</v>
      </c>
      <c r="CA17" s="56"/>
      <c r="CB17" s="56"/>
      <c r="CC17" s="56"/>
      <c r="CD17" s="56">
        <f t="shared" si="48"/>
        <v>3724.1518987341774</v>
      </c>
      <c r="CE17" s="238"/>
      <c r="CF17" s="241"/>
      <c r="CG17" s="241"/>
      <c r="CH17" s="241"/>
      <c r="CI17" s="241"/>
      <c r="CJ17" s="241"/>
      <c r="CK17" s="241"/>
      <c r="CL17" s="241"/>
      <c r="CM17" s="241"/>
      <c r="CN17" s="241"/>
      <c r="CO17" s="241"/>
      <c r="CP17" s="241"/>
      <c r="CQ17" s="241"/>
      <c r="CR17" s="241"/>
      <c r="CS17" s="241"/>
      <c r="CT17" s="241"/>
      <c r="CU17" s="238">
        <f t="shared" si="8"/>
        <v>3724.1518987341774</v>
      </c>
      <c r="CV17" s="238">
        <f t="shared" si="9"/>
        <v>3724.1518987341774</v>
      </c>
      <c r="CW17" s="238">
        <f t="shared" si="49"/>
        <v>0</v>
      </c>
      <c r="CX17" s="238">
        <f t="shared" si="50"/>
        <v>3724.1518987341774</v>
      </c>
      <c r="CY17" s="238">
        <f t="shared" si="10"/>
        <v>294208</v>
      </c>
      <c r="CZ17" s="238">
        <f t="shared" si="11"/>
        <v>294208</v>
      </c>
      <c r="DA17" s="238">
        <f t="shared" si="51"/>
        <v>0</v>
      </c>
      <c r="DB17" s="238">
        <f t="shared" si="52"/>
        <v>294208</v>
      </c>
      <c r="DC17" s="53">
        <v>274641</v>
      </c>
      <c r="DD17" s="53"/>
      <c r="DE17" s="56">
        <f t="shared" si="53"/>
        <v>274641</v>
      </c>
      <c r="DF17" s="53"/>
      <c r="DG17" s="53"/>
      <c r="DH17" s="56">
        <f t="shared" si="54"/>
        <v>0</v>
      </c>
      <c r="DI17" s="56">
        <f t="shared" si="55"/>
        <v>274641</v>
      </c>
      <c r="DJ17" s="252">
        <v>107</v>
      </c>
      <c r="DK17" s="252"/>
      <c r="DL17" s="56">
        <f t="shared" si="56"/>
        <v>107</v>
      </c>
      <c r="DM17" s="252"/>
      <c r="DN17" s="252"/>
      <c r="DO17" s="56">
        <f t="shared" si="57"/>
        <v>0</v>
      </c>
      <c r="DP17" s="56">
        <f t="shared" si="58"/>
        <v>107</v>
      </c>
      <c r="DQ17" s="252">
        <v>1134.06</v>
      </c>
      <c r="DR17" s="252"/>
      <c r="DS17" s="56">
        <f t="shared" si="59"/>
        <v>1134.06</v>
      </c>
      <c r="DT17" s="252"/>
      <c r="DU17" s="252"/>
      <c r="DV17" s="56">
        <f t="shared" si="60"/>
        <v>0</v>
      </c>
      <c r="DW17" s="59">
        <f t="shared" si="61"/>
        <v>1134.06</v>
      </c>
      <c r="DX17" s="56">
        <f t="shared" si="62"/>
        <v>2566.7383177570096</v>
      </c>
      <c r="DY17" s="56"/>
      <c r="DZ17" s="56">
        <f t="shared" si="64"/>
        <v>2566.7383177570096</v>
      </c>
      <c r="EA17" s="56"/>
      <c r="EB17" s="56"/>
      <c r="EC17" s="56"/>
      <c r="ED17" s="56">
        <f t="shared" si="15"/>
        <v>2566.7383177570096</v>
      </c>
      <c r="EE17" s="273"/>
      <c r="EF17" s="274"/>
      <c r="EG17" s="274"/>
      <c r="EH17" s="274"/>
      <c r="EI17" s="274"/>
      <c r="EJ17" s="274"/>
      <c r="EK17" s="274"/>
      <c r="EL17" s="274"/>
      <c r="EM17" s="274"/>
      <c r="EN17" s="274"/>
      <c r="EO17" s="274"/>
      <c r="EP17" s="274"/>
      <c r="EQ17" s="274"/>
      <c r="ER17" s="274"/>
      <c r="ES17" s="274"/>
      <c r="ET17" s="274"/>
      <c r="EU17" s="273">
        <f t="shared" si="16"/>
        <v>2566.7383177570096</v>
      </c>
      <c r="EV17" s="273">
        <f t="shared" si="17"/>
        <v>2566.7383177570096</v>
      </c>
      <c r="EW17" s="273">
        <f t="shared" si="18"/>
        <v>0</v>
      </c>
      <c r="EX17" s="273">
        <f t="shared" si="68"/>
        <v>2566.7383177570096</v>
      </c>
      <c r="EY17" s="273">
        <f t="shared" si="19"/>
        <v>274641</v>
      </c>
      <c r="EZ17" s="273">
        <f t="shared" si="20"/>
        <v>274641</v>
      </c>
      <c r="FA17" s="273">
        <f t="shared" si="69"/>
        <v>0</v>
      </c>
      <c r="FB17" s="273">
        <f t="shared" si="70"/>
        <v>274641</v>
      </c>
      <c r="FC17" s="56"/>
      <c r="FD17" s="56"/>
      <c r="FE17" s="56"/>
      <c r="FF17" s="56"/>
      <c r="FG17" s="47"/>
      <c r="FH17" s="47"/>
      <c r="FI17" s="47"/>
      <c r="FJ17" s="47"/>
    </row>
    <row r="18" spans="1:166" x14ac:dyDescent="0.3">
      <c r="A18" s="48" t="s">
        <v>8</v>
      </c>
      <c r="B18" s="258" t="s">
        <v>14</v>
      </c>
      <c r="C18" s="53">
        <v>272248</v>
      </c>
      <c r="D18" s="53"/>
      <c r="E18" s="53">
        <f t="shared" si="21"/>
        <v>272248</v>
      </c>
      <c r="F18" s="53"/>
      <c r="G18" s="53"/>
      <c r="H18" s="53">
        <f t="shared" si="0"/>
        <v>0</v>
      </c>
      <c r="I18" s="56">
        <f t="shared" si="22"/>
        <v>272248</v>
      </c>
      <c r="J18" s="252">
        <v>50</v>
      </c>
      <c r="K18" s="252"/>
      <c r="L18" s="252">
        <f t="shared" si="71"/>
        <v>50</v>
      </c>
      <c r="M18" s="252"/>
      <c r="N18" s="252"/>
      <c r="O18" s="252">
        <f t="shared" si="23"/>
        <v>0</v>
      </c>
      <c r="P18" s="56">
        <f t="shared" si="24"/>
        <v>50</v>
      </c>
      <c r="Q18" s="252">
        <v>1303.4680000000001</v>
      </c>
      <c r="R18" s="252"/>
      <c r="S18" s="59">
        <f t="shared" si="25"/>
        <v>1303.4680000000001</v>
      </c>
      <c r="T18" s="252"/>
      <c r="U18" s="252"/>
      <c r="V18" s="256">
        <f t="shared" si="26"/>
        <v>0</v>
      </c>
      <c r="W18" s="56">
        <f t="shared" si="27"/>
        <v>1303.4680000000001</v>
      </c>
      <c r="X18" s="56">
        <f t="shared" si="73"/>
        <v>5444.96</v>
      </c>
      <c r="Y18" s="56"/>
      <c r="Z18" s="56">
        <f t="shared" si="74"/>
        <v>5444.96</v>
      </c>
      <c r="AA18" s="56"/>
      <c r="AB18" s="56"/>
      <c r="AC18" s="56"/>
      <c r="AD18" s="56">
        <f t="shared" si="2"/>
        <v>5444.96</v>
      </c>
      <c r="AE18" s="269"/>
      <c r="AF18" s="270"/>
      <c r="AG18" s="269"/>
      <c r="AH18" s="269"/>
      <c r="AI18" s="269"/>
      <c r="AJ18" s="269"/>
      <c r="AK18" s="270"/>
      <c r="AL18" s="270"/>
      <c r="AM18" s="270"/>
      <c r="AN18" s="267"/>
      <c r="AO18" s="267"/>
      <c r="AP18" s="267"/>
      <c r="AQ18" s="267"/>
      <c r="AR18" s="267"/>
      <c r="AS18" s="267"/>
      <c r="AT18" s="267"/>
      <c r="AU18" s="269">
        <f t="shared" si="3"/>
        <v>5444.96</v>
      </c>
      <c r="AV18" s="269">
        <f t="shared" si="4"/>
        <v>5444.96</v>
      </c>
      <c r="AW18" s="269">
        <f t="shared" si="29"/>
        <v>0</v>
      </c>
      <c r="AX18" s="269">
        <f t="shared" si="30"/>
        <v>5444.96</v>
      </c>
      <c r="AY18" s="269">
        <f t="shared" si="5"/>
        <v>272248</v>
      </c>
      <c r="AZ18" s="269">
        <f t="shared" si="6"/>
        <v>272248</v>
      </c>
      <c r="BA18" s="269">
        <f t="shared" si="31"/>
        <v>0</v>
      </c>
      <c r="BB18" s="269">
        <f t="shared" si="32"/>
        <v>272248</v>
      </c>
      <c r="BC18" s="53">
        <v>217408</v>
      </c>
      <c r="BD18" s="53"/>
      <c r="BE18" s="56">
        <f t="shared" si="33"/>
        <v>217408</v>
      </c>
      <c r="BF18" s="53"/>
      <c r="BG18" s="53"/>
      <c r="BH18" s="56">
        <f t="shared" si="34"/>
        <v>0</v>
      </c>
      <c r="BI18" s="56">
        <f t="shared" si="35"/>
        <v>217408</v>
      </c>
      <c r="BJ18" s="252">
        <v>89</v>
      </c>
      <c r="BK18" s="252"/>
      <c r="BL18" s="252">
        <f t="shared" si="36"/>
        <v>89</v>
      </c>
      <c r="BM18" s="252"/>
      <c r="BN18" s="252"/>
      <c r="BO18" s="252">
        <f t="shared" si="37"/>
        <v>0</v>
      </c>
      <c r="BP18" s="56">
        <f t="shared" si="38"/>
        <v>89</v>
      </c>
      <c r="BQ18" s="252">
        <v>1243.425</v>
      </c>
      <c r="BR18" s="252"/>
      <c r="BS18" s="59">
        <f t="shared" si="39"/>
        <v>1243.425</v>
      </c>
      <c r="BT18" s="252"/>
      <c r="BU18" s="252"/>
      <c r="BV18" s="59">
        <f t="shared" si="40"/>
        <v>0</v>
      </c>
      <c r="BW18" s="56">
        <f t="shared" si="41"/>
        <v>1243.425</v>
      </c>
      <c r="BX18" s="56">
        <f t="shared" si="42"/>
        <v>2442.7865168539324</v>
      </c>
      <c r="BY18" s="56"/>
      <c r="BZ18" s="56">
        <f t="shared" si="44"/>
        <v>2442.7865168539324</v>
      </c>
      <c r="CA18" s="56"/>
      <c r="CB18" s="56"/>
      <c r="CC18" s="56"/>
      <c r="CD18" s="56">
        <f t="shared" si="48"/>
        <v>2442.7865168539324</v>
      </c>
      <c r="CE18" s="238"/>
      <c r="CF18" s="241"/>
      <c r="CG18" s="241"/>
      <c r="CH18" s="241"/>
      <c r="CI18" s="241"/>
      <c r="CJ18" s="241"/>
      <c r="CK18" s="241"/>
      <c r="CL18" s="241"/>
      <c r="CM18" s="241"/>
      <c r="CN18" s="241"/>
      <c r="CO18" s="241"/>
      <c r="CP18" s="241"/>
      <c r="CQ18" s="241"/>
      <c r="CR18" s="241"/>
      <c r="CS18" s="241"/>
      <c r="CT18" s="241"/>
      <c r="CU18" s="238">
        <f t="shared" si="8"/>
        <v>2442.7865168539324</v>
      </c>
      <c r="CV18" s="238">
        <f t="shared" si="9"/>
        <v>0</v>
      </c>
      <c r="CW18" s="238">
        <f t="shared" si="49"/>
        <v>0</v>
      </c>
      <c r="CX18" s="238">
        <f t="shared" si="50"/>
        <v>0</v>
      </c>
      <c r="CY18" s="238">
        <f t="shared" si="10"/>
        <v>217408</v>
      </c>
      <c r="CZ18" s="238">
        <f t="shared" si="11"/>
        <v>0</v>
      </c>
      <c r="DA18" s="238">
        <f t="shared" si="51"/>
        <v>0</v>
      </c>
      <c r="DB18" s="238">
        <f t="shared" si="52"/>
        <v>0</v>
      </c>
      <c r="DC18" s="53">
        <v>63899</v>
      </c>
      <c r="DD18" s="53"/>
      <c r="DE18" s="56">
        <f t="shared" si="53"/>
        <v>63899</v>
      </c>
      <c r="DF18" s="53"/>
      <c r="DG18" s="53"/>
      <c r="DH18" s="56">
        <f t="shared" si="54"/>
        <v>0</v>
      </c>
      <c r="DI18" s="56">
        <f t="shared" si="55"/>
        <v>63899</v>
      </c>
      <c r="DJ18" s="252">
        <v>50</v>
      </c>
      <c r="DK18" s="252"/>
      <c r="DL18" s="56">
        <f t="shared" si="56"/>
        <v>50</v>
      </c>
      <c r="DM18" s="252"/>
      <c r="DN18" s="252"/>
      <c r="DO18" s="56">
        <f t="shared" si="57"/>
        <v>0</v>
      </c>
      <c r="DP18" s="56">
        <f t="shared" si="58"/>
        <v>50</v>
      </c>
      <c r="DQ18" s="252">
        <v>741.52499999999998</v>
      </c>
      <c r="DR18" s="252"/>
      <c r="DS18" s="56">
        <f t="shared" si="59"/>
        <v>741.52499999999998</v>
      </c>
      <c r="DT18" s="252"/>
      <c r="DU18" s="252"/>
      <c r="DV18" s="56">
        <f t="shared" si="60"/>
        <v>0</v>
      </c>
      <c r="DW18" s="59">
        <f t="shared" si="61"/>
        <v>741.52499999999998</v>
      </c>
      <c r="DX18" s="56">
        <f t="shared" si="62"/>
        <v>1277.98</v>
      </c>
      <c r="DY18" s="56"/>
      <c r="DZ18" s="56">
        <f t="shared" si="64"/>
        <v>1277.98</v>
      </c>
      <c r="EA18" s="56"/>
      <c r="EB18" s="56"/>
      <c r="EC18" s="56"/>
      <c r="ED18" s="56">
        <f t="shared" si="15"/>
        <v>1277.98</v>
      </c>
      <c r="EE18" s="273"/>
      <c r="EF18" s="274"/>
      <c r="EG18" s="274"/>
      <c r="EH18" s="274"/>
      <c r="EI18" s="274"/>
      <c r="EJ18" s="274"/>
      <c r="EK18" s="274"/>
      <c r="EL18" s="274"/>
      <c r="EM18" s="274"/>
      <c r="EN18" s="274"/>
      <c r="EO18" s="274"/>
      <c r="EP18" s="274"/>
      <c r="EQ18" s="274"/>
      <c r="ER18" s="274"/>
      <c r="ES18" s="274"/>
      <c r="ET18" s="274"/>
      <c r="EU18" s="273">
        <f t="shared" si="16"/>
        <v>1277.98</v>
      </c>
      <c r="EV18" s="273">
        <f t="shared" si="17"/>
        <v>1277.98</v>
      </c>
      <c r="EW18" s="273">
        <f t="shared" si="18"/>
        <v>0</v>
      </c>
      <c r="EX18" s="273">
        <f t="shared" si="68"/>
        <v>1277.98</v>
      </c>
      <c r="EY18" s="273">
        <f t="shared" si="19"/>
        <v>63899</v>
      </c>
      <c r="EZ18" s="273">
        <f t="shared" si="20"/>
        <v>63899</v>
      </c>
      <c r="FA18" s="273">
        <f t="shared" si="69"/>
        <v>0</v>
      </c>
      <c r="FB18" s="273">
        <f t="shared" si="70"/>
        <v>63899</v>
      </c>
      <c r="FC18" s="56"/>
      <c r="FD18" s="56"/>
      <c r="FE18" s="56"/>
      <c r="FF18" s="56"/>
      <c r="FG18" s="47"/>
      <c r="FH18" s="47"/>
      <c r="FI18" s="47"/>
      <c r="FJ18" s="47"/>
    </row>
    <row r="19" spans="1:166" x14ac:dyDescent="0.3">
      <c r="A19" s="48" t="s">
        <v>44</v>
      </c>
      <c r="B19" s="258" t="s">
        <v>15</v>
      </c>
      <c r="C19" s="53">
        <v>2469001.91</v>
      </c>
      <c r="D19" s="53">
        <v>1906409.26</v>
      </c>
      <c r="E19" s="53">
        <f t="shared" si="21"/>
        <v>4375411.17</v>
      </c>
      <c r="F19" s="53">
        <v>2656643.83</v>
      </c>
      <c r="G19" s="53"/>
      <c r="H19" s="53">
        <f t="shared" si="0"/>
        <v>2656643.83</v>
      </c>
      <c r="I19" s="56">
        <f t="shared" si="22"/>
        <v>7032055</v>
      </c>
      <c r="J19" s="252">
        <v>525</v>
      </c>
      <c r="K19" s="252">
        <v>116</v>
      </c>
      <c r="L19" s="252">
        <f t="shared" si="71"/>
        <v>641</v>
      </c>
      <c r="M19" s="252">
        <v>17</v>
      </c>
      <c r="N19" s="252">
        <v>0</v>
      </c>
      <c r="O19" s="252">
        <f t="shared" si="23"/>
        <v>17</v>
      </c>
      <c r="P19" s="56">
        <f t="shared" si="24"/>
        <v>658</v>
      </c>
      <c r="Q19" s="252">
        <v>7092</v>
      </c>
      <c r="R19" s="252">
        <v>5476</v>
      </c>
      <c r="S19" s="59">
        <f t="shared" si="25"/>
        <v>12568</v>
      </c>
      <c r="T19" s="252">
        <v>7631</v>
      </c>
      <c r="U19" s="252">
        <v>0</v>
      </c>
      <c r="V19" s="256">
        <f t="shared" si="26"/>
        <v>7631</v>
      </c>
      <c r="W19" s="56">
        <f t="shared" si="27"/>
        <v>20199</v>
      </c>
      <c r="X19" s="56">
        <f t="shared" si="73"/>
        <v>4702.860780952381</v>
      </c>
      <c r="Y19" s="56">
        <f>D19/K19</f>
        <v>16434.562586206896</v>
      </c>
      <c r="Z19" s="56">
        <f t="shared" si="74"/>
        <v>6825.9144617784714</v>
      </c>
      <c r="AA19" s="56">
        <f>F19/M19</f>
        <v>156273.16647058824</v>
      </c>
      <c r="AB19" s="56"/>
      <c r="AC19" s="56">
        <f t="shared" si="28"/>
        <v>156273.16647058824</v>
      </c>
      <c r="AD19" s="56">
        <f t="shared" si="2"/>
        <v>10687.01367781155</v>
      </c>
      <c r="AE19" s="269"/>
      <c r="AF19" s="270"/>
      <c r="AG19" s="269"/>
      <c r="AH19" s="269"/>
      <c r="AI19" s="269"/>
      <c r="AJ19" s="269"/>
      <c r="AK19" s="270"/>
      <c r="AL19" s="270"/>
      <c r="AM19" s="270"/>
      <c r="AN19" s="267"/>
      <c r="AO19" s="267"/>
      <c r="AP19" s="267"/>
      <c r="AQ19" s="267"/>
      <c r="AR19" s="267"/>
      <c r="AS19" s="267"/>
      <c r="AT19" s="267"/>
      <c r="AU19" s="269">
        <f t="shared" si="3"/>
        <v>4702.860780952381</v>
      </c>
      <c r="AV19" s="269">
        <f t="shared" si="4"/>
        <v>6825.9144617784714</v>
      </c>
      <c r="AW19" s="269">
        <f t="shared" si="29"/>
        <v>0</v>
      </c>
      <c r="AX19" s="269">
        <f t="shared" si="30"/>
        <v>10687.01367781155</v>
      </c>
      <c r="AY19" s="269">
        <f t="shared" si="5"/>
        <v>2469001.91</v>
      </c>
      <c r="AZ19" s="269">
        <f t="shared" si="6"/>
        <v>4375411.17</v>
      </c>
      <c r="BA19" s="269">
        <f t="shared" si="31"/>
        <v>0</v>
      </c>
      <c r="BB19" s="269">
        <f t="shared" si="32"/>
        <v>7032055</v>
      </c>
      <c r="BC19" s="53">
        <v>2953057.81</v>
      </c>
      <c r="BD19" s="53">
        <v>2771747.14</v>
      </c>
      <c r="BE19" s="56">
        <f t="shared" si="33"/>
        <v>5724804.9500000002</v>
      </c>
      <c r="BF19" s="53">
        <v>1961018.06</v>
      </c>
      <c r="BG19" s="53">
        <v>0</v>
      </c>
      <c r="BH19" s="56">
        <f t="shared" si="34"/>
        <v>1961018.06</v>
      </c>
      <c r="BI19" s="56">
        <f t="shared" si="35"/>
        <v>7685823.0099999998</v>
      </c>
      <c r="BJ19" s="252">
        <v>531</v>
      </c>
      <c r="BK19" s="252">
        <v>112</v>
      </c>
      <c r="BL19" s="252">
        <f t="shared" si="36"/>
        <v>643</v>
      </c>
      <c r="BM19" s="252">
        <v>16</v>
      </c>
      <c r="BN19" s="252">
        <v>0</v>
      </c>
      <c r="BO19" s="252">
        <f t="shared" si="37"/>
        <v>16</v>
      </c>
      <c r="BP19" s="56">
        <f t="shared" si="38"/>
        <v>659</v>
      </c>
      <c r="BQ19" s="252">
        <v>7427</v>
      </c>
      <c r="BR19" s="252">
        <v>6971</v>
      </c>
      <c r="BS19" s="59">
        <f t="shared" si="39"/>
        <v>14398</v>
      </c>
      <c r="BT19" s="252">
        <v>4932</v>
      </c>
      <c r="BU19" s="252">
        <v>0</v>
      </c>
      <c r="BV19" s="59">
        <f t="shared" si="40"/>
        <v>4932</v>
      </c>
      <c r="BW19" s="56">
        <f t="shared" si="41"/>
        <v>19330</v>
      </c>
      <c r="BX19" s="56">
        <f t="shared" si="42"/>
        <v>5561.3141431261774</v>
      </c>
      <c r="BY19" s="56">
        <f t="shared" si="43"/>
        <v>24747.742321428574</v>
      </c>
      <c r="BZ19" s="56">
        <f t="shared" si="44"/>
        <v>8903.2736391912913</v>
      </c>
      <c r="CA19" s="56">
        <f t="shared" si="45"/>
        <v>122563.62875</v>
      </c>
      <c r="CB19" s="56"/>
      <c r="CC19" s="56">
        <f t="shared" si="47"/>
        <v>122563.62875</v>
      </c>
      <c r="CD19" s="56">
        <f>BI19/BP19</f>
        <v>11662.857374810319</v>
      </c>
      <c r="CE19" s="238"/>
      <c r="CF19" s="241"/>
      <c r="CG19" s="241"/>
      <c r="CH19" s="241"/>
      <c r="CI19" s="241"/>
      <c r="CJ19" s="241"/>
      <c r="CK19" s="241"/>
      <c r="CL19" s="241"/>
      <c r="CM19" s="241"/>
      <c r="CN19" s="241"/>
      <c r="CO19" s="241"/>
      <c r="CP19" s="241"/>
      <c r="CQ19" s="241"/>
      <c r="CR19" s="241"/>
      <c r="CS19" s="241"/>
      <c r="CT19" s="241"/>
      <c r="CU19" s="238">
        <f t="shared" si="8"/>
        <v>5561.3141431261774</v>
      </c>
      <c r="CV19" s="238">
        <f t="shared" si="9"/>
        <v>8903.2736391912913</v>
      </c>
      <c r="CW19" s="238">
        <f t="shared" si="49"/>
        <v>0</v>
      </c>
      <c r="CX19" s="238">
        <f t="shared" si="50"/>
        <v>11662.857374810319</v>
      </c>
      <c r="CY19" s="238">
        <f t="shared" si="10"/>
        <v>2953057.81</v>
      </c>
      <c r="CZ19" s="238">
        <f t="shared" si="11"/>
        <v>5724804.9500000002</v>
      </c>
      <c r="DA19" s="238">
        <f t="shared" si="51"/>
        <v>0</v>
      </c>
      <c r="DB19" s="238">
        <f t="shared" si="52"/>
        <v>7685823.0099999998</v>
      </c>
      <c r="DC19" s="53">
        <v>3633696.01</v>
      </c>
      <c r="DD19" s="53">
        <v>2819115.49</v>
      </c>
      <c r="DE19" s="56">
        <f t="shared" si="53"/>
        <v>6452811.5</v>
      </c>
      <c r="DF19" s="53">
        <v>2700977.5</v>
      </c>
      <c r="DG19" s="53">
        <v>0</v>
      </c>
      <c r="DH19" s="56">
        <f t="shared" si="54"/>
        <v>2700977.5</v>
      </c>
      <c r="DI19" s="56">
        <f t="shared" si="55"/>
        <v>9153789</v>
      </c>
      <c r="DJ19" s="252">
        <v>523</v>
      </c>
      <c r="DK19" s="252">
        <v>131</v>
      </c>
      <c r="DL19" s="56">
        <f t="shared" si="56"/>
        <v>654</v>
      </c>
      <c r="DM19" s="252">
        <v>20</v>
      </c>
      <c r="DN19" s="252">
        <v>0</v>
      </c>
      <c r="DO19" s="56">
        <f t="shared" si="57"/>
        <v>20</v>
      </c>
      <c r="DP19" s="56">
        <f t="shared" si="58"/>
        <v>674</v>
      </c>
      <c r="DQ19" s="252">
        <v>7628</v>
      </c>
      <c r="DR19" s="252">
        <v>5918</v>
      </c>
      <c r="DS19" s="56">
        <f t="shared" si="59"/>
        <v>13546</v>
      </c>
      <c r="DT19" s="252">
        <v>5670</v>
      </c>
      <c r="DU19" s="252">
        <v>0</v>
      </c>
      <c r="DV19" s="56">
        <f t="shared" si="60"/>
        <v>5670</v>
      </c>
      <c r="DW19" s="59">
        <f t="shared" si="61"/>
        <v>19216</v>
      </c>
      <c r="DX19" s="56">
        <f t="shared" si="62"/>
        <v>6947.7935181644352</v>
      </c>
      <c r="DY19" s="56">
        <f t="shared" si="63"/>
        <v>21519.965572519086</v>
      </c>
      <c r="DZ19" s="56">
        <f t="shared" si="64"/>
        <v>9866.6842507645251</v>
      </c>
      <c r="EA19" s="56">
        <f t="shared" si="65"/>
        <v>135048.875</v>
      </c>
      <c r="EB19" s="56"/>
      <c r="EC19" s="56">
        <f t="shared" si="67"/>
        <v>135048.875</v>
      </c>
      <c r="ED19" s="56">
        <f t="shared" si="15"/>
        <v>13581.289317507419</v>
      </c>
      <c r="EE19" s="273"/>
      <c r="EF19" s="274"/>
      <c r="EG19" s="274"/>
      <c r="EH19" s="274"/>
      <c r="EI19" s="274"/>
      <c r="EJ19" s="274"/>
      <c r="EK19" s="274"/>
      <c r="EL19" s="274"/>
      <c r="EM19" s="274"/>
      <c r="EN19" s="274"/>
      <c r="EO19" s="274"/>
      <c r="EP19" s="274"/>
      <c r="EQ19" s="274"/>
      <c r="ER19" s="274"/>
      <c r="ES19" s="274"/>
      <c r="ET19" s="274"/>
      <c r="EU19" s="273">
        <f t="shared" si="16"/>
        <v>6947.7935181644352</v>
      </c>
      <c r="EV19" s="273">
        <f t="shared" si="17"/>
        <v>9866.6842507645251</v>
      </c>
      <c r="EW19" s="273">
        <f t="shared" si="18"/>
        <v>0</v>
      </c>
      <c r="EX19" s="273">
        <f t="shared" si="68"/>
        <v>13581.289317507419</v>
      </c>
      <c r="EY19" s="273">
        <f t="shared" si="19"/>
        <v>3633696.01</v>
      </c>
      <c r="EZ19" s="273">
        <f t="shared" si="20"/>
        <v>6452811.4999999991</v>
      </c>
      <c r="FA19" s="273">
        <f t="shared" si="69"/>
        <v>0</v>
      </c>
      <c r="FB19" s="273">
        <f t="shared" si="70"/>
        <v>9153789</v>
      </c>
      <c r="FC19" s="56"/>
      <c r="FD19" s="56"/>
      <c r="FE19" s="56"/>
      <c r="FF19" s="56"/>
      <c r="FG19" s="47"/>
      <c r="FH19" s="47"/>
      <c r="FI19" s="47"/>
      <c r="FJ19" s="47"/>
    </row>
    <row r="20" spans="1:166" x14ac:dyDescent="0.3">
      <c r="A20" s="48" t="s">
        <v>45</v>
      </c>
      <c r="B20" s="258" t="s">
        <v>16</v>
      </c>
      <c r="C20" s="53">
        <v>863766.84</v>
      </c>
      <c r="D20" s="53">
        <v>21478.54</v>
      </c>
      <c r="E20" s="53">
        <f t="shared" si="21"/>
        <v>885245.38</v>
      </c>
      <c r="F20" s="53">
        <v>0</v>
      </c>
      <c r="G20" s="53">
        <v>0</v>
      </c>
      <c r="H20" s="53">
        <f t="shared" si="0"/>
        <v>0</v>
      </c>
      <c r="I20" s="56">
        <f t="shared" si="22"/>
        <v>885245.38</v>
      </c>
      <c r="J20" s="252">
        <v>69</v>
      </c>
      <c r="K20" s="252">
        <v>1</v>
      </c>
      <c r="L20" s="252">
        <f t="shared" si="71"/>
        <v>70</v>
      </c>
      <c r="M20" s="252">
        <v>0</v>
      </c>
      <c r="N20" s="252">
        <v>0</v>
      </c>
      <c r="O20" s="252">
        <f t="shared" si="23"/>
        <v>0</v>
      </c>
      <c r="P20" s="56">
        <f t="shared" si="24"/>
        <v>70</v>
      </c>
      <c r="Q20" s="252">
        <v>849</v>
      </c>
      <c r="R20" s="252">
        <v>18</v>
      </c>
      <c r="S20" s="59">
        <f t="shared" si="25"/>
        <v>867</v>
      </c>
      <c r="T20" s="252">
        <v>0</v>
      </c>
      <c r="U20" s="252">
        <v>0</v>
      </c>
      <c r="V20" s="256">
        <f t="shared" si="26"/>
        <v>0</v>
      </c>
      <c r="W20" s="56">
        <f t="shared" si="27"/>
        <v>867</v>
      </c>
      <c r="X20" s="56">
        <f t="shared" si="73"/>
        <v>12518.359999999999</v>
      </c>
      <c r="Y20" s="56">
        <f>D20/K20</f>
        <v>21478.54</v>
      </c>
      <c r="Z20" s="56">
        <f t="shared" si="74"/>
        <v>12646.362571428572</v>
      </c>
      <c r="AA20" s="56"/>
      <c r="AB20" s="56"/>
      <c r="AC20" s="56"/>
      <c r="AD20" s="56">
        <f t="shared" si="2"/>
        <v>12646.362571428572</v>
      </c>
      <c r="AE20" s="269"/>
      <c r="AF20" s="270"/>
      <c r="AG20" s="269"/>
      <c r="AH20" s="269"/>
      <c r="AI20" s="269"/>
      <c r="AJ20" s="269"/>
      <c r="AK20" s="270"/>
      <c r="AL20" s="270"/>
      <c r="AM20" s="270"/>
      <c r="AN20" s="267"/>
      <c r="AO20" s="267"/>
      <c r="AP20" s="267"/>
      <c r="AQ20" s="267"/>
      <c r="AR20" s="267"/>
      <c r="AS20" s="267"/>
      <c r="AT20" s="267"/>
      <c r="AU20" s="269">
        <f t="shared" si="3"/>
        <v>12518.359999999999</v>
      </c>
      <c r="AV20" s="269">
        <f t="shared" si="4"/>
        <v>12646.362571428572</v>
      </c>
      <c r="AW20" s="269">
        <f t="shared" si="29"/>
        <v>0</v>
      </c>
      <c r="AX20" s="269">
        <f t="shared" si="30"/>
        <v>12646.362571428572</v>
      </c>
      <c r="AY20" s="269">
        <f t="shared" si="5"/>
        <v>863766.84</v>
      </c>
      <c r="AZ20" s="269">
        <f t="shared" si="6"/>
        <v>885245.38</v>
      </c>
      <c r="BA20" s="269">
        <f t="shared" si="31"/>
        <v>0</v>
      </c>
      <c r="BB20" s="269">
        <f t="shared" si="32"/>
        <v>885245.38</v>
      </c>
      <c r="BC20" s="53">
        <v>643325.4</v>
      </c>
      <c r="BD20" s="53">
        <v>51281.48</v>
      </c>
      <c r="BE20" s="56">
        <f t="shared" si="33"/>
        <v>694606.88</v>
      </c>
      <c r="BF20" s="53">
        <v>0</v>
      </c>
      <c r="BG20" s="53">
        <v>0</v>
      </c>
      <c r="BH20" s="56">
        <f t="shared" si="34"/>
        <v>0</v>
      </c>
      <c r="BI20" s="56">
        <f t="shared" si="35"/>
        <v>694606.88</v>
      </c>
      <c r="BJ20" s="252">
        <v>60</v>
      </c>
      <c r="BK20" s="252">
        <v>4</v>
      </c>
      <c r="BL20" s="252">
        <f t="shared" si="36"/>
        <v>64</v>
      </c>
      <c r="BM20" s="252">
        <v>0</v>
      </c>
      <c r="BN20" s="252">
        <v>0</v>
      </c>
      <c r="BO20" s="252">
        <f t="shared" si="37"/>
        <v>0</v>
      </c>
      <c r="BP20" s="56">
        <f t="shared" si="38"/>
        <v>64</v>
      </c>
      <c r="BQ20" s="252">
        <v>840</v>
      </c>
      <c r="BR20" s="252">
        <v>879</v>
      </c>
      <c r="BS20" s="59">
        <f t="shared" si="39"/>
        <v>1719</v>
      </c>
      <c r="BT20" s="252">
        <v>0</v>
      </c>
      <c r="BU20" s="252">
        <v>0</v>
      </c>
      <c r="BV20" s="59">
        <f t="shared" si="40"/>
        <v>0</v>
      </c>
      <c r="BW20" s="56">
        <f t="shared" si="41"/>
        <v>1719</v>
      </c>
      <c r="BX20" s="56">
        <f t="shared" si="42"/>
        <v>10722.09</v>
      </c>
      <c r="BY20" s="56">
        <f t="shared" si="43"/>
        <v>12820.37</v>
      </c>
      <c r="BZ20" s="56">
        <f t="shared" si="44"/>
        <v>10853.2325</v>
      </c>
      <c r="CA20" s="56"/>
      <c r="CB20" s="56"/>
      <c r="CC20" s="56"/>
      <c r="CD20" s="56">
        <f t="shared" si="48"/>
        <v>10853.2325</v>
      </c>
      <c r="CE20" s="238"/>
      <c r="CF20" s="241"/>
      <c r="CG20" s="241"/>
      <c r="CH20" s="241"/>
      <c r="CI20" s="241"/>
      <c r="CJ20" s="241"/>
      <c r="CK20" s="241"/>
      <c r="CL20" s="241"/>
      <c r="CM20" s="241"/>
      <c r="CN20" s="241"/>
      <c r="CO20" s="241"/>
      <c r="CP20" s="241"/>
      <c r="CQ20" s="241"/>
      <c r="CR20" s="241"/>
      <c r="CS20" s="241"/>
      <c r="CT20" s="241"/>
      <c r="CU20" s="238">
        <f t="shared" si="8"/>
        <v>10722.09</v>
      </c>
      <c r="CV20" s="238">
        <f t="shared" si="9"/>
        <v>10853.2325</v>
      </c>
      <c r="CW20" s="238">
        <f t="shared" si="49"/>
        <v>0</v>
      </c>
      <c r="CX20" s="238">
        <f t="shared" si="50"/>
        <v>10853.2325</v>
      </c>
      <c r="CY20" s="238">
        <f t="shared" si="10"/>
        <v>643325.4</v>
      </c>
      <c r="CZ20" s="238">
        <f t="shared" si="11"/>
        <v>694606.88</v>
      </c>
      <c r="DA20" s="238">
        <f t="shared" si="51"/>
        <v>0</v>
      </c>
      <c r="DB20" s="238">
        <f t="shared" si="52"/>
        <v>694606.88</v>
      </c>
      <c r="DC20" s="252">
        <v>791763.96</v>
      </c>
      <c r="DD20" s="252">
        <v>65847.7</v>
      </c>
      <c r="DE20" s="56">
        <f t="shared" si="53"/>
        <v>857611.65999999992</v>
      </c>
      <c r="DF20" s="252">
        <v>0</v>
      </c>
      <c r="DG20" s="252">
        <v>0</v>
      </c>
      <c r="DH20" s="56">
        <f t="shared" si="54"/>
        <v>0</v>
      </c>
      <c r="DI20" s="56">
        <f t="shared" si="55"/>
        <v>857611.65999999992</v>
      </c>
      <c r="DJ20" s="252">
        <v>69</v>
      </c>
      <c r="DK20" s="252">
        <v>5</v>
      </c>
      <c r="DL20" s="56">
        <f t="shared" si="56"/>
        <v>74</v>
      </c>
      <c r="DM20" s="252">
        <v>0</v>
      </c>
      <c r="DN20" s="252">
        <v>0</v>
      </c>
      <c r="DO20" s="56">
        <f t="shared" si="57"/>
        <v>0</v>
      </c>
      <c r="DP20" s="56">
        <f t="shared" si="58"/>
        <v>74</v>
      </c>
      <c r="DQ20" s="53">
        <v>926.5</v>
      </c>
      <c r="DR20" s="53">
        <v>751</v>
      </c>
      <c r="DS20" s="56">
        <f t="shared" si="59"/>
        <v>1677.5</v>
      </c>
      <c r="DT20" s="53">
        <v>0</v>
      </c>
      <c r="DU20" s="53">
        <v>0</v>
      </c>
      <c r="DV20" s="56">
        <f t="shared" si="60"/>
        <v>0</v>
      </c>
      <c r="DW20" s="59">
        <f t="shared" si="61"/>
        <v>1677.5</v>
      </c>
      <c r="DX20" s="56">
        <f t="shared" si="62"/>
        <v>11474.84</v>
      </c>
      <c r="DY20" s="56">
        <f t="shared" si="63"/>
        <v>13169.539999999999</v>
      </c>
      <c r="DZ20" s="56">
        <f t="shared" si="64"/>
        <v>11589.346756756755</v>
      </c>
      <c r="EA20" s="56"/>
      <c r="EB20" s="56"/>
      <c r="EC20" s="56"/>
      <c r="ED20" s="56">
        <f t="shared" si="15"/>
        <v>11589.346756756755</v>
      </c>
      <c r="EE20" s="273"/>
      <c r="EF20" s="274"/>
      <c r="EG20" s="274"/>
      <c r="EH20" s="274"/>
      <c r="EI20" s="274"/>
      <c r="EJ20" s="274"/>
      <c r="EK20" s="274"/>
      <c r="EL20" s="274"/>
      <c r="EM20" s="274"/>
      <c r="EN20" s="274"/>
      <c r="EO20" s="274"/>
      <c r="EP20" s="274"/>
      <c r="EQ20" s="274"/>
      <c r="ER20" s="274"/>
      <c r="ES20" s="274"/>
      <c r="ET20" s="274"/>
      <c r="EU20" s="273">
        <f t="shared" si="16"/>
        <v>11474.84</v>
      </c>
      <c r="EV20" s="273">
        <f t="shared" si="17"/>
        <v>11589.346756756755</v>
      </c>
      <c r="EW20" s="273">
        <f t="shared" si="18"/>
        <v>0</v>
      </c>
      <c r="EX20" s="273">
        <f t="shared" si="68"/>
        <v>11589.346756756755</v>
      </c>
      <c r="EY20" s="273">
        <f t="shared" si="19"/>
        <v>791763.96</v>
      </c>
      <c r="EZ20" s="273">
        <f t="shared" si="20"/>
        <v>857611.65999999992</v>
      </c>
      <c r="FA20" s="273">
        <f t="shared" si="69"/>
        <v>0</v>
      </c>
      <c r="FB20" s="273">
        <f t="shared" si="70"/>
        <v>857611.65999999992</v>
      </c>
      <c r="FC20" s="56"/>
      <c r="FD20" s="56"/>
      <c r="FE20" s="56"/>
      <c r="FF20" s="56"/>
      <c r="FG20" s="47"/>
      <c r="FH20" s="47"/>
      <c r="FI20" s="47"/>
      <c r="FJ20" s="47"/>
    </row>
    <row r="21" spans="1:166" x14ac:dyDescent="0.3">
      <c r="A21" s="48" t="s">
        <v>46</v>
      </c>
      <c r="B21" s="258" t="s">
        <v>17</v>
      </c>
      <c r="C21" s="53">
        <v>140844.44</v>
      </c>
      <c r="D21" s="53"/>
      <c r="E21" s="53">
        <f t="shared" si="21"/>
        <v>140844.44</v>
      </c>
      <c r="F21" s="53"/>
      <c r="G21" s="53"/>
      <c r="H21" s="53">
        <f t="shared" si="0"/>
        <v>0</v>
      </c>
      <c r="I21" s="56">
        <f t="shared" si="22"/>
        <v>140844.44</v>
      </c>
      <c r="J21" s="252">
        <v>22</v>
      </c>
      <c r="K21" s="252"/>
      <c r="L21" s="252">
        <f t="shared" si="71"/>
        <v>22</v>
      </c>
      <c r="M21" s="252"/>
      <c r="N21" s="252"/>
      <c r="O21" s="252">
        <f t="shared" si="23"/>
        <v>0</v>
      </c>
      <c r="P21" s="56">
        <f t="shared" si="24"/>
        <v>22</v>
      </c>
      <c r="Q21" s="252">
        <v>169</v>
      </c>
      <c r="R21" s="252"/>
      <c r="S21" s="59">
        <f t="shared" si="25"/>
        <v>169</v>
      </c>
      <c r="T21" s="252"/>
      <c r="U21" s="252"/>
      <c r="V21" s="256">
        <f t="shared" si="26"/>
        <v>0</v>
      </c>
      <c r="W21" s="56">
        <f t="shared" si="27"/>
        <v>169</v>
      </c>
      <c r="X21" s="56">
        <f t="shared" si="73"/>
        <v>6402.02</v>
      </c>
      <c r="Y21" s="56"/>
      <c r="Z21" s="56">
        <f t="shared" si="74"/>
        <v>6402.02</v>
      </c>
      <c r="AA21" s="56"/>
      <c r="AB21" s="56"/>
      <c r="AC21" s="56"/>
      <c r="AD21" s="56">
        <f t="shared" si="2"/>
        <v>6402.02</v>
      </c>
      <c r="AE21" s="269"/>
      <c r="AF21" s="270"/>
      <c r="AG21" s="269"/>
      <c r="AH21" s="269"/>
      <c r="AI21" s="269"/>
      <c r="AJ21" s="269"/>
      <c r="AK21" s="270"/>
      <c r="AL21" s="270"/>
      <c r="AM21" s="270"/>
      <c r="AN21" s="267"/>
      <c r="AO21" s="267"/>
      <c r="AP21" s="267"/>
      <c r="AQ21" s="267"/>
      <c r="AR21" s="267"/>
      <c r="AS21" s="267"/>
      <c r="AT21" s="267"/>
      <c r="AU21" s="269">
        <f t="shared" si="3"/>
        <v>6402.02</v>
      </c>
      <c r="AV21" s="269">
        <f t="shared" si="4"/>
        <v>6402.02</v>
      </c>
      <c r="AW21" s="269">
        <f t="shared" si="29"/>
        <v>0</v>
      </c>
      <c r="AX21" s="269">
        <f t="shared" si="30"/>
        <v>6402.02</v>
      </c>
      <c r="AY21" s="269">
        <f t="shared" si="5"/>
        <v>140844.44</v>
      </c>
      <c r="AZ21" s="269">
        <f t="shared" si="6"/>
        <v>140844.44</v>
      </c>
      <c r="BA21" s="269">
        <f t="shared" si="31"/>
        <v>0</v>
      </c>
      <c r="BB21" s="269">
        <f t="shared" si="32"/>
        <v>140844.44</v>
      </c>
      <c r="BC21" s="53">
        <v>141733.20000000001</v>
      </c>
      <c r="BD21" s="53"/>
      <c r="BE21" s="56">
        <f t="shared" si="33"/>
        <v>141733.20000000001</v>
      </c>
      <c r="BF21" s="53">
        <v>3015.6</v>
      </c>
      <c r="BG21" s="53"/>
      <c r="BH21" s="56">
        <f t="shared" si="34"/>
        <v>3015.6</v>
      </c>
      <c r="BI21" s="56">
        <f t="shared" si="35"/>
        <v>144748.80000000002</v>
      </c>
      <c r="BJ21" s="252">
        <v>47</v>
      </c>
      <c r="BK21" s="252"/>
      <c r="BL21" s="252">
        <f t="shared" si="36"/>
        <v>47</v>
      </c>
      <c r="BM21" s="252">
        <v>1</v>
      </c>
      <c r="BN21" s="252"/>
      <c r="BO21" s="252">
        <f t="shared" si="37"/>
        <v>1</v>
      </c>
      <c r="BP21" s="56">
        <f t="shared" si="38"/>
        <v>48</v>
      </c>
      <c r="BQ21" s="252">
        <v>513.29999999999995</v>
      </c>
      <c r="BR21" s="252"/>
      <c r="BS21" s="59">
        <f t="shared" si="39"/>
        <v>513.29999999999995</v>
      </c>
      <c r="BT21" s="252">
        <v>1</v>
      </c>
      <c r="BU21" s="252"/>
      <c r="BV21" s="59">
        <f t="shared" si="40"/>
        <v>1</v>
      </c>
      <c r="BW21" s="56">
        <f t="shared" si="41"/>
        <v>514.29999999999995</v>
      </c>
      <c r="BX21" s="56">
        <f t="shared" si="42"/>
        <v>3015.6000000000004</v>
      </c>
      <c r="BY21" s="56"/>
      <c r="BZ21" s="56">
        <f t="shared" si="44"/>
        <v>3015.6000000000004</v>
      </c>
      <c r="CA21" s="56">
        <f t="shared" si="45"/>
        <v>3015.6</v>
      </c>
      <c r="CB21" s="56"/>
      <c r="CC21" s="56">
        <f t="shared" si="47"/>
        <v>3015.6</v>
      </c>
      <c r="CD21" s="56">
        <f t="shared" si="48"/>
        <v>3015.6000000000004</v>
      </c>
      <c r="CE21" s="238"/>
      <c r="CF21" s="241"/>
      <c r="CG21" s="241"/>
      <c r="CH21" s="241"/>
      <c r="CI21" s="241"/>
      <c r="CJ21" s="241"/>
      <c r="CK21" s="241"/>
      <c r="CL21" s="241"/>
      <c r="CM21" s="241"/>
      <c r="CN21" s="241"/>
      <c r="CO21" s="241"/>
      <c r="CP21" s="241"/>
      <c r="CQ21" s="241"/>
      <c r="CR21" s="241"/>
      <c r="CS21" s="241"/>
      <c r="CT21" s="241"/>
      <c r="CU21" s="238">
        <f t="shared" si="8"/>
        <v>3015.6000000000004</v>
      </c>
      <c r="CV21" s="238">
        <f t="shared" si="9"/>
        <v>0</v>
      </c>
      <c r="CW21" s="238">
        <f t="shared" si="49"/>
        <v>3015.6</v>
      </c>
      <c r="CX21" s="238">
        <f t="shared" si="50"/>
        <v>0</v>
      </c>
      <c r="CY21" s="238">
        <f t="shared" si="10"/>
        <v>141733.20000000001</v>
      </c>
      <c r="CZ21" s="238">
        <f t="shared" si="11"/>
        <v>0</v>
      </c>
      <c r="DA21" s="238">
        <f t="shared" si="51"/>
        <v>3015.6</v>
      </c>
      <c r="DB21" s="238">
        <f t="shared" si="52"/>
        <v>0</v>
      </c>
      <c r="DC21" s="53">
        <v>112157.5</v>
      </c>
      <c r="DD21" s="53"/>
      <c r="DE21" s="56">
        <f t="shared" si="53"/>
        <v>112157.5</v>
      </c>
      <c r="DF21" s="53"/>
      <c r="DG21" s="53"/>
      <c r="DH21" s="56">
        <f t="shared" si="54"/>
        <v>0</v>
      </c>
      <c r="DI21" s="56">
        <f t="shared" si="55"/>
        <v>112157.5</v>
      </c>
      <c r="DJ21" s="252">
        <v>35</v>
      </c>
      <c r="DK21" s="252"/>
      <c r="DL21" s="56">
        <f t="shared" si="56"/>
        <v>35</v>
      </c>
      <c r="DM21" s="252"/>
      <c r="DN21" s="252"/>
      <c r="DO21" s="56">
        <f t="shared" si="57"/>
        <v>0</v>
      </c>
      <c r="DP21" s="56">
        <f t="shared" si="58"/>
        <v>35</v>
      </c>
      <c r="DQ21" s="252">
        <v>446</v>
      </c>
      <c r="DR21" s="252"/>
      <c r="DS21" s="56">
        <f t="shared" si="59"/>
        <v>446</v>
      </c>
      <c r="DT21" s="252"/>
      <c r="DU21" s="252"/>
      <c r="DV21" s="56">
        <f t="shared" si="60"/>
        <v>0</v>
      </c>
      <c r="DW21" s="59">
        <f t="shared" si="61"/>
        <v>446</v>
      </c>
      <c r="DX21" s="56">
        <f t="shared" si="62"/>
        <v>3204.5</v>
      </c>
      <c r="DY21" s="56"/>
      <c r="DZ21" s="56">
        <f t="shared" si="64"/>
        <v>3204.5</v>
      </c>
      <c r="EA21" s="56"/>
      <c r="EB21" s="56"/>
      <c r="EC21" s="56"/>
      <c r="ED21" s="56">
        <f t="shared" si="15"/>
        <v>3204.5</v>
      </c>
      <c r="EE21" s="273"/>
      <c r="EF21" s="274"/>
      <c r="EG21" s="274"/>
      <c r="EH21" s="274"/>
      <c r="EI21" s="274"/>
      <c r="EJ21" s="274"/>
      <c r="EK21" s="274"/>
      <c r="EL21" s="274"/>
      <c r="EM21" s="274"/>
      <c r="EN21" s="274"/>
      <c r="EO21" s="274"/>
      <c r="EP21" s="274"/>
      <c r="EQ21" s="274"/>
      <c r="ER21" s="274"/>
      <c r="ES21" s="274"/>
      <c r="ET21" s="274"/>
      <c r="EU21" s="273">
        <f t="shared" si="16"/>
        <v>3204.5</v>
      </c>
      <c r="EV21" s="273">
        <f t="shared" si="17"/>
        <v>3204.5</v>
      </c>
      <c r="EW21" s="273">
        <f t="shared" si="18"/>
        <v>0</v>
      </c>
      <c r="EX21" s="273">
        <f t="shared" si="68"/>
        <v>3204.5</v>
      </c>
      <c r="EY21" s="273">
        <f t="shared" si="19"/>
        <v>112157.5</v>
      </c>
      <c r="EZ21" s="273">
        <f t="shared" si="20"/>
        <v>112157.5</v>
      </c>
      <c r="FA21" s="273">
        <f t="shared" si="69"/>
        <v>0</v>
      </c>
      <c r="FB21" s="273">
        <f t="shared" si="70"/>
        <v>112157.5</v>
      </c>
      <c r="FC21" s="56"/>
      <c r="FD21" s="56"/>
      <c r="FE21" s="56"/>
      <c r="FF21" s="56"/>
      <c r="FG21" s="47"/>
      <c r="FH21" s="47"/>
      <c r="FI21" s="47"/>
      <c r="FJ21" s="47"/>
    </row>
    <row r="22" spans="1:166" ht="30.75" customHeight="1" x14ac:dyDescent="0.3">
      <c r="A22" s="48" t="s">
        <v>47</v>
      </c>
      <c r="B22" s="258" t="s">
        <v>48</v>
      </c>
      <c r="C22" s="53">
        <v>581734.91</v>
      </c>
      <c r="D22" s="53"/>
      <c r="E22" s="53">
        <f t="shared" si="21"/>
        <v>581734.91</v>
      </c>
      <c r="F22" s="53"/>
      <c r="G22" s="53"/>
      <c r="H22" s="53">
        <f t="shared" si="0"/>
        <v>0</v>
      </c>
      <c r="I22" s="56">
        <f t="shared" si="22"/>
        <v>581734.91</v>
      </c>
      <c r="J22" s="252">
        <v>92</v>
      </c>
      <c r="K22" s="252"/>
      <c r="L22" s="252">
        <f t="shared" si="71"/>
        <v>92</v>
      </c>
      <c r="M22" s="252"/>
      <c r="N22" s="252"/>
      <c r="O22" s="252">
        <f t="shared" si="23"/>
        <v>0</v>
      </c>
      <c r="P22" s="56">
        <f t="shared" si="24"/>
        <v>92</v>
      </c>
      <c r="Q22" s="252">
        <v>3226</v>
      </c>
      <c r="R22" s="252"/>
      <c r="S22" s="59">
        <f t="shared" si="25"/>
        <v>3226</v>
      </c>
      <c r="T22" s="252"/>
      <c r="U22" s="252"/>
      <c r="V22" s="256">
        <f t="shared" si="26"/>
        <v>0</v>
      </c>
      <c r="W22" s="56">
        <f t="shared" si="27"/>
        <v>3226</v>
      </c>
      <c r="X22" s="56">
        <f t="shared" si="73"/>
        <v>6323.2055434782615</v>
      </c>
      <c r="Y22" s="56"/>
      <c r="Z22" s="56">
        <f t="shared" si="74"/>
        <v>6323.2055434782615</v>
      </c>
      <c r="AA22" s="56"/>
      <c r="AB22" s="56"/>
      <c r="AC22" s="56"/>
      <c r="AD22" s="56">
        <f t="shared" si="2"/>
        <v>6323.2055434782615</v>
      </c>
      <c r="AE22" s="269"/>
      <c r="AF22" s="270"/>
      <c r="AG22" s="269"/>
      <c r="AH22" s="269"/>
      <c r="AI22" s="269"/>
      <c r="AJ22" s="269"/>
      <c r="AK22" s="270"/>
      <c r="AL22" s="270"/>
      <c r="AM22" s="270"/>
      <c r="AN22" s="267"/>
      <c r="AO22" s="267"/>
      <c r="AP22" s="267"/>
      <c r="AQ22" s="267"/>
      <c r="AR22" s="267"/>
      <c r="AS22" s="267"/>
      <c r="AT22" s="267"/>
      <c r="AU22" s="269">
        <f t="shared" si="3"/>
        <v>6323.2055434782615</v>
      </c>
      <c r="AV22" s="269">
        <f t="shared" si="4"/>
        <v>6323.2055434782615</v>
      </c>
      <c r="AW22" s="269">
        <f t="shared" si="29"/>
        <v>0</v>
      </c>
      <c r="AX22" s="269">
        <f t="shared" si="30"/>
        <v>6323.2055434782615</v>
      </c>
      <c r="AY22" s="269">
        <f t="shared" si="5"/>
        <v>581734.91</v>
      </c>
      <c r="AZ22" s="269">
        <f t="shared" si="6"/>
        <v>581734.91</v>
      </c>
      <c r="BA22" s="269">
        <f t="shared" si="31"/>
        <v>0</v>
      </c>
      <c r="BB22" s="269">
        <f t="shared" si="32"/>
        <v>581734.91</v>
      </c>
      <c r="BC22" s="53">
        <v>562765.29</v>
      </c>
      <c r="BD22" s="53"/>
      <c r="BE22" s="56">
        <f t="shared" si="33"/>
        <v>562765.29</v>
      </c>
      <c r="BF22" s="53"/>
      <c r="BG22" s="53"/>
      <c r="BH22" s="56">
        <f t="shared" si="34"/>
        <v>0</v>
      </c>
      <c r="BI22" s="56">
        <f t="shared" si="35"/>
        <v>562765.29</v>
      </c>
      <c r="BJ22" s="252">
        <v>89</v>
      </c>
      <c r="BK22" s="252"/>
      <c r="BL22" s="252">
        <f t="shared" si="36"/>
        <v>89</v>
      </c>
      <c r="BM22" s="252"/>
      <c r="BN22" s="252"/>
      <c r="BO22" s="252">
        <f t="shared" si="37"/>
        <v>0</v>
      </c>
      <c r="BP22" s="56">
        <f t="shared" si="38"/>
        <v>89</v>
      </c>
      <c r="BQ22" s="252">
        <v>1201</v>
      </c>
      <c r="BR22" s="252"/>
      <c r="BS22" s="59">
        <f t="shared" si="39"/>
        <v>1201</v>
      </c>
      <c r="BT22" s="252"/>
      <c r="BU22" s="252"/>
      <c r="BV22" s="59">
        <f t="shared" si="40"/>
        <v>0</v>
      </c>
      <c r="BW22" s="56">
        <f t="shared" si="41"/>
        <v>1201</v>
      </c>
      <c r="BX22" s="56">
        <f t="shared" si="42"/>
        <v>6323.2055056179779</v>
      </c>
      <c r="BY22" s="56"/>
      <c r="BZ22" s="56">
        <f t="shared" si="44"/>
        <v>6323.2055056179779</v>
      </c>
      <c r="CA22" s="56"/>
      <c r="CB22" s="56"/>
      <c r="CC22" s="56"/>
      <c r="CD22" s="56">
        <f t="shared" si="48"/>
        <v>6323.2055056179779</v>
      </c>
      <c r="CE22" s="238"/>
      <c r="CF22" s="241"/>
      <c r="CG22" s="241"/>
      <c r="CH22" s="241"/>
      <c r="CI22" s="241"/>
      <c r="CJ22" s="241"/>
      <c r="CK22" s="241"/>
      <c r="CL22" s="241"/>
      <c r="CM22" s="241"/>
      <c r="CN22" s="241"/>
      <c r="CO22" s="241"/>
      <c r="CP22" s="241"/>
      <c r="CQ22" s="241"/>
      <c r="CR22" s="241"/>
      <c r="CS22" s="241"/>
      <c r="CT22" s="241"/>
      <c r="CU22" s="238">
        <f t="shared" si="8"/>
        <v>6323.2055056179779</v>
      </c>
      <c r="CV22" s="238">
        <f t="shared" si="9"/>
        <v>6323.2055056179779</v>
      </c>
      <c r="CW22" s="238">
        <f t="shared" si="49"/>
        <v>0</v>
      </c>
      <c r="CX22" s="238">
        <f t="shared" si="50"/>
        <v>6323.2055056179779</v>
      </c>
      <c r="CY22" s="238">
        <f t="shared" si="10"/>
        <v>562765.29</v>
      </c>
      <c r="CZ22" s="238">
        <f t="shared" si="11"/>
        <v>562765.29</v>
      </c>
      <c r="DA22" s="238">
        <f t="shared" si="51"/>
        <v>0</v>
      </c>
      <c r="DB22" s="238">
        <f t="shared" si="52"/>
        <v>562765.29</v>
      </c>
      <c r="DC22" s="53">
        <v>486886.83</v>
      </c>
      <c r="DD22" s="53"/>
      <c r="DE22" s="56">
        <f t="shared" si="53"/>
        <v>486886.83</v>
      </c>
      <c r="DF22" s="53"/>
      <c r="DG22" s="53"/>
      <c r="DH22" s="56">
        <f t="shared" si="54"/>
        <v>0</v>
      </c>
      <c r="DI22" s="56">
        <f t="shared" si="55"/>
        <v>486886.83</v>
      </c>
      <c r="DJ22" s="252">
        <v>77</v>
      </c>
      <c r="DK22" s="252"/>
      <c r="DL22" s="56">
        <f t="shared" si="56"/>
        <v>77</v>
      </c>
      <c r="DM22" s="252"/>
      <c r="DN22" s="252"/>
      <c r="DO22" s="56">
        <f t="shared" si="57"/>
        <v>0</v>
      </c>
      <c r="DP22" s="56">
        <f t="shared" si="58"/>
        <v>77</v>
      </c>
      <c r="DQ22" s="252">
        <v>922</v>
      </c>
      <c r="DR22" s="252"/>
      <c r="DS22" s="56">
        <f t="shared" si="59"/>
        <v>922</v>
      </c>
      <c r="DT22" s="252"/>
      <c r="DU22" s="252"/>
      <c r="DV22" s="56">
        <f t="shared" si="60"/>
        <v>0</v>
      </c>
      <c r="DW22" s="59">
        <f t="shared" si="61"/>
        <v>922</v>
      </c>
      <c r="DX22" s="56">
        <f t="shared" si="62"/>
        <v>6323.2055844155848</v>
      </c>
      <c r="DY22" s="56"/>
      <c r="DZ22" s="56">
        <f t="shared" si="64"/>
        <v>6323.2055844155848</v>
      </c>
      <c r="EA22" s="56"/>
      <c r="EB22" s="56"/>
      <c r="EC22" s="56"/>
      <c r="ED22" s="56">
        <f t="shared" si="15"/>
        <v>6323.2055844155848</v>
      </c>
      <c r="EE22" s="273"/>
      <c r="EF22" s="274"/>
      <c r="EG22" s="274"/>
      <c r="EH22" s="274"/>
      <c r="EI22" s="274"/>
      <c r="EJ22" s="274"/>
      <c r="EK22" s="274"/>
      <c r="EL22" s="274"/>
      <c r="EM22" s="274"/>
      <c r="EN22" s="274"/>
      <c r="EO22" s="274"/>
      <c r="EP22" s="274"/>
      <c r="EQ22" s="274"/>
      <c r="ER22" s="274"/>
      <c r="ES22" s="274"/>
      <c r="ET22" s="274"/>
      <c r="EU22" s="273">
        <f t="shared" si="16"/>
        <v>6323.2055844155848</v>
      </c>
      <c r="EV22" s="273">
        <f t="shared" si="17"/>
        <v>6323.2055844155848</v>
      </c>
      <c r="EW22" s="273">
        <f t="shared" si="18"/>
        <v>0</v>
      </c>
      <c r="EX22" s="273">
        <f t="shared" si="68"/>
        <v>6323.2055844155848</v>
      </c>
      <c r="EY22" s="273">
        <f t="shared" si="19"/>
        <v>486886.83</v>
      </c>
      <c r="EZ22" s="273">
        <f t="shared" si="20"/>
        <v>486886.83</v>
      </c>
      <c r="FA22" s="273">
        <f t="shared" si="69"/>
        <v>0</v>
      </c>
      <c r="FB22" s="273">
        <f t="shared" si="70"/>
        <v>486886.83</v>
      </c>
      <c r="FC22" s="56"/>
      <c r="FD22" s="56"/>
      <c r="FE22" s="56"/>
      <c r="FF22" s="56"/>
      <c r="FG22" s="47"/>
      <c r="FH22" s="47"/>
      <c r="FI22" s="47"/>
      <c r="FJ22" s="47"/>
    </row>
    <row r="23" spans="1:166" s="232" customFormat="1" x14ac:dyDescent="0.3">
      <c r="A23" s="251" t="s">
        <v>49</v>
      </c>
      <c r="B23" s="259" t="s">
        <v>18</v>
      </c>
      <c r="C23" s="255">
        <v>171728.65</v>
      </c>
      <c r="D23" s="255">
        <v>14417.64</v>
      </c>
      <c r="E23" s="255">
        <f>C23+D23</f>
        <v>186146.28999999998</v>
      </c>
      <c r="F23" s="255">
        <v>31386</v>
      </c>
      <c r="G23" s="255"/>
      <c r="H23" s="255">
        <f t="shared" si="0"/>
        <v>31386</v>
      </c>
      <c r="I23" s="56">
        <f t="shared" si="22"/>
        <v>217532.28999999998</v>
      </c>
      <c r="J23" s="256">
        <v>44</v>
      </c>
      <c r="K23" s="256">
        <v>2</v>
      </c>
      <c r="L23" s="256">
        <f t="shared" si="71"/>
        <v>46</v>
      </c>
      <c r="M23" s="256">
        <v>1</v>
      </c>
      <c r="N23" s="256"/>
      <c r="O23" s="256">
        <f t="shared" si="23"/>
        <v>1</v>
      </c>
      <c r="P23" s="56">
        <f t="shared" si="24"/>
        <v>47</v>
      </c>
      <c r="Q23" s="256">
        <v>605</v>
      </c>
      <c r="R23" s="256">
        <v>99</v>
      </c>
      <c r="S23" s="256">
        <f>Q23+R23</f>
        <v>704</v>
      </c>
      <c r="T23" s="256">
        <v>285</v>
      </c>
      <c r="U23" s="256"/>
      <c r="V23" s="256">
        <f>T23+U23</f>
        <v>285</v>
      </c>
      <c r="W23" s="56">
        <f t="shared" si="27"/>
        <v>989</v>
      </c>
      <c r="X23" s="255">
        <f>C23/J23</f>
        <v>3902.9238636363634</v>
      </c>
      <c r="Y23" s="255">
        <f t="shared" ref="Y23" si="75">D23/K23</f>
        <v>7208.82</v>
      </c>
      <c r="Z23" s="255">
        <f t="shared" si="74"/>
        <v>4046.6584782608693</v>
      </c>
      <c r="AA23" s="255">
        <f>F23/M23</f>
        <v>31386</v>
      </c>
      <c r="AB23" s="255"/>
      <c r="AC23" s="255">
        <f>H23/O23</f>
        <v>31386</v>
      </c>
      <c r="AD23" s="56">
        <f t="shared" si="2"/>
        <v>4628.3465957446806</v>
      </c>
      <c r="AE23" s="269"/>
      <c r="AF23" s="270"/>
      <c r="AG23" s="269"/>
      <c r="AH23" s="269"/>
      <c r="AI23" s="269"/>
      <c r="AJ23" s="269"/>
      <c r="AK23" s="270"/>
      <c r="AL23" s="270"/>
      <c r="AM23" s="270"/>
      <c r="AN23" s="267"/>
      <c r="AO23" s="267"/>
      <c r="AP23" s="267"/>
      <c r="AQ23" s="267"/>
      <c r="AR23" s="267"/>
      <c r="AS23" s="267"/>
      <c r="AT23" s="267"/>
      <c r="AU23" s="269">
        <f t="shared" si="3"/>
        <v>3902.9238636363634</v>
      </c>
      <c r="AV23" s="269">
        <f t="shared" si="4"/>
        <v>4046.6584782608693</v>
      </c>
      <c r="AW23" s="269">
        <f t="shared" si="29"/>
        <v>31386</v>
      </c>
      <c r="AX23" s="269">
        <f t="shared" si="30"/>
        <v>4628.3465957446806</v>
      </c>
      <c r="AY23" s="269">
        <f t="shared" si="5"/>
        <v>171728.65</v>
      </c>
      <c r="AZ23" s="269">
        <f t="shared" si="6"/>
        <v>186146.28999999998</v>
      </c>
      <c r="BA23" s="269">
        <f t="shared" si="31"/>
        <v>31386</v>
      </c>
      <c r="BB23" s="269">
        <f t="shared" si="32"/>
        <v>217532.28999999998</v>
      </c>
      <c r="BC23" s="255">
        <v>327965.90000000002</v>
      </c>
      <c r="BD23" s="255">
        <v>204193.02</v>
      </c>
      <c r="BE23" s="56">
        <f>BC23+BD23</f>
        <v>532158.92000000004</v>
      </c>
      <c r="BF23" s="255">
        <v>113597.04</v>
      </c>
      <c r="BG23" s="255"/>
      <c r="BH23" s="56">
        <f t="shared" si="34"/>
        <v>113597.04</v>
      </c>
      <c r="BI23" s="56">
        <f t="shared" si="35"/>
        <v>645755.96000000008</v>
      </c>
      <c r="BJ23" s="256">
        <v>67</v>
      </c>
      <c r="BK23" s="256">
        <v>8</v>
      </c>
      <c r="BL23" s="59">
        <f>BJ23+BK23</f>
        <v>75</v>
      </c>
      <c r="BM23" s="256">
        <v>2</v>
      </c>
      <c r="BN23" s="256"/>
      <c r="BO23" s="59">
        <f t="shared" si="37"/>
        <v>2</v>
      </c>
      <c r="BP23" s="56">
        <f t="shared" si="38"/>
        <v>77</v>
      </c>
      <c r="BQ23" s="256">
        <v>935</v>
      </c>
      <c r="BR23" s="256">
        <v>586</v>
      </c>
      <c r="BS23" s="59">
        <f t="shared" si="39"/>
        <v>1521</v>
      </c>
      <c r="BT23" s="256">
        <v>415</v>
      </c>
      <c r="BU23" s="256"/>
      <c r="BV23" s="59">
        <f t="shared" si="40"/>
        <v>415</v>
      </c>
      <c r="BW23" s="56">
        <f t="shared" si="41"/>
        <v>1936</v>
      </c>
      <c r="BX23" s="56">
        <f t="shared" si="42"/>
        <v>4895.0134328358208</v>
      </c>
      <c r="BY23" s="56">
        <f t="shared" ref="BY23" si="76">BD23/BK23</f>
        <v>25524.127499999999</v>
      </c>
      <c r="BZ23" s="56">
        <f t="shared" si="44"/>
        <v>7095.4522666666671</v>
      </c>
      <c r="CA23" s="56">
        <f t="shared" ref="CA23" si="77">BF23/BM23</f>
        <v>56798.52</v>
      </c>
      <c r="CB23" s="56"/>
      <c r="CC23" s="56">
        <f t="shared" ref="CC23" si="78">BH23/BO23</f>
        <v>56798.52</v>
      </c>
      <c r="CD23" s="56">
        <f t="shared" si="48"/>
        <v>8386.4410389610402</v>
      </c>
      <c r="CE23" s="238"/>
      <c r="CF23" s="241"/>
      <c r="CG23" s="241"/>
      <c r="CH23" s="241"/>
      <c r="CI23" s="241"/>
      <c r="CJ23" s="241"/>
      <c r="CK23" s="241"/>
      <c r="CL23" s="241"/>
      <c r="CM23" s="241"/>
      <c r="CN23" s="241"/>
      <c r="CO23" s="241"/>
      <c r="CP23" s="241"/>
      <c r="CQ23" s="241"/>
      <c r="CR23" s="241"/>
      <c r="CS23" s="241"/>
      <c r="CT23" s="241"/>
      <c r="CU23" s="238">
        <f t="shared" si="8"/>
        <v>4895.0134328358208</v>
      </c>
      <c r="CV23" s="238">
        <f t="shared" si="9"/>
        <v>7095.4522666666671</v>
      </c>
      <c r="CW23" s="238">
        <f t="shared" si="49"/>
        <v>56798.52</v>
      </c>
      <c r="CX23" s="238">
        <f t="shared" si="50"/>
        <v>8386.4410389610402</v>
      </c>
      <c r="CY23" s="238">
        <f t="shared" si="10"/>
        <v>327965.90000000002</v>
      </c>
      <c r="CZ23" s="238">
        <f t="shared" si="11"/>
        <v>532158.92000000004</v>
      </c>
      <c r="DA23" s="238">
        <f t="shared" si="51"/>
        <v>113597.04</v>
      </c>
      <c r="DB23" s="238">
        <f t="shared" si="52"/>
        <v>645755.96000000008</v>
      </c>
      <c r="DC23" s="255">
        <v>324618.7</v>
      </c>
      <c r="DD23" s="255">
        <v>137094.63</v>
      </c>
      <c r="DE23" s="56">
        <f t="shared" si="53"/>
        <v>461713.33</v>
      </c>
      <c r="DF23" s="255">
        <v>58807.64</v>
      </c>
      <c r="DG23" s="255"/>
      <c r="DH23" s="56">
        <f t="shared" si="54"/>
        <v>58807.64</v>
      </c>
      <c r="DI23" s="56">
        <f t="shared" si="55"/>
        <v>520520.97000000003</v>
      </c>
      <c r="DJ23" s="256">
        <v>68</v>
      </c>
      <c r="DK23" s="256">
        <v>9</v>
      </c>
      <c r="DL23" s="56">
        <f t="shared" si="56"/>
        <v>77</v>
      </c>
      <c r="DM23" s="256">
        <v>1</v>
      </c>
      <c r="DN23" s="256"/>
      <c r="DO23" s="56">
        <f t="shared" si="57"/>
        <v>1</v>
      </c>
      <c r="DP23" s="56">
        <f t="shared" si="58"/>
        <v>78</v>
      </c>
      <c r="DQ23" s="256">
        <v>961</v>
      </c>
      <c r="DR23" s="256">
        <v>480</v>
      </c>
      <c r="DS23" s="56">
        <f t="shared" si="59"/>
        <v>1441</v>
      </c>
      <c r="DT23" s="256">
        <v>200</v>
      </c>
      <c r="DU23" s="256"/>
      <c r="DV23" s="56">
        <f t="shared" si="60"/>
        <v>200</v>
      </c>
      <c r="DW23" s="59">
        <f t="shared" si="61"/>
        <v>1641</v>
      </c>
      <c r="DX23" s="56">
        <f>DC23/DJ23</f>
        <v>4773.8044117647059</v>
      </c>
      <c r="DY23" s="56">
        <f t="shared" ref="DY23" si="79">DD23/DK23</f>
        <v>15232.736666666668</v>
      </c>
      <c r="DZ23" s="56">
        <f t="shared" si="64"/>
        <v>5996.2770129870132</v>
      </c>
      <c r="EA23" s="56">
        <f>DF23/DM23</f>
        <v>58807.64</v>
      </c>
      <c r="EB23" s="56"/>
      <c r="EC23" s="56">
        <f>DH23/DO23</f>
        <v>58807.64</v>
      </c>
      <c r="ED23" s="56">
        <f t="shared" si="15"/>
        <v>6673.3457692307693</v>
      </c>
      <c r="EE23" s="273"/>
      <c r="EF23" s="274"/>
      <c r="EG23" s="274"/>
      <c r="EH23" s="274"/>
      <c r="EI23" s="274"/>
      <c r="EJ23" s="274"/>
      <c r="EK23" s="274"/>
      <c r="EL23" s="274"/>
      <c r="EM23" s="274"/>
      <c r="EN23" s="274"/>
      <c r="EO23" s="274"/>
      <c r="EP23" s="274"/>
      <c r="EQ23" s="274"/>
      <c r="ER23" s="274"/>
      <c r="ES23" s="274"/>
      <c r="ET23" s="274"/>
      <c r="EU23" s="273">
        <f t="shared" si="16"/>
        <v>4773.8044117647059</v>
      </c>
      <c r="EV23" s="273">
        <f t="shared" si="17"/>
        <v>5996.2770129870132</v>
      </c>
      <c r="EW23" s="273">
        <f t="shared" si="18"/>
        <v>58807.64</v>
      </c>
      <c r="EX23" s="273">
        <f t="shared" si="68"/>
        <v>6673.3457692307693</v>
      </c>
      <c r="EY23" s="273">
        <f t="shared" si="19"/>
        <v>324618.7</v>
      </c>
      <c r="EZ23" s="273">
        <f t="shared" si="20"/>
        <v>461713.33</v>
      </c>
      <c r="FA23" s="273">
        <f t="shared" si="69"/>
        <v>58807.64</v>
      </c>
      <c r="FB23" s="273">
        <f t="shared" si="70"/>
        <v>520520.97000000003</v>
      </c>
      <c r="FC23" s="255"/>
      <c r="FD23" s="255"/>
      <c r="FE23" s="255"/>
      <c r="FF23" s="255"/>
      <c r="FG23" s="263"/>
      <c r="FH23" s="263"/>
      <c r="FI23" s="263"/>
      <c r="FJ23" s="263"/>
    </row>
    <row r="24" spans="1:166" x14ac:dyDescent="0.3">
      <c r="A24" s="48" t="s">
        <v>50</v>
      </c>
      <c r="B24" s="258" t="s">
        <v>19</v>
      </c>
      <c r="C24" s="53">
        <v>236128</v>
      </c>
      <c r="D24" s="53">
        <v>6652</v>
      </c>
      <c r="E24" s="53">
        <f t="shared" si="21"/>
        <v>242780</v>
      </c>
      <c r="F24" s="53"/>
      <c r="G24" s="53"/>
      <c r="H24" s="53">
        <f t="shared" si="0"/>
        <v>0</v>
      </c>
      <c r="I24" s="56">
        <f t="shared" si="22"/>
        <v>242780</v>
      </c>
      <c r="J24" s="252">
        <v>71</v>
      </c>
      <c r="K24" s="252">
        <v>2</v>
      </c>
      <c r="L24" s="252">
        <f t="shared" si="71"/>
        <v>73</v>
      </c>
      <c r="M24" s="252"/>
      <c r="N24" s="252"/>
      <c r="O24" s="252">
        <f t="shared" si="23"/>
        <v>0</v>
      </c>
      <c r="P24" s="56">
        <f t="shared" si="24"/>
        <v>73</v>
      </c>
      <c r="Q24" s="252">
        <v>875</v>
      </c>
      <c r="R24" s="252">
        <v>150</v>
      </c>
      <c r="S24" s="59">
        <f t="shared" si="25"/>
        <v>1025</v>
      </c>
      <c r="T24" s="252"/>
      <c r="U24" s="252"/>
      <c r="V24" s="256">
        <f t="shared" ref="V24:V38" si="80">T24+U24</f>
        <v>0</v>
      </c>
      <c r="W24" s="56">
        <f t="shared" si="27"/>
        <v>1025</v>
      </c>
      <c r="X24" s="56">
        <f t="shared" si="73"/>
        <v>3325.7464788732395</v>
      </c>
      <c r="Y24" s="56">
        <f>D24/K24</f>
        <v>3326</v>
      </c>
      <c r="Z24" s="56">
        <f t="shared" si="74"/>
        <v>3325.7534246575342</v>
      </c>
      <c r="AA24" s="56"/>
      <c r="AB24" s="56"/>
      <c r="AC24" s="56"/>
      <c r="AD24" s="56">
        <f t="shared" si="2"/>
        <v>3325.7534246575342</v>
      </c>
      <c r="AE24" s="269"/>
      <c r="AF24" s="269"/>
      <c r="AG24" s="269"/>
      <c r="AH24" s="269"/>
      <c r="AI24" s="269"/>
      <c r="AJ24" s="269"/>
      <c r="AK24" s="267"/>
      <c r="AL24" s="267"/>
      <c r="AM24" s="267"/>
      <c r="AN24" s="269"/>
      <c r="AO24" s="267"/>
      <c r="AP24" s="267"/>
      <c r="AQ24" s="267"/>
      <c r="AR24" s="267"/>
      <c r="AS24" s="267"/>
      <c r="AT24" s="267"/>
      <c r="AU24" s="269">
        <f t="shared" si="3"/>
        <v>3325.7464788732395</v>
      </c>
      <c r="AV24" s="269">
        <f t="shared" si="4"/>
        <v>3325.7534246575342</v>
      </c>
      <c r="AW24" s="269">
        <f t="shared" si="29"/>
        <v>0</v>
      </c>
      <c r="AX24" s="269">
        <f t="shared" si="30"/>
        <v>3325.7534246575342</v>
      </c>
      <c r="AY24" s="269">
        <f t="shared" si="5"/>
        <v>236128</v>
      </c>
      <c r="AZ24" s="269">
        <f t="shared" si="6"/>
        <v>242780</v>
      </c>
      <c r="BA24" s="269">
        <f t="shared" si="31"/>
        <v>0</v>
      </c>
      <c r="BB24" s="269">
        <f t="shared" si="32"/>
        <v>242780</v>
      </c>
      <c r="BC24" s="53">
        <v>254402</v>
      </c>
      <c r="BD24" s="53"/>
      <c r="BE24" s="56">
        <f t="shared" si="33"/>
        <v>254402</v>
      </c>
      <c r="BF24" s="53">
        <v>3304</v>
      </c>
      <c r="BG24" s="53"/>
      <c r="BH24" s="56">
        <f t="shared" si="34"/>
        <v>3304</v>
      </c>
      <c r="BI24" s="56">
        <f t="shared" si="35"/>
        <v>257706</v>
      </c>
      <c r="BJ24" s="252">
        <v>77</v>
      </c>
      <c r="BK24" s="252"/>
      <c r="BL24" s="252">
        <f t="shared" si="36"/>
        <v>77</v>
      </c>
      <c r="BM24" s="252">
        <v>1</v>
      </c>
      <c r="BN24" s="252"/>
      <c r="BO24" s="252">
        <f t="shared" si="37"/>
        <v>1</v>
      </c>
      <c r="BP24" s="56">
        <f t="shared" si="38"/>
        <v>78</v>
      </c>
      <c r="BQ24" s="252">
        <v>950</v>
      </c>
      <c r="BR24" s="252"/>
      <c r="BS24" s="59">
        <f t="shared" si="39"/>
        <v>950</v>
      </c>
      <c r="BT24" s="252">
        <v>170</v>
      </c>
      <c r="BU24" s="252"/>
      <c r="BV24" s="59">
        <f t="shared" si="40"/>
        <v>170</v>
      </c>
      <c r="BW24" s="56">
        <f t="shared" si="41"/>
        <v>1120</v>
      </c>
      <c r="BX24" s="56">
        <f t="shared" si="42"/>
        <v>3303.9220779220777</v>
      </c>
      <c r="BY24" s="56"/>
      <c r="BZ24" s="56">
        <f t="shared" si="44"/>
        <v>3303.9220779220777</v>
      </c>
      <c r="CA24" s="56">
        <f t="shared" si="45"/>
        <v>3304</v>
      </c>
      <c r="CB24" s="56"/>
      <c r="CC24" s="56">
        <f t="shared" si="47"/>
        <v>3304</v>
      </c>
      <c r="CD24" s="56">
        <f t="shared" si="48"/>
        <v>3303.9230769230771</v>
      </c>
      <c r="CE24" s="238"/>
      <c r="CF24" s="238"/>
      <c r="CG24" s="233"/>
      <c r="CH24" s="233"/>
      <c r="CI24" s="233"/>
      <c r="CJ24" s="233"/>
      <c r="CK24" s="233"/>
      <c r="CL24" s="233"/>
      <c r="CM24" s="233"/>
      <c r="CN24" s="238"/>
      <c r="CO24" s="233"/>
      <c r="CP24" s="233"/>
      <c r="CQ24" s="233"/>
      <c r="CR24" s="233"/>
      <c r="CS24" s="233"/>
      <c r="CT24" s="233"/>
      <c r="CU24" s="238">
        <f t="shared" si="8"/>
        <v>3303.9220779220777</v>
      </c>
      <c r="CV24" s="238">
        <f t="shared" si="9"/>
        <v>0</v>
      </c>
      <c r="CW24" s="238">
        <f t="shared" si="49"/>
        <v>3304</v>
      </c>
      <c r="CX24" s="238">
        <f t="shared" si="50"/>
        <v>3303.9230769230771</v>
      </c>
      <c r="CY24" s="238">
        <f t="shared" si="10"/>
        <v>254402</v>
      </c>
      <c r="CZ24" s="238">
        <f t="shared" si="11"/>
        <v>0</v>
      </c>
      <c r="DA24" s="238">
        <f t="shared" si="51"/>
        <v>3304</v>
      </c>
      <c r="DB24" s="238">
        <f t="shared" si="52"/>
        <v>257706.00000000003</v>
      </c>
      <c r="DC24" s="53">
        <v>205910</v>
      </c>
      <c r="DD24" s="53"/>
      <c r="DE24" s="56">
        <f t="shared" si="53"/>
        <v>205910</v>
      </c>
      <c r="DF24" s="53"/>
      <c r="DG24" s="53"/>
      <c r="DH24" s="56">
        <f t="shared" si="54"/>
        <v>0</v>
      </c>
      <c r="DI24" s="56">
        <f t="shared" si="55"/>
        <v>205910</v>
      </c>
      <c r="DJ24" s="252">
        <v>73</v>
      </c>
      <c r="DK24" s="252"/>
      <c r="DL24" s="56">
        <f t="shared" si="56"/>
        <v>73</v>
      </c>
      <c r="DM24" s="252"/>
      <c r="DN24" s="252"/>
      <c r="DO24" s="56">
        <f t="shared" si="57"/>
        <v>0</v>
      </c>
      <c r="DP24" s="56">
        <f t="shared" si="58"/>
        <v>73</v>
      </c>
      <c r="DQ24" s="252">
        <v>865</v>
      </c>
      <c r="DR24" s="252"/>
      <c r="DS24" s="56">
        <f t="shared" si="59"/>
        <v>865</v>
      </c>
      <c r="DT24" s="252"/>
      <c r="DU24" s="252"/>
      <c r="DV24" s="56">
        <f t="shared" si="60"/>
        <v>0</v>
      </c>
      <c r="DW24" s="59">
        <f t="shared" si="61"/>
        <v>865</v>
      </c>
      <c r="DX24" s="56">
        <f t="shared" si="62"/>
        <v>2820.6849315068494</v>
      </c>
      <c r="DY24" s="56"/>
      <c r="DZ24" s="56">
        <f t="shared" si="64"/>
        <v>2820.6849315068494</v>
      </c>
      <c r="EA24" s="56"/>
      <c r="EB24" s="56"/>
      <c r="EC24" s="56"/>
      <c r="ED24" s="56">
        <f t="shared" si="15"/>
        <v>2820.6849315068494</v>
      </c>
      <c r="EE24" s="273"/>
      <c r="EF24" s="273"/>
      <c r="EG24" s="231"/>
      <c r="EH24" s="231"/>
      <c r="EI24" s="231"/>
      <c r="EJ24" s="231"/>
      <c r="EK24" s="231"/>
      <c r="EL24" s="231"/>
      <c r="EM24" s="231"/>
      <c r="EN24" s="273"/>
      <c r="EO24" s="231"/>
      <c r="EP24" s="231"/>
      <c r="EQ24" s="231"/>
      <c r="ER24" s="231"/>
      <c r="ES24" s="231"/>
      <c r="ET24" s="231"/>
      <c r="EU24" s="273">
        <f t="shared" si="16"/>
        <v>2820.6849315068494</v>
      </c>
      <c r="EV24" s="273">
        <f t="shared" si="17"/>
        <v>2820.6849315068494</v>
      </c>
      <c r="EW24" s="273">
        <f t="shared" si="18"/>
        <v>0</v>
      </c>
      <c r="EX24" s="273">
        <f t="shared" si="68"/>
        <v>2820.6849315068494</v>
      </c>
      <c r="EY24" s="273">
        <f t="shared" si="19"/>
        <v>205910</v>
      </c>
      <c r="EZ24" s="273">
        <f t="shared" si="20"/>
        <v>205910</v>
      </c>
      <c r="FA24" s="273">
        <f t="shared" si="69"/>
        <v>0</v>
      </c>
      <c r="FB24" s="273">
        <f t="shared" si="70"/>
        <v>205910</v>
      </c>
      <c r="FC24" s="56"/>
      <c r="FD24" s="56"/>
      <c r="FE24" s="56"/>
      <c r="FF24" s="56"/>
      <c r="FG24" s="47"/>
      <c r="FH24" s="47"/>
      <c r="FI24" s="47"/>
      <c r="FJ24" s="47"/>
    </row>
    <row r="25" spans="1:166" ht="28.8" x14ac:dyDescent="0.3">
      <c r="A25" s="48" t="s">
        <v>51</v>
      </c>
      <c r="B25" s="258" t="s">
        <v>20</v>
      </c>
      <c r="C25" s="53">
        <v>6034637.5300000003</v>
      </c>
      <c r="D25" s="53">
        <v>2306230.9</v>
      </c>
      <c r="E25" s="53">
        <f t="shared" si="21"/>
        <v>8340868.4299999997</v>
      </c>
      <c r="F25" s="53">
        <v>345934.64</v>
      </c>
      <c r="G25" s="53"/>
      <c r="H25" s="53">
        <f t="shared" si="0"/>
        <v>345934.64</v>
      </c>
      <c r="I25" s="56">
        <f t="shared" si="22"/>
        <v>8686803.0700000003</v>
      </c>
      <c r="J25" s="252">
        <v>157</v>
      </c>
      <c r="K25" s="252">
        <v>60</v>
      </c>
      <c r="L25" s="252">
        <f t="shared" si="71"/>
        <v>217</v>
      </c>
      <c r="M25" s="252">
        <v>9</v>
      </c>
      <c r="N25" s="252"/>
      <c r="O25" s="252">
        <f t="shared" si="23"/>
        <v>9</v>
      </c>
      <c r="P25" s="56">
        <f t="shared" si="24"/>
        <v>226</v>
      </c>
      <c r="Q25" s="252">
        <v>2017.09</v>
      </c>
      <c r="R25" s="252">
        <v>4985.8999999999996</v>
      </c>
      <c r="S25" s="59">
        <f t="shared" si="25"/>
        <v>7002.99</v>
      </c>
      <c r="T25" s="252">
        <v>3836.84</v>
      </c>
      <c r="U25" s="252"/>
      <c r="V25" s="256">
        <f t="shared" si="80"/>
        <v>3836.84</v>
      </c>
      <c r="W25" s="56">
        <f t="shared" si="27"/>
        <v>10839.83</v>
      </c>
      <c r="X25" s="56">
        <f t="shared" si="73"/>
        <v>38437.181719745226</v>
      </c>
      <c r="Y25" s="56">
        <f>D25/K25</f>
        <v>38437.181666666664</v>
      </c>
      <c r="Z25" s="56">
        <f t="shared" si="74"/>
        <v>38437.181705069124</v>
      </c>
      <c r="AA25" s="56">
        <f>F25/M25</f>
        <v>38437.182222222225</v>
      </c>
      <c r="AB25" s="56"/>
      <c r="AC25" s="56">
        <f t="shared" si="28"/>
        <v>38437.182222222225</v>
      </c>
      <c r="AD25" s="56">
        <f t="shared" si="2"/>
        <v>38437.181725663715</v>
      </c>
      <c r="AE25" s="269"/>
      <c r="AF25" s="270"/>
      <c r="AG25" s="269"/>
      <c r="AH25" s="269"/>
      <c r="AI25" s="269"/>
      <c r="AJ25" s="269"/>
      <c r="AK25" s="270"/>
      <c r="AL25" s="270"/>
      <c r="AM25" s="270"/>
      <c r="AN25" s="267"/>
      <c r="AO25" s="267"/>
      <c r="AP25" s="267"/>
      <c r="AQ25" s="267"/>
      <c r="AR25" s="267"/>
      <c r="AS25" s="267"/>
      <c r="AT25" s="267"/>
      <c r="AU25" s="269">
        <f t="shared" si="3"/>
        <v>0</v>
      </c>
      <c r="AV25" s="269">
        <f t="shared" si="4"/>
        <v>0</v>
      </c>
      <c r="AW25" s="269">
        <f t="shared" si="29"/>
        <v>38437.182222222225</v>
      </c>
      <c r="AX25" s="269">
        <f t="shared" si="30"/>
        <v>0</v>
      </c>
      <c r="AY25" s="269">
        <f t="shared" si="5"/>
        <v>0</v>
      </c>
      <c r="AZ25" s="269">
        <f t="shared" si="6"/>
        <v>0</v>
      </c>
      <c r="BA25" s="269">
        <f t="shared" si="31"/>
        <v>345934.64</v>
      </c>
      <c r="BB25" s="269">
        <f t="shared" si="32"/>
        <v>0</v>
      </c>
      <c r="BC25" s="53">
        <v>3667753.44</v>
      </c>
      <c r="BD25" s="53">
        <v>1445420.07</v>
      </c>
      <c r="BE25" s="56">
        <f t="shared" si="33"/>
        <v>5113173.51</v>
      </c>
      <c r="BF25" s="53">
        <v>343287.27</v>
      </c>
      <c r="BG25" s="53"/>
      <c r="BH25" s="56">
        <f t="shared" si="34"/>
        <v>343287.27</v>
      </c>
      <c r="BI25" s="56">
        <f t="shared" si="35"/>
        <v>5456460.7799999993</v>
      </c>
      <c r="BJ25" s="252">
        <v>203</v>
      </c>
      <c r="BK25" s="252">
        <v>80</v>
      </c>
      <c r="BL25" s="252">
        <f t="shared" si="36"/>
        <v>283</v>
      </c>
      <c r="BM25" s="252">
        <v>19</v>
      </c>
      <c r="BN25" s="252"/>
      <c r="BO25" s="252">
        <f t="shared" si="37"/>
        <v>19</v>
      </c>
      <c r="BP25" s="56">
        <f t="shared" si="38"/>
        <v>302</v>
      </c>
      <c r="BQ25" s="252">
        <v>2463.9499999999998</v>
      </c>
      <c r="BR25" s="252">
        <v>4369.84</v>
      </c>
      <c r="BS25" s="59">
        <f t="shared" si="39"/>
        <v>6833.79</v>
      </c>
      <c r="BT25" s="252">
        <v>8073</v>
      </c>
      <c r="BU25" s="252"/>
      <c r="BV25" s="59">
        <f t="shared" si="40"/>
        <v>8073</v>
      </c>
      <c r="BW25" s="56">
        <f t="shared" si="41"/>
        <v>14906.79</v>
      </c>
      <c r="BX25" s="56">
        <f t="shared" si="42"/>
        <v>18067.75093596059</v>
      </c>
      <c r="BY25" s="56">
        <f t="shared" si="43"/>
        <v>18067.750875000002</v>
      </c>
      <c r="BZ25" s="56">
        <f t="shared" si="44"/>
        <v>18067.750918727914</v>
      </c>
      <c r="CA25" s="56">
        <f t="shared" si="45"/>
        <v>18067.751052631578</v>
      </c>
      <c r="CB25" s="56"/>
      <c r="CC25" s="56">
        <f t="shared" si="47"/>
        <v>18067.751052631578</v>
      </c>
      <c r="CD25" s="56">
        <f t="shared" si="48"/>
        <v>18067.750927152316</v>
      </c>
      <c r="CE25" s="238"/>
      <c r="CF25" s="241"/>
      <c r="CG25" s="241"/>
      <c r="CH25" s="241"/>
      <c r="CI25" s="241"/>
      <c r="CJ25" s="241"/>
      <c r="CK25" s="241"/>
      <c r="CL25" s="241"/>
      <c r="CM25" s="241"/>
      <c r="CN25" s="241"/>
      <c r="CO25" s="241"/>
      <c r="CP25" s="241"/>
      <c r="CQ25" s="241"/>
      <c r="CR25" s="241"/>
      <c r="CS25" s="241"/>
      <c r="CT25" s="241"/>
      <c r="CU25" s="238">
        <f t="shared" si="8"/>
        <v>0</v>
      </c>
      <c r="CV25" s="238">
        <f t="shared" si="9"/>
        <v>18067.750918727914</v>
      </c>
      <c r="CW25" s="238">
        <f t="shared" si="49"/>
        <v>18067.751052631578</v>
      </c>
      <c r="CX25" s="238">
        <f>IF(AND(CD25&gt;$CP$13,CD25&lt;$CT$13),CD25,0)</f>
        <v>18067.750927152316</v>
      </c>
      <c r="CY25" s="238">
        <f t="shared" si="10"/>
        <v>0</v>
      </c>
      <c r="CZ25" s="238">
        <f t="shared" si="11"/>
        <v>5113173.51</v>
      </c>
      <c r="DA25" s="238">
        <f t="shared" si="51"/>
        <v>343287.26999999996</v>
      </c>
      <c r="DB25" s="238">
        <f t="shared" si="52"/>
        <v>5456460.7799999993</v>
      </c>
      <c r="DC25" s="53">
        <v>5370137.4500000002</v>
      </c>
      <c r="DD25" s="53">
        <v>2192806.12</v>
      </c>
      <c r="DE25" s="56">
        <f t="shared" si="53"/>
        <v>7562943.5700000003</v>
      </c>
      <c r="DF25" s="53">
        <v>358009.16</v>
      </c>
      <c r="DG25" s="53"/>
      <c r="DH25" s="56">
        <f t="shared" si="54"/>
        <v>358009.16</v>
      </c>
      <c r="DI25" s="56">
        <f t="shared" si="55"/>
        <v>7920952.7300000004</v>
      </c>
      <c r="DJ25" s="252">
        <v>120</v>
      </c>
      <c r="DK25" s="252">
        <v>49</v>
      </c>
      <c r="DL25" s="56">
        <f t="shared" si="56"/>
        <v>169</v>
      </c>
      <c r="DM25" s="252">
        <v>8</v>
      </c>
      <c r="DN25" s="252"/>
      <c r="DO25" s="56">
        <f t="shared" si="57"/>
        <v>8</v>
      </c>
      <c r="DP25" s="56">
        <f t="shared" si="58"/>
        <v>177</v>
      </c>
      <c r="DQ25" s="252">
        <v>1570.2</v>
      </c>
      <c r="DR25" s="252">
        <v>3752</v>
      </c>
      <c r="DS25" s="56">
        <f t="shared" si="59"/>
        <v>5322.2</v>
      </c>
      <c r="DT25" s="252">
        <v>3877</v>
      </c>
      <c r="DU25" s="252"/>
      <c r="DV25" s="56">
        <f t="shared" si="60"/>
        <v>3877</v>
      </c>
      <c r="DW25" s="59">
        <f t="shared" si="61"/>
        <v>9199.2000000000007</v>
      </c>
      <c r="DX25" s="56">
        <f t="shared" si="62"/>
        <v>44751.145416666666</v>
      </c>
      <c r="DY25" s="56">
        <f t="shared" si="63"/>
        <v>44751.145306122453</v>
      </c>
      <c r="DZ25" s="56">
        <f t="shared" si="64"/>
        <v>44751.145384615389</v>
      </c>
      <c r="EA25" s="56">
        <f t="shared" si="65"/>
        <v>44751.144999999997</v>
      </c>
      <c r="EB25" s="56"/>
      <c r="EC25" s="56">
        <f t="shared" si="67"/>
        <v>44751.144999999997</v>
      </c>
      <c r="ED25" s="56">
        <f t="shared" si="15"/>
        <v>44751.145367231642</v>
      </c>
      <c r="EE25" s="273"/>
      <c r="EF25" s="274"/>
      <c r="EG25" s="274"/>
      <c r="EH25" s="274"/>
      <c r="EI25" s="274"/>
      <c r="EJ25" s="274"/>
      <c r="EK25" s="274"/>
      <c r="EL25" s="274"/>
      <c r="EM25" s="274"/>
      <c r="EN25" s="274"/>
      <c r="EO25" s="274"/>
      <c r="EP25" s="274"/>
      <c r="EQ25" s="274"/>
      <c r="ER25" s="274"/>
      <c r="ES25" s="274"/>
      <c r="ET25" s="274"/>
      <c r="EU25" s="273">
        <f t="shared" si="16"/>
        <v>0</v>
      </c>
      <c r="EV25" s="273">
        <f t="shared" si="17"/>
        <v>0</v>
      </c>
      <c r="EW25" s="273">
        <f t="shared" si="18"/>
        <v>44751.144999999997</v>
      </c>
      <c r="EX25" s="273">
        <f t="shared" si="68"/>
        <v>0</v>
      </c>
      <c r="EY25" s="273">
        <f t="shared" si="19"/>
        <v>0</v>
      </c>
      <c r="EZ25" s="273">
        <f t="shared" si="20"/>
        <v>0</v>
      </c>
      <c r="FA25" s="273">
        <f t="shared" si="69"/>
        <v>358009.16</v>
      </c>
      <c r="FB25" s="273">
        <f t="shared" si="70"/>
        <v>0</v>
      </c>
      <c r="FC25" s="56"/>
      <c r="FD25" s="56"/>
      <c r="FE25" s="56"/>
      <c r="FF25" s="56"/>
      <c r="FG25" s="47"/>
      <c r="FH25" s="47"/>
      <c r="FI25" s="47"/>
      <c r="FJ25" s="47"/>
    </row>
    <row r="26" spans="1:166" ht="28.8" x14ac:dyDescent="0.3">
      <c r="A26" s="48" t="s">
        <v>52</v>
      </c>
      <c r="B26" s="258" t="s">
        <v>21</v>
      </c>
      <c r="C26" s="53">
        <v>606860</v>
      </c>
      <c r="D26" s="53">
        <v>71865</v>
      </c>
      <c r="E26" s="53">
        <f t="shared" si="21"/>
        <v>678725</v>
      </c>
      <c r="F26" s="53"/>
      <c r="G26" s="53"/>
      <c r="H26" s="53">
        <f t="shared" si="0"/>
        <v>0</v>
      </c>
      <c r="I26" s="56">
        <f t="shared" si="22"/>
        <v>678725</v>
      </c>
      <c r="J26" s="252">
        <v>76</v>
      </c>
      <c r="K26" s="252">
        <v>9</v>
      </c>
      <c r="L26" s="252">
        <f t="shared" si="71"/>
        <v>85</v>
      </c>
      <c r="M26" s="252"/>
      <c r="N26" s="252"/>
      <c r="O26" s="252">
        <f t="shared" si="23"/>
        <v>0</v>
      </c>
      <c r="P26" s="56">
        <f t="shared" si="24"/>
        <v>85</v>
      </c>
      <c r="Q26" s="252">
        <v>851</v>
      </c>
      <c r="R26" s="252">
        <v>449</v>
      </c>
      <c r="S26" s="59">
        <f t="shared" si="25"/>
        <v>1300</v>
      </c>
      <c r="T26" s="252"/>
      <c r="U26" s="252"/>
      <c r="V26" s="256">
        <f t="shared" si="80"/>
        <v>0</v>
      </c>
      <c r="W26" s="56">
        <f t="shared" si="27"/>
        <v>1300</v>
      </c>
      <c r="X26" s="56">
        <f t="shared" si="73"/>
        <v>7985</v>
      </c>
      <c r="Y26" s="56">
        <f>D26/K26</f>
        <v>7985</v>
      </c>
      <c r="Z26" s="56">
        <f t="shared" si="74"/>
        <v>7985</v>
      </c>
      <c r="AA26" s="56"/>
      <c r="AB26" s="56"/>
      <c r="AC26" s="56"/>
      <c r="AD26" s="56">
        <f t="shared" si="2"/>
        <v>7985</v>
      </c>
      <c r="AE26" s="269"/>
      <c r="AF26" s="269"/>
      <c r="AG26" s="269"/>
      <c r="AH26" s="269"/>
      <c r="AI26" s="269"/>
      <c r="AJ26" s="269"/>
      <c r="AK26" s="267"/>
      <c r="AL26" s="267"/>
      <c r="AM26" s="267"/>
      <c r="AN26" s="269"/>
      <c r="AO26" s="267"/>
      <c r="AP26" s="267"/>
      <c r="AQ26" s="267"/>
      <c r="AR26" s="267"/>
      <c r="AS26" s="267"/>
      <c r="AT26" s="267"/>
      <c r="AU26" s="269">
        <f t="shared" si="3"/>
        <v>7985</v>
      </c>
      <c r="AV26" s="269">
        <f t="shared" si="4"/>
        <v>7985</v>
      </c>
      <c r="AW26" s="269">
        <f t="shared" si="29"/>
        <v>0</v>
      </c>
      <c r="AX26" s="269">
        <f t="shared" si="30"/>
        <v>7985</v>
      </c>
      <c r="AY26" s="269">
        <f t="shared" si="5"/>
        <v>606860</v>
      </c>
      <c r="AZ26" s="269">
        <f t="shared" si="6"/>
        <v>678725</v>
      </c>
      <c r="BA26" s="269">
        <f t="shared" si="31"/>
        <v>0</v>
      </c>
      <c r="BB26" s="269">
        <f t="shared" si="32"/>
        <v>678725</v>
      </c>
      <c r="BC26" s="53">
        <v>614845</v>
      </c>
      <c r="BD26" s="53">
        <v>55895</v>
      </c>
      <c r="BE26" s="56">
        <f t="shared" si="33"/>
        <v>670740</v>
      </c>
      <c r="BF26" s="53">
        <v>7985</v>
      </c>
      <c r="BG26" s="53"/>
      <c r="BH26" s="56">
        <f t="shared" si="34"/>
        <v>7985</v>
      </c>
      <c r="BI26" s="56">
        <f t="shared" si="35"/>
        <v>678725</v>
      </c>
      <c r="BJ26" s="252">
        <v>77</v>
      </c>
      <c r="BK26" s="252">
        <v>7</v>
      </c>
      <c r="BL26" s="252">
        <f t="shared" si="36"/>
        <v>84</v>
      </c>
      <c r="BM26" s="252">
        <v>1</v>
      </c>
      <c r="BN26" s="252"/>
      <c r="BO26" s="252">
        <f t="shared" si="37"/>
        <v>1</v>
      </c>
      <c r="BP26" s="56">
        <f t="shared" si="38"/>
        <v>85</v>
      </c>
      <c r="BQ26" s="252">
        <v>720</v>
      </c>
      <c r="BR26" s="252">
        <v>410</v>
      </c>
      <c r="BS26" s="59">
        <f t="shared" si="39"/>
        <v>1130</v>
      </c>
      <c r="BT26" s="252">
        <v>500</v>
      </c>
      <c r="BU26" s="252"/>
      <c r="BV26" s="59">
        <f t="shared" si="40"/>
        <v>500</v>
      </c>
      <c r="BW26" s="56">
        <f t="shared" si="41"/>
        <v>1630</v>
      </c>
      <c r="BX26" s="56">
        <f t="shared" si="42"/>
        <v>7985</v>
      </c>
      <c r="BY26" s="56">
        <f t="shared" si="43"/>
        <v>7985</v>
      </c>
      <c r="BZ26" s="56">
        <f t="shared" si="44"/>
        <v>7985</v>
      </c>
      <c r="CA26" s="56">
        <f t="shared" si="45"/>
        <v>7985</v>
      </c>
      <c r="CB26" s="56"/>
      <c r="CC26" s="56">
        <f t="shared" si="47"/>
        <v>7985</v>
      </c>
      <c r="CD26" s="56">
        <f t="shared" si="48"/>
        <v>7985</v>
      </c>
      <c r="CE26" s="238"/>
      <c r="CF26" s="238"/>
      <c r="CG26" s="233"/>
      <c r="CH26" s="233"/>
      <c r="CI26" s="233"/>
      <c r="CJ26" s="233"/>
      <c r="CK26" s="233"/>
      <c r="CL26" s="233"/>
      <c r="CM26" s="233"/>
      <c r="CN26" s="238"/>
      <c r="CO26" s="233"/>
      <c r="CP26" s="233"/>
      <c r="CQ26" s="233"/>
      <c r="CR26" s="233"/>
      <c r="CS26" s="233"/>
      <c r="CT26" s="233"/>
      <c r="CU26" s="238">
        <f t="shared" si="8"/>
        <v>7985</v>
      </c>
      <c r="CV26" s="238">
        <f t="shared" si="9"/>
        <v>7985</v>
      </c>
      <c r="CW26" s="238">
        <f t="shared" si="49"/>
        <v>7985</v>
      </c>
      <c r="CX26" s="238">
        <f t="shared" si="50"/>
        <v>7985</v>
      </c>
      <c r="CY26" s="238">
        <f t="shared" si="10"/>
        <v>614845</v>
      </c>
      <c r="CZ26" s="238">
        <f t="shared" si="11"/>
        <v>670740</v>
      </c>
      <c r="DA26" s="238">
        <f t="shared" si="51"/>
        <v>7985</v>
      </c>
      <c r="DB26" s="238">
        <f t="shared" si="52"/>
        <v>678725</v>
      </c>
      <c r="DC26" s="53">
        <v>467616</v>
      </c>
      <c r="DD26" s="53"/>
      <c r="DE26" s="56">
        <f t="shared" si="53"/>
        <v>467616</v>
      </c>
      <c r="DF26" s="53"/>
      <c r="DG26" s="53"/>
      <c r="DH26" s="56">
        <f t="shared" si="54"/>
        <v>0</v>
      </c>
      <c r="DI26" s="56">
        <f t="shared" si="55"/>
        <v>467616</v>
      </c>
      <c r="DJ26" s="252">
        <v>48</v>
      </c>
      <c r="DK26" s="252"/>
      <c r="DL26" s="56">
        <f t="shared" si="56"/>
        <v>48</v>
      </c>
      <c r="DM26" s="252"/>
      <c r="DN26" s="252"/>
      <c r="DO26" s="56">
        <f t="shared" si="57"/>
        <v>0</v>
      </c>
      <c r="DP26" s="56">
        <f t="shared" si="58"/>
        <v>48</v>
      </c>
      <c r="DQ26" s="252">
        <v>424</v>
      </c>
      <c r="DR26" s="252"/>
      <c r="DS26" s="56">
        <f t="shared" si="59"/>
        <v>424</v>
      </c>
      <c r="DT26" s="252"/>
      <c r="DU26" s="252"/>
      <c r="DV26" s="56">
        <f t="shared" si="60"/>
        <v>0</v>
      </c>
      <c r="DW26" s="59">
        <f t="shared" si="61"/>
        <v>424</v>
      </c>
      <c r="DX26" s="56">
        <f t="shared" si="62"/>
        <v>9742</v>
      </c>
      <c r="DY26" s="56"/>
      <c r="DZ26" s="56">
        <f t="shared" si="64"/>
        <v>9742</v>
      </c>
      <c r="EA26" s="56"/>
      <c r="EB26" s="56"/>
      <c r="EC26" s="56"/>
      <c r="ED26" s="56">
        <f t="shared" si="15"/>
        <v>9742</v>
      </c>
      <c r="EE26" s="273"/>
      <c r="EF26" s="273"/>
      <c r="EG26" s="231"/>
      <c r="EH26" s="231"/>
      <c r="EI26" s="231"/>
      <c r="EJ26" s="231"/>
      <c r="EK26" s="231"/>
      <c r="EL26" s="231"/>
      <c r="EM26" s="231"/>
      <c r="EN26" s="273"/>
      <c r="EO26" s="231"/>
      <c r="EP26" s="231"/>
      <c r="EQ26" s="231"/>
      <c r="ER26" s="231"/>
      <c r="ES26" s="231"/>
      <c r="ET26" s="231"/>
      <c r="EU26" s="273">
        <f t="shared" si="16"/>
        <v>9742</v>
      </c>
      <c r="EV26" s="273">
        <f t="shared" si="17"/>
        <v>9742</v>
      </c>
      <c r="EW26" s="273">
        <f t="shared" si="18"/>
        <v>0</v>
      </c>
      <c r="EX26" s="273">
        <f t="shared" si="68"/>
        <v>9742</v>
      </c>
      <c r="EY26" s="273">
        <f t="shared" si="19"/>
        <v>467616</v>
      </c>
      <c r="EZ26" s="273">
        <f t="shared" si="20"/>
        <v>467616</v>
      </c>
      <c r="FA26" s="273">
        <f t="shared" si="69"/>
        <v>0</v>
      </c>
      <c r="FB26" s="273">
        <f t="shared" si="70"/>
        <v>467616</v>
      </c>
      <c r="FC26" s="56"/>
      <c r="FD26" s="56"/>
      <c r="FE26" s="56"/>
      <c r="FF26" s="56"/>
      <c r="FG26" s="47"/>
      <c r="FH26" s="47"/>
      <c r="FI26" s="47"/>
      <c r="FJ26" s="47"/>
    </row>
    <row r="27" spans="1:166" x14ac:dyDescent="0.3">
      <c r="A27" s="48" t="s">
        <v>53</v>
      </c>
      <c r="B27" s="258" t="s">
        <v>22</v>
      </c>
      <c r="C27" s="53">
        <v>1467563.4</v>
      </c>
      <c r="D27" s="53">
        <v>258182.45</v>
      </c>
      <c r="E27" s="53">
        <f t="shared" si="21"/>
        <v>1725745.8499999999</v>
      </c>
      <c r="F27" s="53">
        <v>54354.2</v>
      </c>
      <c r="G27" s="53"/>
      <c r="H27" s="53">
        <f t="shared" si="0"/>
        <v>54354.2</v>
      </c>
      <c r="I27" s="56">
        <f t="shared" si="22"/>
        <v>1780100.0499999998</v>
      </c>
      <c r="J27" s="252">
        <v>108</v>
      </c>
      <c r="K27" s="252">
        <v>19</v>
      </c>
      <c r="L27" s="252">
        <f t="shared" si="71"/>
        <v>127</v>
      </c>
      <c r="M27" s="252">
        <v>4</v>
      </c>
      <c r="N27" s="252"/>
      <c r="O27" s="252">
        <f t="shared" si="23"/>
        <v>4</v>
      </c>
      <c r="P27" s="56">
        <f t="shared" si="24"/>
        <v>131</v>
      </c>
      <c r="Q27" s="252">
        <v>1556</v>
      </c>
      <c r="R27" s="252">
        <v>868</v>
      </c>
      <c r="S27" s="59">
        <f t="shared" si="25"/>
        <v>2424</v>
      </c>
      <c r="T27" s="252">
        <v>984</v>
      </c>
      <c r="U27" s="252"/>
      <c r="V27" s="256">
        <f t="shared" si="80"/>
        <v>984</v>
      </c>
      <c r="W27" s="56">
        <f t="shared" si="27"/>
        <v>3408</v>
      </c>
      <c r="X27" s="56">
        <f t="shared" si="73"/>
        <v>13588.55</v>
      </c>
      <c r="Y27" s="56">
        <f>D27/K27</f>
        <v>13588.550000000001</v>
      </c>
      <c r="Z27" s="56">
        <f t="shared" si="74"/>
        <v>13588.55</v>
      </c>
      <c r="AA27" s="56">
        <f>F27/M27</f>
        <v>13588.55</v>
      </c>
      <c r="AB27" s="56"/>
      <c r="AC27" s="56">
        <f t="shared" si="28"/>
        <v>13588.55</v>
      </c>
      <c r="AD27" s="56">
        <f t="shared" si="2"/>
        <v>13588.55</v>
      </c>
      <c r="AE27" s="269"/>
      <c r="AF27" s="269"/>
      <c r="AG27" s="269"/>
      <c r="AH27" s="269"/>
      <c r="AI27" s="269"/>
      <c r="AJ27" s="269"/>
      <c r="AK27" s="267"/>
      <c r="AL27" s="267"/>
      <c r="AM27" s="267"/>
      <c r="AN27" s="269"/>
      <c r="AO27" s="267"/>
      <c r="AP27" s="267"/>
      <c r="AQ27" s="267"/>
      <c r="AR27" s="267"/>
      <c r="AS27" s="267"/>
      <c r="AT27" s="267"/>
      <c r="AU27" s="269">
        <f t="shared" si="3"/>
        <v>13588.55</v>
      </c>
      <c r="AV27" s="269">
        <f t="shared" si="4"/>
        <v>13588.55</v>
      </c>
      <c r="AW27" s="269">
        <f t="shared" si="29"/>
        <v>13588.55</v>
      </c>
      <c r="AX27" s="269">
        <f t="shared" si="30"/>
        <v>13588.55</v>
      </c>
      <c r="AY27" s="269">
        <f t="shared" si="5"/>
        <v>1467563.4</v>
      </c>
      <c r="AZ27" s="269">
        <f t="shared" si="6"/>
        <v>1725745.8499999999</v>
      </c>
      <c r="BA27" s="269">
        <f t="shared" si="31"/>
        <v>54354.2</v>
      </c>
      <c r="BB27" s="269">
        <f t="shared" si="32"/>
        <v>1780100.0499999998</v>
      </c>
      <c r="BC27" s="53">
        <v>1400532.56</v>
      </c>
      <c r="BD27" s="53">
        <v>144384.79999999999</v>
      </c>
      <c r="BE27" s="56">
        <f t="shared" si="33"/>
        <v>1544917.36</v>
      </c>
      <c r="BF27" s="53">
        <v>28876.959999999999</v>
      </c>
      <c r="BG27" s="53"/>
      <c r="BH27" s="56">
        <f t="shared" si="34"/>
        <v>28876.959999999999</v>
      </c>
      <c r="BI27" s="56">
        <f t="shared" si="35"/>
        <v>1573794.32</v>
      </c>
      <c r="BJ27" s="252">
        <v>97</v>
      </c>
      <c r="BK27" s="252">
        <v>10</v>
      </c>
      <c r="BL27" s="252">
        <f t="shared" si="36"/>
        <v>107</v>
      </c>
      <c r="BM27" s="252">
        <v>2</v>
      </c>
      <c r="BN27" s="252"/>
      <c r="BO27" s="252">
        <f t="shared" si="37"/>
        <v>2</v>
      </c>
      <c r="BP27" s="56">
        <f t="shared" si="38"/>
        <v>109</v>
      </c>
      <c r="BQ27" s="252">
        <v>1410</v>
      </c>
      <c r="BR27" s="252">
        <v>721</v>
      </c>
      <c r="BS27" s="59">
        <f t="shared" si="39"/>
        <v>2131</v>
      </c>
      <c r="BT27" s="252">
        <v>440</v>
      </c>
      <c r="BU27" s="252"/>
      <c r="BV27" s="59">
        <f t="shared" si="40"/>
        <v>440</v>
      </c>
      <c r="BW27" s="56">
        <f t="shared" si="41"/>
        <v>2571</v>
      </c>
      <c r="BX27" s="56">
        <f t="shared" si="42"/>
        <v>14438.480000000001</v>
      </c>
      <c r="BY27" s="56">
        <f t="shared" si="43"/>
        <v>14438.48</v>
      </c>
      <c r="BZ27" s="56">
        <f t="shared" si="44"/>
        <v>14438.480000000001</v>
      </c>
      <c r="CA27" s="56">
        <f t="shared" si="45"/>
        <v>14438.48</v>
      </c>
      <c r="CB27" s="56"/>
      <c r="CC27" s="56">
        <f t="shared" si="47"/>
        <v>14438.48</v>
      </c>
      <c r="CD27" s="56">
        <f t="shared" si="48"/>
        <v>14438.480000000001</v>
      </c>
      <c r="CE27" s="238"/>
      <c r="CF27" s="238"/>
      <c r="CG27" s="233"/>
      <c r="CH27" s="233"/>
      <c r="CI27" s="233"/>
      <c r="CJ27" s="233"/>
      <c r="CK27" s="233"/>
      <c r="CL27" s="233"/>
      <c r="CM27" s="233"/>
      <c r="CN27" s="238"/>
      <c r="CO27" s="233"/>
      <c r="CP27" s="233"/>
      <c r="CQ27" s="233"/>
      <c r="CR27" s="233"/>
      <c r="CS27" s="233"/>
      <c r="CT27" s="233"/>
      <c r="CU27" s="238">
        <f t="shared" si="8"/>
        <v>14438.480000000001</v>
      </c>
      <c r="CV27" s="238">
        <f t="shared" si="9"/>
        <v>14438.480000000001</v>
      </c>
      <c r="CW27" s="238">
        <f t="shared" si="49"/>
        <v>14438.48</v>
      </c>
      <c r="CX27" s="238">
        <f t="shared" si="50"/>
        <v>14438.480000000001</v>
      </c>
      <c r="CY27" s="238">
        <f t="shared" si="10"/>
        <v>1400532.56</v>
      </c>
      <c r="CZ27" s="238">
        <f t="shared" si="11"/>
        <v>1544917.36</v>
      </c>
      <c r="DA27" s="238">
        <f t="shared" si="51"/>
        <v>28876.959999999999</v>
      </c>
      <c r="DB27" s="238">
        <f t="shared" si="52"/>
        <v>1573794.32</v>
      </c>
      <c r="DC27" s="53">
        <v>1836395</v>
      </c>
      <c r="DD27" s="53">
        <v>146911.6</v>
      </c>
      <c r="DE27" s="56">
        <f t="shared" si="53"/>
        <v>1983306.6</v>
      </c>
      <c r="DF27" s="53">
        <v>14691.16</v>
      </c>
      <c r="DG27" s="53"/>
      <c r="DH27" s="56">
        <f t="shared" si="54"/>
        <v>14691.16</v>
      </c>
      <c r="DI27" s="56">
        <f t="shared" si="55"/>
        <v>1997997.76</v>
      </c>
      <c r="DJ27" s="252">
        <v>125</v>
      </c>
      <c r="DK27" s="252">
        <v>10</v>
      </c>
      <c r="DL27" s="56">
        <f t="shared" si="56"/>
        <v>135</v>
      </c>
      <c r="DM27" s="252">
        <v>1</v>
      </c>
      <c r="DN27" s="252"/>
      <c r="DO27" s="56">
        <f t="shared" si="57"/>
        <v>1</v>
      </c>
      <c r="DP27" s="56">
        <f t="shared" si="58"/>
        <v>136</v>
      </c>
      <c r="DQ27" s="252">
        <v>1739</v>
      </c>
      <c r="DR27" s="252">
        <v>605</v>
      </c>
      <c r="DS27" s="56">
        <f t="shared" si="59"/>
        <v>2344</v>
      </c>
      <c r="DT27" s="252">
        <v>400</v>
      </c>
      <c r="DU27" s="252"/>
      <c r="DV27" s="56">
        <f t="shared" si="60"/>
        <v>400</v>
      </c>
      <c r="DW27" s="59">
        <f t="shared" si="61"/>
        <v>2744</v>
      </c>
      <c r="DX27" s="56">
        <f t="shared" si="62"/>
        <v>14691.16</v>
      </c>
      <c r="DY27" s="56">
        <f t="shared" si="63"/>
        <v>14691.16</v>
      </c>
      <c r="DZ27" s="56">
        <f t="shared" si="64"/>
        <v>14691.16</v>
      </c>
      <c r="EA27" s="56">
        <f t="shared" si="65"/>
        <v>14691.16</v>
      </c>
      <c r="EB27" s="56"/>
      <c r="EC27" s="56">
        <f t="shared" si="67"/>
        <v>14691.16</v>
      </c>
      <c r="ED27" s="56">
        <f t="shared" si="15"/>
        <v>14691.16</v>
      </c>
      <c r="EE27" s="273"/>
      <c r="EF27" s="273"/>
      <c r="EG27" s="231"/>
      <c r="EH27" s="231"/>
      <c r="EI27" s="231"/>
      <c r="EJ27" s="231"/>
      <c r="EK27" s="231"/>
      <c r="EL27" s="231"/>
      <c r="EM27" s="231"/>
      <c r="EN27" s="273"/>
      <c r="EO27" s="231"/>
      <c r="EP27" s="231"/>
      <c r="EQ27" s="231"/>
      <c r="ER27" s="231"/>
      <c r="ES27" s="231"/>
      <c r="ET27" s="231"/>
      <c r="EU27" s="273">
        <f t="shared" si="16"/>
        <v>14691.16</v>
      </c>
      <c r="EV27" s="273">
        <f t="shared" si="17"/>
        <v>14691.16</v>
      </c>
      <c r="EW27" s="273">
        <f t="shared" si="18"/>
        <v>14691.16</v>
      </c>
      <c r="EX27" s="273">
        <f t="shared" si="68"/>
        <v>14691.16</v>
      </c>
      <c r="EY27" s="273">
        <f t="shared" si="19"/>
        <v>1836395</v>
      </c>
      <c r="EZ27" s="273">
        <f t="shared" si="20"/>
        <v>1983306.6</v>
      </c>
      <c r="FA27" s="273">
        <f t="shared" si="69"/>
        <v>14691.16</v>
      </c>
      <c r="FB27" s="273">
        <f t="shared" si="70"/>
        <v>1997997.76</v>
      </c>
      <c r="FC27" s="56"/>
      <c r="FD27" s="56"/>
      <c r="FE27" s="56"/>
      <c r="FF27" s="56"/>
      <c r="FG27" s="47"/>
      <c r="FH27" s="47"/>
      <c r="FI27" s="47"/>
      <c r="FJ27" s="47"/>
    </row>
    <row r="28" spans="1:166" x14ac:dyDescent="0.3">
      <c r="A28" s="48" t="s">
        <v>54</v>
      </c>
      <c r="B28" s="258" t="s">
        <v>23</v>
      </c>
      <c r="C28" s="53">
        <v>1373670.35</v>
      </c>
      <c r="D28" s="53">
        <v>0</v>
      </c>
      <c r="E28" s="53">
        <f t="shared" si="21"/>
        <v>1373670.35</v>
      </c>
      <c r="F28" s="53">
        <v>0</v>
      </c>
      <c r="G28" s="53">
        <v>0</v>
      </c>
      <c r="H28" s="53">
        <f t="shared" si="0"/>
        <v>0</v>
      </c>
      <c r="I28" s="56">
        <f t="shared" si="22"/>
        <v>1373670.35</v>
      </c>
      <c r="J28" s="252">
        <v>296</v>
      </c>
      <c r="K28" s="252">
        <v>0</v>
      </c>
      <c r="L28" s="252">
        <f t="shared" si="71"/>
        <v>296</v>
      </c>
      <c r="M28" s="252">
        <v>0</v>
      </c>
      <c r="N28" s="252">
        <v>0</v>
      </c>
      <c r="O28" s="252">
        <f t="shared" si="23"/>
        <v>0</v>
      </c>
      <c r="P28" s="56">
        <f t="shared" si="24"/>
        <v>296</v>
      </c>
      <c r="Q28" s="252">
        <v>6305</v>
      </c>
      <c r="R28" s="252">
        <v>0</v>
      </c>
      <c r="S28" s="59">
        <f t="shared" si="25"/>
        <v>6305</v>
      </c>
      <c r="T28" s="252">
        <v>0</v>
      </c>
      <c r="U28" s="252">
        <v>0</v>
      </c>
      <c r="V28" s="256">
        <f t="shared" si="80"/>
        <v>0</v>
      </c>
      <c r="W28" s="56">
        <f t="shared" si="27"/>
        <v>6305</v>
      </c>
      <c r="X28" s="56">
        <f t="shared" si="73"/>
        <v>4640.7782094594595</v>
      </c>
      <c r="Y28" s="56"/>
      <c r="Z28" s="56">
        <f t="shared" si="74"/>
        <v>4640.7782094594595</v>
      </c>
      <c r="AA28" s="56"/>
      <c r="AB28" s="56"/>
      <c r="AC28" s="56"/>
      <c r="AD28" s="56">
        <f t="shared" si="2"/>
        <v>4640.7782094594595</v>
      </c>
      <c r="AE28" s="269"/>
      <c r="AF28" s="270"/>
      <c r="AG28" s="269"/>
      <c r="AH28" s="269"/>
      <c r="AI28" s="269"/>
      <c r="AJ28" s="269"/>
      <c r="AK28" s="270"/>
      <c r="AL28" s="270"/>
      <c r="AM28" s="270"/>
      <c r="AN28" s="267"/>
      <c r="AO28" s="267"/>
      <c r="AP28" s="267"/>
      <c r="AQ28" s="267"/>
      <c r="AR28" s="267"/>
      <c r="AS28" s="267"/>
      <c r="AT28" s="267"/>
      <c r="AU28" s="269">
        <f t="shared" si="3"/>
        <v>4640.7782094594595</v>
      </c>
      <c r="AV28" s="269">
        <f t="shared" si="4"/>
        <v>4640.7782094594595</v>
      </c>
      <c r="AW28" s="269">
        <f t="shared" si="29"/>
        <v>0</v>
      </c>
      <c r="AX28" s="269">
        <f t="shared" si="30"/>
        <v>4640.7782094594595</v>
      </c>
      <c r="AY28" s="269">
        <f t="shared" si="5"/>
        <v>1373670.35</v>
      </c>
      <c r="AZ28" s="269">
        <f t="shared" si="6"/>
        <v>1373670.35</v>
      </c>
      <c r="BA28" s="269">
        <f t="shared" si="31"/>
        <v>0</v>
      </c>
      <c r="BB28" s="269">
        <f t="shared" si="32"/>
        <v>1373670.35</v>
      </c>
      <c r="BC28" s="53">
        <v>1337466.8400000001</v>
      </c>
      <c r="BD28" s="53">
        <v>0</v>
      </c>
      <c r="BE28" s="56">
        <f t="shared" si="33"/>
        <v>1337466.8400000001</v>
      </c>
      <c r="BF28" s="53">
        <v>0</v>
      </c>
      <c r="BG28" s="53">
        <v>0</v>
      </c>
      <c r="BH28" s="56">
        <f t="shared" si="34"/>
        <v>0</v>
      </c>
      <c r="BI28" s="56">
        <f t="shared" si="35"/>
        <v>1337466.8400000001</v>
      </c>
      <c r="BJ28" s="252">
        <v>305</v>
      </c>
      <c r="BK28" s="252">
        <v>0</v>
      </c>
      <c r="BL28" s="252">
        <f t="shared" si="36"/>
        <v>305</v>
      </c>
      <c r="BM28" s="252">
        <v>0</v>
      </c>
      <c r="BN28" s="252">
        <v>0</v>
      </c>
      <c r="BO28" s="252">
        <f t="shared" si="37"/>
        <v>0</v>
      </c>
      <c r="BP28" s="56">
        <f t="shared" si="38"/>
        <v>305</v>
      </c>
      <c r="BQ28" s="252">
        <v>5878.2</v>
      </c>
      <c r="BR28" s="252">
        <v>0</v>
      </c>
      <c r="BS28" s="59">
        <f t="shared" si="39"/>
        <v>5878.2</v>
      </c>
      <c r="BT28" s="252">
        <v>0</v>
      </c>
      <c r="BU28" s="252">
        <v>0</v>
      </c>
      <c r="BV28" s="59">
        <f t="shared" si="40"/>
        <v>0</v>
      </c>
      <c r="BW28" s="56">
        <f t="shared" si="41"/>
        <v>5878.2</v>
      </c>
      <c r="BX28" s="56">
        <f t="shared" si="42"/>
        <v>4385.1371803278689</v>
      </c>
      <c r="BY28" s="56"/>
      <c r="BZ28" s="56">
        <f t="shared" si="44"/>
        <v>4385.1371803278689</v>
      </c>
      <c r="CA28" s="56"/>
      <c r="CB28" s="56"/>
      <c r="CC28" s="56"/>
      <c r="CD28" s="56">
        <f t="shared" si="48"/>
        <v>4385.1371803278689</v>
      </c>
      <c r="CE28" s="238"/>
      <c r="CF28" s="241"/>
      <c r="CG28" s="241"/>
      <c r="CH28" s="241"/>
      <c r="CI28" s="241"/>
      <c r="CJ28" s="241"/>
      <c r="CK28" s="241"/>
      <c r="CL28" s="241"/>
      <c r="CM28" s="241"/>
      <c r="CN28" s="241"/>
      <c r="CO28" s="241"/>
      <c r="CP28" s="241"/>
      <c r="CQ28" s="241"/>
      <c r="CR28" s="241"/>
      <c r="CS28" s="241"/>
      <c r="CT28" s="241"/>
      <c r="CU28" s="238">
        <f t="shared" si="8"/>
        <v>4385.1371803278689</v>
      </c>
      <c r="CV28" s="238">
        <f t="shared" si="9"/>
        <v>4385.1371803278689</v>
      </c>
      <c r="CW28" s="238">
        <f t="shared" si="49"/>
        <v>0</v>
      </c>
      <c r="CX28" s="238">
        <f t="shared" si="50"/>
        <v>4385.1371803278689</v>
      </c>
      <c r="CY28" s="238">
        <f t="shared" si="10"/>
        <v>1337466.8400000001</v>
      </c>
      <c r="CZ28" s="238">
        <f t="shared" si="11"/>
        <v>1337466.8400000001</v>
      </c>
      <c r="DA28" s="238">
        <f t="shared" si="51"/>
        <v>0</v>
      </c>
      <c r="DB28" s="238">
        <f t="shared" si="52"/>
        <v>1337466.8400000001</v>
      </c>
      <c r="DC28" s="53">
        <v>2215552.81</v>
      </c>
      <c r="DD28" s="53">
        <v>0</v>
      </c>
      <c r="DE28" s="56">
        <f t="shared" si="53"/>
        <v>2215552.81</v>
      </c>
      <c r="DF28" s="53">
        <v>0</v>
      </c>
      <c r="DG28" s="53">
        <v>0</v>
      </c>
      <c r="DH28" s="56">
        <f t="shared" si="54"/>
        <v>0</v>
      </c>
      <c r="DI28" s="56">
        <f t="shared" si="55"/>
        <v>2215552.81</v>
      </c>
      <c r="DJ28" s="252">
        <v>426</v>
      </c>
      <c r="DK28" s="252">
        <v>0</v>
      </c>
      <c r="DL28" s="56">
        <f t="shared" si="56"/>
        <v>426</v>
      </c>
      <c r="DM28" s="252">
        <v>0</v>
      </c>
      <c r="DN28" s="252">
        <v>0</v>
      </c>
      <c r="DO28" s="56">
        <f t="shared" si="57"/>
        <v>0</v>
      </c>
      <c r="DP28" s="56">
        <f t="shared" si="58"/>
        <v>426</v>
      </c>
      <c r="DQ28" s="252">
        <v>9184.4</v>
      </c>
      <c r="DR28" s="252">
        <v>0</v>
      </c>
      <c r="DS28" s="56">
        <f t="shared" si="59"/>
        <v>9184.4</v>
      </c>
      <c r="DT28" s="252">
        <v>0</v>
      </c>
      <c r="DU28" s="252">
        <v>0</v>
      </c>
      <c r="DV28" s="56">
        <f t="shared" si="60"/>
        <v>0</v>
      </c>
      <c r="DW28" s="59">
        <f t="shared" si="61"/>
        <v>9184.4</v>
      </c>
      <c r="DX28" s="56">
        <f t="shared" si="62"/>
        <v>5200.8281924882631</v>
      </c>
      <c r="DY28" s="56"/>
      <c r="DZ28" s="56">
        <f t="shared" si="64"/>
        <v>5200.8281924882631</v>
      </c>
      <c r="EA28" s="56"/>
      <c r="EB28" s="56"/>
      <c r="EC28" s="56"/>
      <c r="ED28" s="56">
        <f t="shared" si="15"/>
        <v>5200.8281924882631</v>
      </c>
      <c r="EE28" s="273"/>
      <c r="EF28" s="274"/>
      <c r="EG28" s="274"/>
      <c r="EH28" s="274"/>
      <c r="EI28" s="274"/>
      <c r="EJ28" s="274"/>
      <c r="EK28" s="274"/>
      <c r="EL28" s="274"/>
      <c r="EM28" s="274"/>
      <c r="EN28" s="274"/>
      <c r="EO28" s="274"/>
      <c r="EP28" s="274"/>
      <c r="EQ28" s="274"/>
      <c r="ER28" s="274"/>
      <c r="ES28" s="274"/>
      <c r="ET28" s="274"/>
      <c r="EU28" s="273">
        <f t="shared" si="16"/>
        <v>5200.8281924882631</v>
      </c>
      <c r="EV28" s="273">
        <f t="shared" si="17"/>
        <v>5200.8281924882631</v>
      </c>
      <c r="EW28" s="273">
        <f t="shared" si="18"/>
        <v>0</v>
      </c>
      <c r="EX28" s="273">
        <f t="shared" si="68"/>
        <v>5200.8281924882631</v>
      </c>
      <c r="EY28" s="273">
        <f t="shared" si="19"/>
        <v>2215552.81</v>
      </c>
      <c r="EZ28" s="273">
        <f t="shared" si="20"/>
        <v>2215552.81</v>
      </c>
      <c r="FA28" s="273">
        <f t="shared" si="69"/>
        <v>0</v>
      </c>
      <c r="FB28" s="273">
        <f t="shared" si="70"/>
        <v>2215552.81</v>
      </c>
      <c r="FC28" s="56"/>
      <c r="FD28" s="56"/>
      <c r="FE28" s="56"/>
      <c r="FF28" s="56"/>
      <c r="FG28" s="47"/>
      <c r="FH28" s="47"/>
      <c r="FI28" s="47"/>
      <c r="FJ28" s="47"/>
    </row>
    <row r="29" spans="1:166" x14ac:dyDescent="0.3">
      <c r="A29" s="48" t="s">
        <v>55</v>
      </c>
      <c r="B29" s="258" t="s">
        <v>135</v>
      </c>
      <c r="C29" s="53">
        <v>36791.269999999997</v>
      </c>
      <c r="D29" s="53">
        <v>15851.95</v>
      </c>
      <c r="E29" s="53">
        <f t="shared" si="21"/>
        <v>52643.22</v>
      </c>
      <c r="F29" s="53"/>
      <c r="G29" s="53"/>
      <c r="H29" s="53">
        <f t="shared" si="0"/>
        <v>0</v>
      </c>
      <c r="I29" s="56">
        <f t="shared" si="22"/>
        <v>52643.22</v>
      </c>
      <c r="J29" s="252">
        <v>40</v>
      </c>
      <c r="K29" s="252">
        <v>2</v>
      </c>
      <c r="L29" s="252">
        <f t="shared" si="71"/>
        <v>42</v>
      </c>
      <c r="M29" s="252"/>
      <c r="N29" s="252"/>
      <c r="O29" s="252">
        <f t="shared" si="23"/>
        <v>0</v>
      </c>
      <c r="P29" s="56">
        <f t="shared" si="24"/>
        <v>42</v>
      </c>
      <c r="Q29" s="252">
        <v>499</v>
      </c>
      <c r="R29" s="252">
        <v>215</v>
      </c>
      <c r="S29" s="59">
        <f t="shared" si="25"/>
        <v>714</v>
      </c>
      <c r="T29" s="252"/>
      <c r="U29" s="252"/>
      <c r="V29" s="256">
        <f t="shared" si="80"/>
        <v>0</v>
      </c>
      <c r="W29" s="56">
        <f t="shared" si="27"/>
        <v>714</v>
      </c>
      <c r="X29" s="56">
        <f t="shared" si="73"/>
        <v>919.78174999999987</v>
      </c>
      <c r="Y29" s="56">
        <f>D29/K29</f>
        <v>7925.9750000000004</v>
      </c>
      <c r="Z29" s="56">
        <f t="shared" si="74"/>
        <v>1253.4100000000001</v>
      </c>
      <c r="AA29" s="56"/>
      <c r="AB29" s="56"/>
      <c r="AC29" s="56"/>
      <c r="AD29" s="56">
        <f t="shared" ref="AD29:AD38" si="81">I29/P29</f>
        <v>1253.4100000000001</v>
      </c>
      <c r="AE29" s="269"/>
      <c r="AF29" s="270"/>
      <c r="AG29" s="269"/>
      <c r="AH29" s="269"/>
      <c r="AI29" s="269"/>
      <c r="AJ29" s="269"/>
      <c r="AK29" s="270"/>
      <c r="AL29" s="270"/>
      <c r="AM29" s="270"/>
      <c r="AN29" s="270"/>
      <c r="AO29" s="270"/>
      <c r="AP29" s="270"/>
      <c r="AQ29" s="270"/>
      <c r="AR29" s="270"/>
      <c r="AS29" s="270"/>
      <c r="AT29" s="270"/>
      <c r="AU29" s="269">
        <f t="shared" si="3"/>
        <v>919.78174999999987</v>
      </c>
      <c r="AV29" s="269">
        <f t="shared" si="4"/>
        <v>1253.4100000000001</v>
      </c>
      <c r="AW29" s="269">
        <f t="shared" si="29"/>
        <v>0</v>
      </c>
      <c r="AX29" s="269">
        <f t="shared" si="30"/>
        <v>1253.4100000000001</v>
      </c>
      <c r="AY29" s="269">
        <f t="shared" si="5"/>
        <v>36791.269999999997</v>
      </c>
      <c r="AZ29" s="269">
        <f t="shared" si="6"/>
        <v>52643.22</v>
      </c>
      <c r="BA29" s="269">
        <f t="shared" si="31"/>
        <v>0</v>
      </c>
      <c r="BB29" s="269">
        <f t="shared" si="32"/>
        <v>52643.22</v>
      </c>
      <c r="BC29" s="56">
        <v>63982.38</v>
      </c>
      <c r="BD29" s="56">
        <v>10575.6</v>
      </c>
      <c r="BE29" s="56">
        <f t="shared" si="33"/>
        <v>74557.98</v>
      </c>
      <c r="BF29" s="56"/>
      <c r="BG29" s="56"/>
      <c r="BH29" s="56">
        <f t="shared" si="34"/>
        <v>0</v>
      </c>
      <c r="BI29" s="56">
        <f t="shared" si="35"/>
        <v>74557.98</v>
      </c>
      <c r="BJ29" s="59">
        <v>59</v>
      </c>
      <c r="BK29" s="59">
        <v>2</v>
      </c>
      <c r="BL29" s="59">
        <f t="shared" si="36"/>
        <v>61</v>
      </c>
      <c r="BM29" s="59"/>
      <c r="BN29" s="59"/>
      <c r="BO29" s="59">
        <f t="shared" si="37"/>
        <v>0</v>
      </c>
      <c r="BP29" s="56">
        <f t="shared" si="38"/>
        <v>61</v>
      </c>
      <c r="BQ29" s="59">
        <v>847</v>
      </c>
      <c r="BR29" s="59">
        <v>140</v>
      </c>
      <c r="BS29" s="59">
        <f t="shared" si="39"/>
        <v>987</v>
      </c>
      <c r="BT29" s="59"/>
      <c r="BU29" s="59"/>
      <c r="BV29" s="59">
        <f t="shared" si="40"/>
        <v>0</v>
      </c>
      <c r="BW29" s="56">
        <f t="shared" si="41"/>
        <v>987</v>
      </c>
      <c r="BX29" s="56">
        <f>BC29/BJ29</f>
        <v>1084.4471186440678</v>
      </c>
      <c r="BY29" s="56">
        <f t="shared" ref="BY29" si="82">BD29/BK29</f>
        <v>5287.8</v>
      </c>
      <c r="BZ29" s="56">
        <f t="shared" si="44"/>
        <v>1222.2619672131148</v>
      </c>
      <c r="CA29" s="56"/>
      <c r="CB29" s="56"/>
      <c r="CC29" s="56"/>
      <c r="CD29" s="56">
        <f t="shared" si="48"/>
        <v>1222.2619672131148</v>
      </c>
      <c r="CE29" s="238"/>
      <c r="CF29" s="241"/>
      <c r="CG29" s="241"/>
      <c r="CH29" s="241"/>
      <c r="CI29" s="241"/>
      <c r="CJ29" s="241"/>
      <c r="CK29" s="241"/>
      <c r="CL29" s="241"/>
      <c r="CM29" s="241"/>
      <c r="CN29" s="241"/>
      <c r="CO29" s="241"/>
      <c r="CP29" s="241"/>
      <c r="CQ29" s="241"/>
      <c r="CR29" s="241"/>
      <c r="CS29" s="241"/>
      <c r="CT29" s="241"/>
      <c r="CU29" s="238">
        <f t="shared" si="8"/>
        <v>0</v>
      </c>
      <c r="CV29" s="238">
        <f t="shared" si="9"/>
        <v>0</v>
      </c>
      <c r="CW29" s="238">
        <f t="shared" si="49"/>
        <v>0</v>
      </c>
      <c r="CX29" s="238">
        <f t="shared" si="50"/>
        <v>0</v>
      </c>
      <c r="CY29" s="238">
        <f t="shared" si="10"/>
        <v>0</v>
      </c>
      <c r="CZ29" s="238">
        <f t="shared" si="11"/>
        <v>0</v>
      </c>
      <c r="DA29" s="238">
        <f t="shared" si="51"/>
        <v>0</v>
      </c>
      <c r="DB29" s="238">
        <f t="shared" si="52"/>
        <v>0</v>
      </c>
      <c r="DC29" s="56">
        <v>70896.600000000006</v>
      </c>
      <c r="DD29" s="56">
        <v>28731.78</v>
      </c>
      <c r="DE29" s="56">
        <f t="shared" si="53"/>
        <v>99628.38</v>
      </c>
      <c r="DF29" s="56"/>
      <c r="DG29" s="56"/>
      <c r="DH29" s="56">
        <f t="shared" si="54"/>
        <v>0</v>
      </c>
      <c r="DI29" s="56">
        <f t="shared" si="55"/>
        <v>99628.38</v>
      </c>
      <c r="DJ29" s="252">
        <v>42</v>
      </c>
      <c r="DK29" s="252">
        <v>2</v>
      </c>
      <c r="DL29" s="56">
        <f t="shared" si="56"/>
        <v>44</v>
      </c>
      <c r="DM29" s="59"/>
      <c r="DN29" s="59"/>
      <c r="DO29" s="56">
        <f t="shared" si="57"/>
        <v>0</v>
      </c>
      <c r="DP29" s="56">
        <f t="shared" si="58"/>
        <v>44</v>
      </c>
      <c r="DQ29" s="59">
        <v>570</v>
      </c>
      <c r="DR29" s="59">
        <v>231</v>
      </c>
      <c r="DS29" s="56">
        <f t="shared" si="59"/>
        <v>801</v>
      </c>
      <c r="DT29" s="59"/>
      <c r="DU29" s="59"/>
      <c r="DV29" s="56">
        <f>DT29+DU29</f>
        <v>0</v>
      </c>
      <c r="DW29" s="59">
        <f t="shared" si="61"/>
        <v>801</v>
      </c>
      <c r="DX29" s="56">
        <f>DC29/DJ29</f>
        <v>1688.014285714286</v>
      </c>
      <c r="DY29" s="56">
        <f t="shared" ref="DY29" si="83">DD29/DK29</f>
        <v>14365.89</v>
      </c>
      <c r="DZ29" s="56">
        <f t="shared" si="64"/>
        <v>2264.2813636363639</v>
      </c>
      <c r="EA29" s="56"/>
      <c r="EB29" s="56"/>
      <c r="EC29" s="56"/>
      <c r="ED29" s="56">
        <f t="shared" ref="ED29:ED38" si="84">DI29/DP29</f>
        <v>2264.2813636363639</v>
      </c>
      <c r="EE29" s="273"/>
      <c r="EF29" s="274"/>
      <c r="EG29" s="274"/>
      <c r="EH29" s="274"/>
      <c r="EI29" s="274"/>
      <c r="EJ29" s="274"/>
      <c r="EK29" s="274"/>
      <c r="EL29" s="274"/>
      <c r="EM29" s="274"/>
      <c r="EN29" s="274"/>
      <c r="EO29" s="274"/>
      <c r="EP29" s="274"/>
      <c r="EQ29" s="274"/>
      <c r="ER29" s="274"/>
      <c r="ES29" s="274"/>
      <c r="ET29" s="274"/>
      <c r="EU29" s="273">
        <f t="shared" si="16"/>
        <v>1688.014285714286</v>
      </c>
      <c r="EV29" s="273">
        <f t="shared" si="17"/>
        <v>2264.2813636363639</v>
      </c>
      <c r="EW29" s="273">
        <f t="shared" si="18"/>
        <v>0</v>
      </c>
      <c r="EX29" s="273">
        <f t="shared" si="68"/>
        <v>2264.2813636363639</v>
      </c>
      <c r="EY29" s="273">
        <f t="shared" si="19"/>
        <v>70896.600000000006</v>
      </c>
      <c r="EZ29" s="273">
        <f t="shared" si="20"/>
        <v>99628.380000000019</v>
      </c>
      <c r="FA29" s="273">
        <f t="shared" si="69"/>
        <v>0</v>
      </c>
      <c r="FB29" s="273">
        <f t="shared" si="70"/>
        <v>99628.380000000019</v>
      </c>
      <c r="FC29" s="56"/>
      <c r="FD29" s="56"/>
      <c r="FE29" s="56"/>
      <c r="FF29" s="56"/>
      <c r="FG29" s="47"/>
      <c r="FH29" s="47"/>
      <c r="FI29" s="47"/>
      <c r="FJ29" s="47"/>
    </row>
    <row r="30" spans="1:166" s="46" customFormat="1" ht="28.8" x14ac:dyDescent="0.3">
      <c r="A30" s="61" t="s">
        <v>56</v>
      </c>
      <c r="B30" s="258" t="s">
        <v>25</v>
      </c>
      <c r="C30" s="255">
        <v>850619.03</v>
      </c>
      <c r="D30" s="255">
        <f>383895+20205</f>
        <v>404100</v>
      </c>
      <c r="E30" s="255">
        <f t="shared" si="21"/>
        <v>1254719.03</v>
      </c>
      <c r="F30" s="255">
        <v>102060</v>
      </c>
      <c r="G30" s="255"/>
      <c r="H30" s="255">
        <f t="shared" si="0"/>
        <v>102060</v>
      </c>
      <c r="I30" s="56">
        <f t="shared" si="22"/>
        <v>1356779.03</v>
      </c>
      <c r="J30" s="59">
        <v>131</v>
      </c>
      <c r="K30" s="59">
        <f>19+1</f>
        <v>20</v>
      </c>
      <c r="L30" s="59">
        <f t="shared" si="71"/>
        <v>151</v>
      </c>
      <c r="M30" s="59">
        <v>3</v>
      </c>
      <c r="N30" s="59"/>
      <c r="O30" s="59">
        <f t="shared" si="23"/>
        <v>3</v>
      </c>
      <c r="P30" s="56">
        <f t="shared" si="24"/>
        <v>154</v>
      </c>
      <c r="Q30" s="59">
        <v>1324</v>
      </c>
      <c r="R30" s="59">
        <f>518.5+20</f>
        <v>538.5</v>
      </c>
      <c r="S30" s="59">
        <f t="shared" si="25"/>
        <v>1862.5</v>
      </c>
      <c r="T30" s="59">
        <v>865</v>
      </c>
      <c r="U30" s="59"/>
      <c r="V30" s="59">
        <f t="shared" si="80"/>
        <v>865</v>
      </c>
      <c r="W30" s="56">
        <f t="shared" si="27"/>
        <v>2727.5</v>
      </c>
      <c r="X30" s="56">
        <f t="shared" si="73"/>
        <v>6493.2750381679389</v>
      </c>
      <c r="Y30" s="56">
        <f>D30/K30</f>
        <v>20205</v>
      </c>
      <c r="Z30" s="56">
        <f t="shared" si="74"/>
        <v>8309.3975496688745</v>
      </c>
      <c r="AA30" s="56">
        <f>F30/M30</f>
        <v>34020</v>
      </c>
      <c r="AB30" s="56"/>
      <c r="AC30" s="56">
        <f t="shared" si="28"/>
        <v>34020</v>
      </c>
      <c r="AD30" s="56">
        <f t="shared" si="81"/>
        <v>8810.2534415584414</v>
      </c>
      <c r="AE30" s="269"/>
      <c r="AF30" s="270"/>
      <c r="AG30" s="269"/>
      <c r="AH30" s="269"/>
      <c r="AI30" s="269"/>
      <c r="AJ30" s="269"/>
      <c r="AK30" s="270"/>
      <c r="AL30" s="270"/>
      <c r="AM30" s="270"/>
      <c r="AN30" s="270"/>
      <c r="AO30" s="270"/>
      <c r="AP30" s="270"/>
      <c r="AQ30" s="270"/>
      <c r="AR30" s="270"/>
      <c r="AS30" s="270"/>
      <c r="AT30" s="270"/>
      <c r="AU30" s="269">
        <f t="shared" si="3"/>
        <v>6493.2750381679389</v>
      </c>
      <c r="AV30" s="269">
        <f t="shared" si="4"/>
        <v>8309.3975496688745</v>
      </c>
      <c r="AW30" s="269">
        <f t="shared" si="29"/>
        <v>34020</v>
      </c>
      <c r="AX30" s="269">
        <f t="shared" si="30"/>
        <v>8810.2534415584414</v>
      </c>
      <c r="AY30" s="269">
        <f t="shared" si="5"/>
        <v>850619.03</v>
      </c>
      <c r="AZ30" s="269">
        <f t="shared" si="6"/>
        <v>1254719.03</v>
      </c>
      <c r="BA30" s="269">
        <f t="shared" si="31"/>
        <v>102060</v>
      </c>
      <c r="BB30" s="269">
        <f t="shared" si="32"/>
        <v>1356779.03</v>
      </c>
      <c r="BC30" s="255">
        <v>1679252.56</v>
      </c>
      <c r="BD30" s="255">
        <v>267153.82</v>
      </c>
      <c r="BE30" s="56">
        <f t="shared" si="33"/>
        <v>1946406.3800000001</v>
      </c>
      <c r="BF30" s="255">
        <v>28623.62</v>
      </c>
      <c r="BG30" s="255"/>
      <c r="BH30" s="56">
        <f t="shared" si="34"/>
        <v>28623.62</v>
      </c>
      <c r="BI30" s="56">
        <f>BC30+BD30+BF30+BG30</f>
        <v>1975030.0000000002</v>
      </c>
      <c r="BJ30" s="256">
        <v>110</v>
      </c>
      <c r="BK30" s="256">
        <v>14</v>
      </c>
      <c r="BL30" s="256">
        <f t="shared" si="36"/>
        <v>124</v>
      </c>
      <c r="BM30" s="256">
        <v>1</v>
      </c>
      <c r="BN30" s="256"/>
      <c r="BO30" s="256">
        <f t="shared" si="37"/>
        <v>1</v>
      </c>
      <c r="BP30" s="56">
        <f t="shared" si="38"/>
        <v>125</v>
      </c>
      <c r="BQ30" s="256">
        <v>1108</v>
      </c>
      <c r="BR30" s="256">
        <v>698.26</v>
      </c>
      <c r="BS30" s="256">
        <f t="shared" si="39"/>
        <v>1806.26</v>
      </c>
      <c r="BT30" s="256">
        <v>200</v>
      </c>
      <c r="BU30" s="256"/>
      <c r="BV30" s="59">
        <f t="shared" si="40"/>
        <v>200</v>
      </c>
      <c r="BW30" s="56">
        <f t="shared" si="41"/>
        <v>2006.26</v>
      </c>
      <c r="BX30" s="56">
        <f t="shared" si="42"/>
        <v>15265.932363636364</v>
      </c>
      <c r="BY30" s="56">
        <f t="shared" si="43"/>
        <v>19082.415714285715</v>
      </c>
      <c r="BZ30" s="56">
        <f t="shared" si="44"/>
        <v>15696.825645161291</v>
      </c>
      <c r="CA30" s="56">
        <f t="shared" si="45"/>
        <v>28623.62</v>
      </c>
      <c r="CB30" s="56"/>
      <c r="CC30" s="56">
        <f t="shared" si="47"/>
        <v>28623.62</v>
      </c>
      <c r="CD30" s="56">
        <f t="shared" si="48"/>
        <v>15800.240000000002</v>
      </c>
      <c r="CE30" s="238"/>
      <c r="CF30" s="241"/>
      <c r="CG30" s="241"/>
      <c r="CH30" s="241"/>
      <c r="CI30" s="241"/>
      <c r="CJ30" s="241"/>
      <c r="CK30" s="241"/>
      <c r="CL30" s="241"/>
      <c r="CM30" s="241"/>
      <c r="CN30" s="241"/>
      <c r="CO30" s="241"/>
      <c r="CP30" s="241"/>
      <c r="CQ30" s="241"/>
      <c r="CR30" s="241"/>
      <c r="CS30" s="241"/>
      <c r="CT30" s="241"/>
      <c r="CU30" s="238">
        <f t="shared" si="8"/>
        <v>15265.932363636364</v>
      </c>
      <c r="CV30" s="238">
        <f t="shared" si="9"/>
        <v>15696.825645161291</v>
      </c>
      <c r="CW30" s="238">
        <f t="shared" si="49"/>
        <v>28623.62</v>
      </c>
      <c r="CX30" s="238">
        <f t="shared" si="50"/>
        <v>15800.240000000002</v>
      </c>
      <c r="CY30" s="238">
        <f t="shared" si="10"/>
        <v>1679252.56</v>
      </c>
      <c r="CZ30" s="238">
        <f t="shared" si="11"/>
        <v>1946406.3800000001</v>
      </c>
      <c r="DA30" s="238">
        <f t="shared" si="51"/>
        <v>28623.62</v>
      </c>
      <c r="DB30" s="238">
        <f t="shared" si="52"/>
        <v>1975030.0000000002</v>
      </c>
      <c r="DC30" s="255">
        <v>559593.05000000005</v>
      </c>
      <c r="DD30" s="255">
        <v>90033.54</v>
      </c>
      <c r="DE30" s="255">
        <f t="shared" si="53"/>
        <v>649626.59000000008</v>
      </c>
      <c r="DF30" s="255">
        <v>24932.36</v>
      </c>
      <c r="DG30" s="255">
        <v>11081.05</v>
      </c>
      <c r="DH30" s="56">
        <f t="shared" si="54"/>
        <v>36013.410000000003</v>
      </c>
      <c r="DI30" s="56">
        <f t="shared" si="55"/>
        <v>685640.00000000012</v>
      </c>
      <c r="DJ30" s="256">
        <v>101</v>
      </c>
      <c r="DK30" s="256">
        <v>13</v>
      </c>
      <c r="DL30" s="255">
        <f t="shared" si="56"/>
        <v>114</v>
      </c>
      <c r="DM30" s="256">
        <v>3</v>
      </c>
      <c r="DN30" s="256">
        <v>1</v>
      </c>
      <c r="DO30" s="56">
        <f t="shared" si="57"/>
        <v>4</v>
      </c>
      <c r="DP30" s="56">
        <f t="shared" si="58"/>
        <v>118</v>
      </c>
      <c r="DQ30" s="256">
        <v>986.79</v>
      </c>
      <c r="DR30" s="256">
        <v>456.21</v>
      </c>
      <c r="DS30" s="255">
        <f>DQ30+DR30</f>
        <v>1443</v>
      </c>
      <c r="DT30" s="256">
        <v>345.04</v>
      </c>
      <c r="DU30" s="256">
        <v>690</v>
      </c>
      <c r="DV30" s="56">
        <f>DT30+DU30</f>
        <v>1035.04</v>
      </c>
      <c r="DW30" s="59">
        <f t="shared" si="61"/>
        <v>2478.04</v>
      </c>
      <c r="DX30" s="56">
        <f t="shared" si="62"/>
        <v>5540.5252475247526</v>
      </c>
      <c r="DY30" s="56">
        <f t="shared" si="63"/>
        <v>6925.6569230769228</v>
      </c>
      <c r="DZ30" s="56">
        <f t="shared" si="64"/>
        <v>5698.4788596491235</v>
      </c>
      <c r="EA30" s="56">
        <f t="shared" si="65"/>
        <v>8310.7866666666669</v>
      </c>
      <c r="EB30" s="56">
        <f t="shared" si="66"/>
        <v>11081.05</v>
      </c>
      <c r="EC30" s="56">
        <f t="shared" si="67"/>
        <v>9003.3525000000009</v>
      </c>
      <c r="ED30" s="56">
        <f t="shared" si="84"/>
        <v>5810.5084745762724</v>
      </c>
      <c r="EE30" s="273"/>
      <c r="EF30" s="274"/>
      <c r="EG30" s="274"/>
      <c r="EH30" s="274"/>
      <c r="EI30" s="274"/>
      <c r="EJ30" s="274"/>
      <c r="EK30" s="274"/>
      <c r="EL30" s="274"/>
      <c r="EM30" s="274"/>
      <c r="EN30" s="274"/>
      <c r="EO30" s="274"/>
      <c r="EP30" s="274"/>
      <c r="EQ30" s="274"/>
      <c r="ER30" s="274"/>
      <c r="ES30" s="274"/>
      <c r="ET30" s="274"/>
      <c r="EU30" s="273">
        <f t="shared" si="16"/>
        <v>5540.5252475247526</v>
      </c>
      <c r="EV30" s="273">
        <f t="shared" si="17"/>
        <v>5698.4788596491235</v>
      </c>
      <c r="EW30" s="273">
        <f t="shared" si="18"/>
        <v>9003.3525000000009</v>
      </c>
      <c r="EX30" s="273">
        <f t="shared" si="68"/>
        <v>5810.5084745762724</v>
      </c>
      <c r="EY30" s="273">
        <f t="shared" si="19"/>
        <v>559593.05000000005</v>
      </c>
      <c r="EZ30" s="273">
        <f t="shared" si="20"/>
        <v>649626.59000000008</v>
      </c>
      <c r="FA30" s="273">
        <f t="shared" si="69"/>
        <v>36013.410000000003</v>
      </c>
      <c r="FB30" s="273">
        <f t="shared" si="70"/>
        <v>685640.00000000012</v>
      </c>
      <c r="FC30" s="56"/>
      <c r="FD30" s="56"/>
      <c r="FE30" s="56"/>
      <c r="FF30" s="56"/>
      <c r="FG30" s="230"/>
      <c r="FH30" s="230"/>
      <c r="FI30" s="230"/>
      <c r="FJ30" s="230"/>
    </row>
    <row r="31" spans="1:166" ht="28.8" x14ac:dyDescent="0.3">
      <c r="A31" s="48" t="s">
        <v>57</v>
      </c>
      <c r="B31" s="258" t="s">
        <v>26</v>
      </c>
      <c r="C31" s="53">
        <v>56155.14</v>
      </c>
      <c r="D31" s="53">
        <v>10249.84</v>
      </c>
      <c r="E31" s="53">
        <f t="shared" si="21"/>
        <v>66404.98</v>
      </c>
      <c r="F31" s="53"/>
      <c r="G31" s="53"/>
      <c r="H31" s="53">
        <f t="shared" si="0"/>
        <v>0</v>
      </c>
      <c r="I31" s="56">
        <f t="shared" si="22"/>
        <v>66404.98</v>
      </c>
      <c r="J31" s="252">
        <v>6</v>
      </c>
      <c r="K31" s="252">
        <v>1</v>
      </c>
      <c r="L31" s="252">
        <f t="shared" si="71"/>
        <v>7</v>
      </c>
      <c r="M31" s="252"/>
      <c r="N31" s="252"/>
      <c r="O31" s="252">
        <f t="shared" si="23"/>
        <v>0</v>
      </c>
      <c r="P31" s="56">
        <f t="shared" si="24"/>
        <v>7</v>
      </c>
      <c r="Q31" s="252">
        <v>90</v>
      </c>
      <c r="R31" s="252">
        <v>35</v>
      </c>
      <c r="S31" s="59">
        <f t="shared" si="25"/>
        <v>125</v>
      </c>
      <c r="T31" s="252"/>
      <c r="U31" s="252"/>
      <c r="V31" s="256">
        <f t="shared" si="80"/>
        <v>0</v>
      </c>
      <c r="W31" s="56">
        <f t="shared" si="27"/>
        <v>125</v>
      </c>
      <c r="X31" s="56">
        <f t="shared" si="73"/>
        <v>9359.19</v>
      </c>
      <c r="Y31" s="56">
        <f>D31/K31</f>
        <v>10249.84</v>
      </c>
      <c r="Z31" s="56">
        <f t="shared" si="74"/>
        <v>9486.4257142857132</v>
      </c>
      <c r="AA31" s="56"/>
      <c r="AB31" s="56"/>
      <c r="AC31" s="56"/>
      <c r="AD31" s="56">
        <f t="shared" si="81"/>
        <v>9486.4257142857132</v>
      </c>
      <c r="AE31" s="269"/>
      <c r="AF31" s="270"/>
      <c r="AG31" s="269"/>
      <c r="AH31" s="269"/>
      <c r="AI31" s="269"/>
      <c r="AJ31" s="269"/>
      <c r="AK31" s="270"/>
      <c r="AL31" s="270"/>
      <c r="AM31" s="270"/>
      <c r="AN31" s="267"/>
      <c r="AO31" s="267"/>
      <c r="AP31" s="267"/>
      <c r="AQ31" s="267"/>
      <c r="AR31" s="267"/>
      <c r="AS31" s="267"/>
      <c r="AT31" s="267"/>
      <c r="AU31" s="269">
        <f t="shared" si="3"/>
        <v>9359.19</v>
      </c>
      <c r="AV31" s="269">
        <f t="shared" si="4"/>
        <v>9486.4257142857132</v>
      </c>
      <c r="AW31" s="269">
        <f t="shared" si="29"/>
        <v>0</v>
      </c>
      <c r="AX31" s="269">
        <f t="shared" si="30"/>
        <v>9486.4257142857132</v>
      </c>
      <c r="AY31" s="269">
        <f t="shared" si="5"/>
        <v>56155.14</v>
      </c>
      <c r="AZ31" s="269">
        <f t="shared" si="6"/>
        <v>66404.98</v>
      </c>
      <c r="BA31" s="269">
        <f t="shared" si="31"/>
        <v>0</v>
      </c>
      <c r="BB31" s="269">
        <f t="shared" si="32"/>
        <v>66404.98</v>
      </c>
      <c r="BC31" s="53">
        <v>95378.5</v>
      </c>
      <c r="BD31" s="53">
        <v>9537.9500000000007</v>
      </c>
      <c r="BE31" s="56">
        <f t="shared" si="33"/>
        <v>104916.45</v>
      </c>
      <c r="BF31" s="53"/>
      <c r="BG31" s="53"/>
      <c r="BH31" s="56">
        <f t="shared" si="34"/>
        <v>0</v>
      </c>
      <c r="BI31" s="56">
        <f t="shared" si="35"/>
        <v>104916.45</v>
      </c>
      <c r="BJ31" s="252">
        <v>10</v>
      </c>
      <c r="BK31" s="252">
        <v>1</v>
      </c>
      <c r="BL31" s="252">
        <f t="shared" si="36"/>
        <v>11</v>
      </c>
      <c r="BM31" s="252"/>
      <c r="BN31" s="252"/>
      <c r="BO31" s="252">
        <f t="shared" si="37"/>
        <v>0</v>
      </c>
      <c r="BP31" s="56">
        <f t="shared" si="38"/>
        <v>11</v>
      </c>
      <c r="BQ31" s="252">
        <v>112</v>
      </c>
      <c r="BR31" s="252">
        <v>74</v>
      </c>
      <c r="BS31" s="59">
        <f t="shared" si="39"/>
        <v>186</v>
      </c>
      <c r="BT31" s="252"/>
      <c r="BU31" s="252"/>
      <c r="BV31" s="59">
        <f t="shared" si="40"/>
        <v>0</v>
      </c>
      <c r="BW31" s="56">
        <f t="shared" si="41"/>
        <v>186</v>
      </c>
      <c r="BX31" s="56">
        <f t="shared" si="42"/>
        <v>9537.85</v>
      </c>
      <c r="BY31" s="56">
        <f t="shared" si="43"/>
        <v>9537.9500000000007</v>
      </c>
      <c r="BZ31" s="56">
        <f t="shared" si="44"/>
        <v>9537.8590909090908</v>
      </c>
      <c r="CA31" s="56"/>
      <c r="CB31" s="56"/>
      <c r="CC31" s="56"/>
      <c r="CD31" s="56">
        <f t="shared" si="48"/>
        <v>9537.8590909090908</v>
      </c>
      <c r="CE31" s="238"/>
      <c r="CF31" s="241"/>
      <c r="CG31" s="241"/>
      <c r="CH31" s="241"/>
      <c r="CI31" s="241"/>
      <c r="CJ31" s="241"/>
      <c r="CK31" s="241"/>
      <c r="CL31" s="241"/>
      <c r="CM31" s="241"/>
      <c r="CN31" s="241"/>
      <c r="CO31" s="241"/>
      <c r="CP31" s="241"/>
      <c r="CQ31" s="241"/>
      <c r="CR31" s="241"/>
      <c r="CS31" s="241"/>
      <c r="CT31" s="241"/>
      <c r="CU31" s="238">
        <f t="shared" si="8"/>
        <v>9537.85</v>
      </c>
      <c r="CV31" s="238">
        <f t="shared" si="9"/>
        <v>9537.8590909090908</v>
      </c>
      <c r="CW31" s="238">
        <f t="shared" si="49"/>
        <v>0</v>
      </c>
      <c r="CX31" s="238">
        <f t="shared" si="50"/>
        <v>9537.8590909090908</v>
      </c>
      <c r="CY31" s="238">
        <f t="shared" si="10"/>
        <v>95378.5</v>
      </c>
      <c r="CZ31" s="238">
        <f t="shared" si="11"/>
        <v>104916.45</v>
      </c>
      <c r="DA31" s="238">
        <f t="shared" si="51"/>
        <v>0</v>
      </c>
      <c r="DB31" s="238">
        <f t="shared" si="52"/>
        <v>104916.45</v>
      </c>
      <c r="DC31" s="53">
        <v>111553.44</v>
      </c>
      <c r="DD31" s="53">
        <v>10104.209999999999</v>
      </c>
      <c r="DE31" s="56">
        <f t="shared" si="53"/>
        <v>121657.65</v>
      </c>
      <c r="DF31" s="53"/>
      <c r="DG31" s="53"/>
      <c r="DH31" s="56">
        <f t="shared" si="54"/>
        <v>0</v>
      </c>
      <c r="DI31" s="56">
        <f t="shared" si="55"/>
        <v>121657.65</v>
      </c>
      <c r="DJ31" s="252">
        <v>12</v>
      </c>
      <c r="DK31" s="252">
        <v>1</v>
      </c>
      <c r="DL31" s="56">
        <f t="shared" si="56"/>
        <v>13</v>
      </c>
      <c r="DM31" s="252"/>
      <c r="DN31" s="252"/>
      <c r="DO31" s="56">
        <f t="shared" si="57"/>
        <v>0</v>
      </c>
      <c r="DP31" s="56">
        <f t="shared" si="58"/>
        <v>13</v>
      </c>
      <c r="DQ31" s="252">
        <v>120</v>
      </c>
      <c r="DR31" s="252">
        <v>35</v>
      </c>
      <c r="DS31" s="56">
        <f t="shared" si="59"/>
        <v>155</v>
      </c>
      <c r="DT31" s="252"/>
      <c r="DU31" s="252"/>
      <c r="DV31" s="56">
        <f t="shared" si="60"/>
        <v>0</v>
      </c>
      <c r="DW31" s="59">
        <f t="shared" si="61"/>
        <v>155</v>
      </c>
      <c r="DX31" s="56">
        <f t="shared" si="62"/>
        <v>9296.1200000000008</v>
      </c>
      <c r="DY31" s="56">
        <f t="shared" si="63"/>
        <v>10104.209999999999</v>
      </c>
      <c r="DZ31" s="56">
        <f t="shared" si="64"/>
        <v>9358.2807692307688</v>
      </c>
      <c r="EA31" s="56"/>
      <c r="EB31" s="56"/>
      <c r="EC31" s="56"/>
      <c r="ED31" s="56">
        <f t="shared" si="84"/>
        <v>9358.2807692307688</v>
      </c>
      <c r="EE31" s="273"/>
      <c r="EF31" s="274"/>
      <c r="EG31" s="274"/>
      <c r="EH31" s="274"/>
      <c r="EI31" s="274"/>
      <c r="EJ31" s="274"/>
      <c r="EK31" s="274"/>
      <c r="EL31" s="274"/>
      <c r="EM31" s="274"/>
      <c r="EN31" s="274"/>
      <c r="EO31" s="274"/>
      <c r="EP31" s="274"/>
      <c r="EQ31" s="274"/>
      <c r="ER31" s="274"/>
      <c r="ES31" s="274"/>
      <c r="ET31" s="274"/>
      <c r="EU31" s="273">
        <f t="shared" si="16"/>
        <v>9296.1200000000008</v>
      </c>
      <c r="EV31" s="273">
        <f t="shared" si="17"/>
        <v>9358.2807692307688</v>
      </c>
      <c r="EW31" s="273">
        <f t="shared" si="18"/>
        <v>0</v>
      </c>
      <c r="EX31" s="273">
        <f t="shared" si="68"/>
        <v>9358.2807692307688</v>
      </c>
      <c r="EY31" s="273">
        <f t="shared" si="19"/>
        <v>111553.44</v>
      </c>
      <c r="EZ31" s="273">
        <f t="shared" si="20"/>
        <v>121657.65</v>
      </c>
      <c r="FA31" s="273">
        <f t="shared" si="69"/>
        <v>0</v>
      </c>
      <c r="FB31" s="273">
        <f t="shared" si="70"/>
        <v>121657.65</v>
      </c>
      <c r="FC31" s="56"/>
      <c r="FD31" s="56"/>
      <c r="FE31" s="56"/>
      <c r="FF31" s="56"/>
      <c r="FG31" s="47"/>
      <c r="FH31" s="47"/>
      <c r="FI31" s="47"/>
      <c r="FJ31" s="47"/>
    </row>
    <row r="32" spans="1:166" x14ac:dyDescent="0.3">
      <c r="A32" s="48" t="s">
        <v>58</v>
      </c>
      <c r="B32" s="258" t="s">
        <v>27</v>
      </c>
      <c r="C32" s="53"/>
      <c r="D32" s="53"/>
      <c r="E32" s="53">
        <f t="shared" si="21"/>
        <v>0</v>
      </c>
      <c r="F32" s="53"/>
      <c r="G32" s="53"/>
      <c r="H32" s="53">
        <f t="shared" si="0"/>
        <v>0</v>
      </c>
      <c r="I32" s="56">
        <f t="shared" si="22"/>
        <v>0</v>
      </c>
      <c r="J32" s="252"/>
      <c r="K32" s="252"/>
      <c r="L32" s="252">
        <f t="shared" si="71"/>
        <v>0</v>
      </c>
      <c r="M32" s="252"/>
      <c r="N32" s="252"/>
      <c r="O32" s="252">
        <f t="shared" si="23"/>
        <v>0</v>
      </c>
      <c r="P32" s="56">
        <f t="shared" si="24"/>
        <v>0</v>
      </c>
      <c r="Q32" s="252"/>
      <c r="R32" s="252"/>
      <c r="S32" s="59">
        <f t="shared" si="25"/>
        <v>0</v>
      </c>
      <c r="T32" s="252"/>
      <c r="U32" s="252"/>
      <c r="V32" s="256">
        <f t="shared" si="80"/>
        <v>0</v>
      </c>
      <c r="W32" s="56">
        <f t="shared" si="27"/>
        <v>0</v>
      </c>
      <c r="X32" s="56"/>
      <c r="Y32" s="56"/>
      <c r="Z32" s="56"/>
      <c r="AA32" s="56"/>
      <c r="AB32" s="56"/>
      <c r="AC32" s="56"/>
      <c r="AD32" s="56"/>
      <c r="AE32" s="269"/>
      <c r="AF32" s="270"/>
      <c r="AG32" s="269"/>
      <c r="AH32" s="269"/>
      <c r="AI32" s="269"/>
      <c r="AJ32" s="269"/>
      <c r="AK32" s="270"/>
      <c r="AL32" s="270"/>
      <c r="AM32" s="270"/>
      <c r="AN32" s="267"/>
      <c r="AO32" s="267"/>
      <c r="AP32" s="267"/>
      <c r="AQ32" s="267"/>
      <c r="AR32" s="267"/>
      <c r="AS32" s="267"/>
      <c r="AT32" s="267"/>
      <c r="AU32" s="269">
        <f t="shared" si="3"/>
        <v>0</v>
      </c>
      <c r="AV32" s="269">
        <f t="shared" si="4"/>
        <v>0</v>
      </c>
      <c r="AW32" s="269">
        <f t="shared" si="29"/>
        <v>0</v>
      </c>
      <c r="AX32" s="269">
        <f t="shared" si="30"/>
        <v>0</v>
      </c>
      <c r="AY32" s="269">
        <f t="shared" si="5"/>
        <v>0</v>
      </c>
      <c r="AZ32" s="269">
        <f t="shared" si="6"/>
        <v>0</v>
      </c>
      <c r="BA32" s="269">
        <f t="shared" si="31"/>
        <v>0</v>
      </c>
      <c r="BB32" s="269">
        <f t="shared" si="32"/>
        <v>0</v>
      </c>
      <c r="BC32" s="53"/>
      <c r="BD32" s="53"/>
      <c r="BE32" s="56">
        <f t="shared" si="33"/>
        <v>0</v>
      </c>
      <c r="BF32" s="53"/>
      <c r="BG32" s="53"/>
      <c r="BH32" s="56">
        <f t="shared" si="34"/>
        <v>0</v>
      </c>
      <c r="BI32" s="56">
        <f t="shared" si="35"/>
        <v>0</v>
      </c>
      <c r="BJ32" s="252"/>
      <c r="BK32" s="252"/>
      <c r="BL32" s="252">
        <f t="shared" si="36"/>
        <v>0</v>
      </c>
      <c r="BM32" s="252"/>
      <c r="BN32" s="252"/>
      <c r="BO32" s="252">
        <f t="shared" si="37"/>
        <v>0</v>
      </c>
      <c r="BP32" s="56">
        <f t="shared" si="38"/>
        <v>0</v>
      </c>
      <c r="BQ32" s="252"/>
      <c r="BR32" s="252"/>
      <c r="BS32" s="59">
        <f t="shared" si="39"/>
        <v>0</v>
      </c>
      <c r="BT32" s="252"/>
      <c r="BU32" s="252"/>
      <c r="BV32" s="59">
        <f t="shared" si="40"/>
        <v>0</v>
      </c>
      <c r="BW32" s="56">
        <f t="shared" si="41"/>
        <v>0</v>
      </c>
      <c r="BX32" s="56"/>
      <c r="BY32" s="56"/>
      <c r="BZ32" s="56"/>
      <c r="CA32" s="56"/>
      <c r="CB32" s="56"/>
      <c r="CC32" s="56"/>
      <c r="CD32" s="56"/>
      <c r="CE32" s="238"/>
      <c r="CF32" s="241"/>
      <c r="CG32" s="241"/>
      <c r="CH32" s="241"/>
      <c r="CI32" s="241"/>
      <c r="CJ32" s="241"/>
      <c r="CK32" s="241"/>
      <c r="CL32" s="241"/>
      <c r="CM32" s="241"/>
      <c r="CN32" s="241"/>
      <c r="CO32" s="241"/>
      <c r="CP32" s="241"/>
      <c r="CQ32" s="241"/>
      <c r="CR32" s="241"/>
      <c r="CS32" s="241"/>
      <c r="CT32" s="241"/>
      <c r="CU32" s="238">
        <f t="shared" si="8"/>
        <v>0</v>
      </c>
      <c r="CV32" s="238">
        <f t="shared" si="9"/>
        <v>0</v>
      </c>
      <c r="CW32" s="238">
        <f t="shared" si="49"/>
        <v>0</v>
      </c>
      <c r="CX32" s="238">
        <f t="shared" si="50"/>
        <v>0</v>
      </c>
      <c r="CY32" s="238">
        <f t="shared" si="10"/>
        <v>0</v>
      </c>
      <c r="CZ32" s="238">
        <f t="shared" si="11"/>
        <v>0</v>
      </c>
      <c r="DA32" s="238">
        <f t="shared" si="51"/>
        <v>0</v>
      </c>
      <c r="DB32" s="238">
        <f t="shared" si="52"/>
        <v>0</v>
      </c>
      <c r="DC32" s="53">
        <v>59504.4</v>
      </c>
      <c r="DD32" s="53"/>
      <c r="DE32" s="56">
        <f t="shared" si="53"/>
        <v>59504.4</v>
      </c>
      <c r="DF32" s="53"/>
      <c r="DG32" s="53"/>
      <c r="DH32" s="56">
        <f t="shared" si="54"/>
        <v>0</v>
      </c>
      <c r="DI32" s="56">
        <f t="shared" si="55"/>
        <v>59504.4</v>
      </c>
      <c r="DJ32" s="252">
        <v>9</v>
      </c>
      <c r="DK32" s="252"/>
      <c r="DL32" s="56">
        <f t="shared" si="56"/>
        <v>9</v>
      </c>
      <c r="DM32" s="252"/>
      <c r="DN32" s="252"/>
      <c r="DO32" s="56">
        <f t="shared" si="57"/>
        <v>0</v>
      </c>
      <c r="DP32" s="56">
        <f t="shared" si="58"/>
        <v>9</v>
      </c>
      <c r="DQ32" s="252">
        <v>120</v>
      </c>
      <c r="DR32" s="252"/>
      <c r="DS32" s="56">
        <f t="shared" si="59"/>
        <v>120</v>
      </c>
      <c r="DT32" s="252"/>
      <c r="DU32" s="252"/>
      <c r="DV32" s="56">
        <f t="shared" si="60"/>
        <v>0</v>
      </c>
      <c r="DW32" s="59">
        <f t="shared" si="61"/>
        <v>120</v>
      </c>
      <c r="DX32" s="56">
        <f t="shared" si="62"/>
        <v>6611.6</v>
      </c>
      <c r="DY32" s="56"/>
      <c r="DZ32" s="56">
        <f t="shared" si="64"/>
        <v>6611.6</v>
      </c>
      <c r="EA32" s="56"/>
      <c r="EB32" s="56"/>
      <c r="EC32" s="56"/>
      <c r="ED32" s="56">
        <f t="shared" si="84"/>
        <v>6611.6</v>
      </c>
      <c r="EE32" s="273"/>
      <c r="EF32" s="274"/>
      <c r="EG32" s="274"/>
      <c r="EH32" s="274"/>
      <c r="EI32" s="274"/>
      <c r="EJ32" s="274"/>
      <c r="EK32" s="274"/>
      <c r="EL32" s="274"/>
      <c r="EM32" s="274"/>
      <c r="EN32" s="274"/>
      <c r="EO32" s="274"/>
      <c r="EP32" s="274"/>
      <c r="EQ32" s="274"/>
      <c r="ER32" s="274"/>
      <c r="ES32" s="274"/>
      <c r="ET32" s="274"/>
      <c r="EU32" s="273">
        <f t="shared" si="16"/>
        <v>6611.6</v>
      </c>
      <c r="EV32" s="273">
        <f t="shared" si="17"/>
        <v>6611.6</v>
      </c>
      <c r="EW32" s="273">
        <f t="shared" si="18"/>
        <v>0</v>
      </c>
      <c r="EX32" s="273">
        <f t="shared" si="68"/>
        <v>6611.6</v>
      </c>
      <c r="EY32" s="273">
        <f t="shared" si="19"/>
        <v>59504.4</v>
      </c>
      <c r="EZ32" s="273">
        <f t="shared" si="20"/>
        <v>59504.4</v>
      </c>
      <c r="FA32" s="273">
        <f t="shared" si="69"/>
        <v>0</v>
      </c>
      <c r="FB32" s="273">
        <f t="shared" si="70"/>
        <v>59504.4</v>
      </c>
      <c r="FC32" s="56"/>
      <c r="FD32" s="56"/>
      <c r="FE32" s="56"/>
      <c r="FF32" s="56"/>
      <c r="FG32" s="47"/>
      <c r="FH32" s="47"/>
      <c r="FI32" s="47"/>
      <c r="FJ32" s="47"/>
    </row>
    <row r="33" spans="1:166" x14ac:dyDescent="0.3">
      <c r="A33" s="48" t="s">
        <v>59</v>
      </c>
      <c r="B33" s="258" t="s">
        <v>28</v>
      </c>
      <c r="C33" s="56">
        <v>30623</v>
      </c>
      <c r="D33" s="56"/>
      <c r="E33" s="56">
        <f t="shared" si="21"/>
        <v>30623</v>
      </c>
      <c r="F33" s="56">
        <v>62612</v>
      </c>
      <c r="G33" s="56"/>
      <c r="H33" s="56">
        <f t="shared" si="0"/>
        <v>62612</v>
      </c>
      <c r="I33" s="56">
        <f t="shared" si="22"/>
        <v>93235</v>
      </c>
      <c r="J33" s="59">
        <v>3</v>
      </c>
      <c r="K33" s="59"/>
      <c r="L33" s="59">
        <f t="shared" si="71"/>
        <v>3</v>
      </c>
      <c r="M33" s="59">
        <v>2</v>
      </c>
      <c r="N33" s="59"/>
      <c r="O33" s="59">
        <f t="shared" si="23"/>
        <v>2</v>
      </c>
      <c r="P33" s="56">
        <f t="shared" si="24"/>
        <v>5</v>
      </c>
      <c r="Q33" s="59">
        <v>26</v>
      </c>
      <c r="R33" s="59"/>
      <c r="S33" s="59">
        <f t="shared" si="25"/>
        <v>26</v>
      </c>
      <c r="T33" s="59">
        <v>800</v>
      </c>
      <c r="U33" s="59"/>
      <c r="V33" s="59">
        <f t="shared" si="80"/>
        <v>800</v>
      </c>
      <c r="W33" s="56">
        <f t="shared" si="27"/>
        <v>826</v>
      </c>
      <c r="X33" s="56">
        <f>C33/J33</f>
        <v>10207.666666666666</v>
      </c>
      <c r="Y33" s="56"/>
      <c r="Z33" s="56">
        <f>E33/L33</f>
        <v>10207.666666666666</v>
      </c>
      <c r="AA33" s="56">
        <f>F33/M33</f>
        <v>31306</v>
      </c>
      <c r="AB33" s="56"/>
      <c r="AC33" s="56">
        <f>H33/O33</f>
        <v>31306</v>
      </c>
      <c r="AD33" s="56">
        <f t="shared" si="81"/>
        <v>18647</v>
      </c>
      <c r="AE33" s="269"/>
      <c r="AF33" s="269"/>
      <c r="AG33" s="269"/>
      <c r="AH33" s="269"/>
      <c r="AI33" s="269"/>
      <c r="AJ33" s="269"/>
      <c r="AK33" s="269"/>
      <c r="AL33" s="269"/>
      <c r="AM33" s="269"/>
      <c r="AN33" s="269"/>
      <c r="AO33" s="269"/>
      <c r="AP33" s="269"/>
      <c r="AQ33" s="269"/>
      <c r="AR33" s="269"/>
      <c r="AS33" s="269"/>
      <c r="AT33" s="269"/>
      <c r="AU33" s="269">
        <f t="shared" si="3"/>
        <v>10207.666666666666</v>
      </c>
      <c r="AV33" s="269">
        <f t="shared" si="4"/>
        <v>10207.666666666666</v>
      </c>
      <c r="AW33" s="269">
        <f t="shared" si="29"/>
        <v>31306</v>
      </c>
      <c r="AX33" s="269">
        <f t="shared" si="30"/>
        <v>18647</v>
      </c>
      <c r="AY33" s="269">
        <f t="shared" si="5"/>
        <v>30623</v>
      </c>
      <c r="AZ33" s="269">
        <f t="shared" si="6"/>
        <v>30623</v>
      </c>
      <c r="BA33" s="269">
        <f t="shared" si="31"/>
        <v>62612</v>
      </c>
      <c r="BB33" s="269">
        <f t="shared" si="32"/>
        <v>93235</v>
      </c>
      <c r="BC33" s="56"/>
      <c r="BD33" s="56">
        <v>135278</v>
      </c>
      <c r="BE33" s="56">
        <f t="shared" si="33"/>
        <v>135278</v>
      </c>
      <c r="BF33" s="56">
        <v>19448</v>
      </c>
      <c r="BG33" s="56"/>
      <c r="BH33" s="56">
        <f t="shared" si="34"/>
        <v>19448</v>
      </c>
      <c r="BI33" s="56">
        <f t="shared" si="35"/>
        <v>154726</v>
      </c>
      <c r="BJ33" s="59"/>
      <c r="BK33" s="59">
        <v>7</v>
      </c>
      <c r="BL33" s="59">
        <f t="shared" si="36"/>
        <v>7</v>
      </c>
      <c r="BM33" s="59">
        <v>1</v>
      </c>
      <c r="BN33" s="59"/>
      <c r="BO33" s="59">
        <f t="shared" si="37"/>
        <v>1</v>
      </c>
      <c r="BP33" s="56">
        <f t="shared" si="38"/>
        <v>8</v>
      </c>
      <c r="BQ33" s="59"/>
      <c r="BR33" s="59">
        <v>220.65</v>
      </c>
      <c r="BS33" s="59">
        <f t="shared" si="39"/>
        <v>220.65</v>
      </c>
      <c r="BT33" s="59">
        <v>200</v>
      </c>
      <c r="BU33" s="59"/>
      <c r="BV33" s="59">
        <f t="shared" si="40"/>
        <v>200</v>
      </c>
      <c r="BW33" s="56">
        <f t="shared" si="41"/>
        <v>420.65</v>
      </c>
      <c r="BX33" s="56"/>
      <c r="BY33" s="56">
        <f t="shared" si="43"/>
        <v>19325.428571428572</v>
      </c>
      <c r="BZ33" s="56">
        <f t="shared" si="44"/>
        <v>19325.428571428572</v>
      </c>
      <c r="CA33" s="56">
        <f t="shared" si="45"/>
        <v>19448</v>
      </c>
      <c r="CB33" s="56"/>
      <c r="CC33" s="56">
        <f t="shared" si="47"/>
        <v>19448</v>
      </c>
      <c r="CD33" s="56">
        <f t="shared" si="48"/>
        <v>19340.75</v>
      </c>
      <c r="CE33" s="238"/>
      <c r="CF33" s="238"/>
      <c r="CG33" s="238"/>
      <c r="CH33" s="238"/>
      <c r="CI33" s="238"/>
      <c r="CJ33" s="238"/>
      <c r="CK33" s="238"/>
      <c r="CL33" s="238"/>
      <c r="CM33" s="238"/>
      <c r="CN33" s="238"/>
      <c r="CO33" s="238"/>
      <c r="CP33" s="238"/>
      <c r="CQ33" s="238"/>
      <c r="CR33" s="238"/>
      <c r="CS33" s="238"/>
      <c r="CT33" s="238"/>
      <c r="CU33" s="238">
        <f t="shared" si="8"/>
        <v>0</v>
      </c>
      <c r="CV33" s="238">
        <f t="shared" si="9"/>
        <v>0</v>
      </c>
      <c r="CW33" s="238">
        <f t="shared" si="49"/>
        <v>19448</v>
      </c>
      <c r="CX33" s="238">
        <f t="shared" si="50"/>
        <v>0</v>
      </c>
      <c r="CY33" s="238">
        <f t="shared" si="10"/>
        <v>0</v>
      </c>
      <c r="CZ33" s="238">
        <f t="shared" si="11"/>
        <v>0</v>
      </c>
      <c r="DA33" s="238">
        <f t="shared" si="51"/>
        <v>19448</v>
      </c>
      <c r="DB33" s="238">
        <f t="shared" si="52"/>
        <v>0</v>
      </c>
      <c r="DC33" s="56">
        <v>62477</v>
      </c>
      <c r="DD33" s="56">
        <v>103681</v>
      </c>
      <c r="DE33" s="56">
        <f t="shared" si="53"/>
        <v>166158</v>
      </c>
      <c r="DF33" s="56"/>
      <c r="DG33" s="56"/>
      <c r="DH33" s="56">
        <f t="shared" si="54"/>
        <v>0</v>
      </c>
      <c r="DI33" s="56">
        <f t="shared" si="55"/>
        <v>166158</v>
      </c>
      <c r="DJ33" s="59">
        <v>3</v>
      </c>
      <c r="DK33" s="59">
        <v>5</v>
      </c>
      <c r="DL33" s="56">
        <f t="shared" si="56"/>
        <v>8</v>
      </c>
      <c r="DM33" s="59"/>
      <c r="DN33" s="59"/>
      <c r="DO33" s="56">
        <f t="shared" si="57"/>
        <v>0</v>
      </c>
      <c r="DP33" s="56">
        <f t="shared" si="58"/>
        <v>8</v>
      </c>
      <c r="DQ33" s="59">
        <v>25</v>
      </c>
      <c r="DR33" s="59">
        <v>120</v>
      </c>
      <c r="DS33" s="56">
        <f t="shared" si="59"/>
        <v>145</v>
      </c>
      <c r="DT33" s="59"/>
      <c r="DU33" s="59"/>
      <c r="DV33" s="56">
        <f t="shared" si="60"/>
        <v>0</v>
      </c>
      <c r="DW33" s="59">
        <f t="shared" si="61"/>
        <v>145</v>
      </c>
      <c r="DX33" s="56">
        <f t="shared" si="62"/>
        <v>20825.666666666668</v>
      </c>
      <c r="DY33" s="56">
        <f t="shared" si="63"/>
        <v>20736.2</v>
      </c>
      <c r="DZ33" s="56">
        <f t="shared" si="64"/>
        <v>20769.75</v>
      </c>
      <c r="EA33" s="56"/>
      <c r="EB33" s="56"/>
      <c r="EC33" s="56"/>
      <c r="ED33" s="56">
        <f t="shared" si="84"/>
        <v>20769.75</v>
      </c>
      <c r="EE33" s="273"/>
      <c r="EF33" s="273"/>
      <c r="EG33" s="273"/>
      <c r="EH33" s="273"/>
      <c r="EI33" s="273"/>
      <c r="EJ33" s="273"/>
      <c r="EK33" s="273"/>
      <c r="EL33" s="273"/>
      <c r="EM33" s="273"/>
      <c r="EN33" s="273"/>
      <c r="EO33" s="273"/>
      <c r="EP33" s="273"/>
      <c r="EQ33" s="273"/>
      <c r="ER33" s="273"/>
      <c r="ES33" s="273"/>
      <c r="ET33" s="273"/>
      <c r="EU33" s="273">
        <f t="shared" si="16"/>
        <v>20825.666666666668</v>
      </c>
      <c r="EV33" s="273">
        <f t="shared" si="17"/>
        <v>20769.75</v>
      </c>
      <c r="EW33" s="273">
        <f t="shared" si="18"/>
        <v>0</v>
      </c>
      <c r="EX33" s="273">
        <f t="shared" si="68"/>
        <v>20769.75</v>
      </c>
      <c r="EY33" s="273">
        <f t="shared" si="19"/>
        <v>62477</v>
      </c>
      <c r="EZ33" s="273">
        <f t="shared" si="20"/>
        <v>166158</v>
      </c>
      <c r="FA33" s="273">
        <f t="shared" si="69"/>
        <v>0</v>
      </c>
      <c r="FB33" s="273">
        <f t="shared" si="70"/>
        <v>166158</v>
      </c>
      <c r="FC33" s="56"/>
      <c r="FD33" s="56"/>
      <c r="FE33" s="56"/>
      <c r="FF33" s="56"/>
      <c r="FG33" s="47"/>
      <c r="FH33" s="47"/>
      <c r="FI33" s="47"/>
      <c r="FJ33" s="47"/>
    </row>
    <row r="34" spans="1:166" x14ac:dyDescent="0.3">
      <c r="A34" s="48" t="s">
        <v>60</v>
      </c>
      <c r="B34" s="258" t="s">
        <v>29</v>
      </c>
      <c r="C34" s="53"/>
      <c r="D34" s="53"/>
      <c r="E34" s="53">
        <f t="shared" si="21"/>
        <v>0</v>
      </c>
      <c r="F34" s="53"/>
      <c r="G34" s="53"/>
      <c r="H34" s="53">
        <f t="shared" si="0"/>
        <v>0</v>
      </c>
      <c r="I34" s="56">
        <f t="shared" si="22"/>
        <v>0</v>
      </c>
      <c r="J34" s="252"/>
      <c r="K34" s="252"/>
      <c r="L34" s="252">
        <f t="shared" si="71"/>
        <v>0</v>
      </c>
      <c r="M34" s="252"/>
      <c r="N34" s="252"/>
      <c r="O34" s="252">
        <f t="shared" si="23"/>
        <v>0</v>
      </c>
      <c r="P34" s="56">
        <f t="shared" si="24"/>
        <v>0</v>
      </c>
      <c r="Q34" s="252"/>
      <c r="R34" s="252"/>
      <c r="S34" s="59">
        <f t="shared" si="25"/>
        <v>0</v>
      </c>
      <c r="T34" s="252"/>
      <c r="U34" s="252"/>
      <c r="V34" s="256">
        <f t="shared" si="80"/>
        <v>0</v>
      </c>
      <c r="W34" s="56">
        <f t="shared" si="27"/>
        <v>0</v>
      </c>
      <c r="X34" s="56"/>
      <c r="Y34" s="56"/>
      <c r="Z34" s="56"/>
      <c r="AA34" s="56"/>
      <c r="AB34" s="56"/>
      <c r="AC34" s="56"/>
      <c r="AD34" s="56"/>
      <c r="AE34" s="269"/>
      <c r="AF34" s="270"/>
      <c r="AG34" s="269"/>
      <c r="AH34" s="269"/>
      <c r="AI34" s="269"/>
      <c r="AJ34" s="269"/>
      <c r="AK34" s="270"/>
      <c r="AL34" s="270"/>
      <c r="AM34" s="270"/>
      <c r="AN34" s="267"/>
      <c r="AO34" s="267"/>
      <c r="AP34" s="267"/>
      <c r="AQ34" s="267"/>
      <c r="AR34" s="267"/>
      <c r="AS34" s="267"/>
      <c r="AT34" s="267"/>
      <c r="AU34" s="269">
        <f t="shared" si="3"/>
        <v>0</v>
      </c>
      <c r="AV34" s="269">
        <f t="shared" si="4"/>
        <v>0</v>
      </c>
      <c r="AW34" s="269">
        <f t="shared" si="29"/>
        <v>0</v>
      </c>
      <c r="AX34" s="269">
        <f t="shared" si="30"/>
        <v>0</v>
      </c>
      <c r="AY34" s="269">
        <f t="shared" si="5"/>
        <v>0</v>
      </c>
      <c r="AZ34" s="269">
        <f t="shared" si="6"/>
        <v>0</v>
      </c>
      <c r="BA34" s="269">
        <f t="shared" si="31"/>
        <v>0</v>
      </c>
      <c r="BB34" s="269">
        <f t="shared" si="32"/>
        <v>0</v>
      </c>
      <c r="BC34" s="53"/>
      <c r="BD34" s="53"/>
      <c r="BE34" s="56">
        <f t="shared" si="33"/>
        <v>0</v>
      </c>
      <c r="BF34" s="53"/>
      <c r="BG34" s="53"/>
      <c r="BH34" s="56">
        <f t="shared" si="34"/>
        <v>0</v>
      </c>
      <c r="BI34" s="56">
        <f t="shared" si="35"/>
        <v>0</v>
      </c>
      <c r="BJ34" s="252"/>
      <c r="BK34" s="252"/>
      <c r="BL34" s="252">
        <f t="shared" si="36"/>
        <v>0</v>
      </c>
      <c r="BM34" s="252"/>
      <c r="BN34" s="252"/>
      <c r="BO34" s="252">
        <f t="shared" si="37"/>
        <v>0</v>
      </c>
      <c r="BP34" s="56">
        <f t="shared" si="38"/>
        <v>0</v>
      </c>
      <c r="BQ34" s="252"/>
      <c r="BR34" s="252"/>
      <c r="BS34" s="59">
        <f t="shared" si="39"/>
        <v>0</v>
      </c>
      <c r="BT34" s="252"/>
      <c r="BU34" s="252"/>
      <c r="BV34" s="59">
        <f t="shared" si="40"/>
        <v>0</v>
      </c>
      <c r="BW34" s="56">
        <f t="shared" si="41"/>
        <v>0</v>
      </c>
      <c r="BX34" s="56"/>
      <c r="BY34" s="56"/>
      <c r="BZ34" s="56"/>
      <c r="CA34" s="56"/>
      <c r="CB34" s="56"/>
      <c r="CC34" s="56"/>
      <c r="CD34" s="56"/>
      <c r="CE34" s="238"/>
      <c r="CF34" s="241"/>
      <c r="CG34" s="241"/>
      <c r="CH34" s="241"/>
      <c r="CI34" s="241"/>
      <c r="CJ34" s="241"/>
      <c r="CK34" s="241"/>
      <c r="CL34" s="241"/>
      <c r="CM34" s="241"/>
      <c r="CN34" s="241"/>
      <c r="CO34" s="241"/>
      <c r="CP34" s="241"/>
      <c r="CQ34" s="241"/>
      <c r="CR34" s="241"/>
      <c r="CS34" s="241"/>
      <c r="CT34" s="241"/>
      <c r="CU34" s="238">
        <f t="shared" si="8"/>
        <v>0</v>
      </c>
      <c r="CV34" s="238">
        <f t="shared" si="9"/>
        <v>0</v>
      </c>
      <c r="CW34" s="238">
        <f t="shared" si="49"/>
        <v>0</v>
      </c>
      <c r="CX34" s="238">
        <f t="shared" si="50"/>
        <v>0</v>
      </c>
      <c r="CY34" s="238">
        <f t="shared" si="10"/>
        <v>0</v>
      </c>
      <c r="CZ34" s="238">
        <f t="shared" si="11"/>
        <v>0</v>
      </c>
      <c r="DA34" s="238">
        <f t="shared" si="51"/>
        <v>0</v>
      </c>
      <c r="DB34" s="238">
        <f t="shared" si="52"/>
        <v>0</v>
      </c>
      <c r="DC34" s="53"/>
      <c r="DD34" s="53"/>
      <c r="DE34" s="56">
        <f t="shared" si="53"/>
        <v>0</v>
      </c>
      <c r="DF34" s="53"/>
      <c r="DG34" s="53"/>
      <c r="DH34" s="56">
        <f t="shared" si="54"/>
        <v>0</v>
      </c>
      <c r="DI34" s="56">
        <f t="shared" si="55"/>
        <v>0</v>
      </c>
      <c r="DJ34" s="252"/>
      <c r="DK34" s="252"/>
      <c r="DL34" s="56">
        <f t="shared" si="56"/>
        <v>0</v>
      </c>
      <c r="DM34" s="252"/>
      <c r="DN34" s="252"/>
      <c r="DO34" s="56">
        <f t="shared" si="57"/>
        <v>0</v>
      </c>
      <c r="DP34" s="56">
        <f t="shared" si="58"/>
        <v>0</v>
      </c>
      <c r="DQ34" s="252"/>
      <c r="DR34" s="252"/>
      <c r="DS34" s="56">
        <f t="shared" si="59"/>
        <v>0</v>
      </c>
      <c r="DT34" s="252"/>
      <c r="DU34" s="252"/>
      <c r="DV34" s="56">
        <f t="shared" si="60"/>
        <v>0</v>
      </c>
      <c r="DW34" s="59">
        <f t="shared" si="61"/>
        <v>0</v>
      </c>
      <c r="DX34" s="56"/>
      <c r="DY34" s="56"/>
      <c r="DZ34" s="56"/>
      <c r="EA34" s="56"/>
      <c r="EB34" s="56"/>
      <c r="EC34" s="56"/>
      <c r="ED34" s="56"/>
      <c r="EE34" s="273"/>
      <c r="EF34" s="274"/>
      <c r="EG34" s="274"/>
      <c r="EH34" s="274"/>
      <c r="EI34" s="274"/>
      <c r="EJ34" s="274"/>
      <c r="EK34" s="274"/>
      <c r="EL34" s="274"/>
      <c r="EM34" s="274"/>
      <c r="EN34" s="274"/>
      <c r="EO34" s="274"/>
      <c r="EP34" s="274"/>
      <c r="EQ34" s="274"/>
      <c r="ER34" s="274"/>
      <c r="ES34" s="274"/>
      <c r="ET34" s="274"/>
      <c r="EU34" s="273">
        <f t="shared" si="16"/>
        <v>0</v>
      </c>
      <c r="EV34" s="273">
        <f t="shared" si="17"/>
        <v>0</v>
      </c>
      <c r="EW34" s="273">
        <f t="shared" si="18"/>
        <v>0</v>
      </c>
      <c r="EX34" s="273">
        <f t="shared" si="68"/>
        <v>0</v>
      </c>
      <c r="EY34" s="273">
        <f t="shared" si="19"/>
        <v>0</v>
      </c>
      <c r="EZ34" s="273">
        <f t="shared" si="20"/>
        <v>0</v>
      </c>
      <c r="FA34" s="273">
        <f t="shared" si="69"/>
        <v>0</v>
      </c>
      <c r="FB34" s="273">
        <f t="shared" si="70"/>
        <v>0</v>
      </c>
      <c r="FC34" s="56"/>
      <c r="FD34" s="56"/>
      <c r="FE34" s="56"/>
      <c r="FF34" s="56"/>
      <c r="FG34" s="47"/>
      <c r="FH34" s="47"/>
      <c r="FI34" s="47"/>
      <c r="FJ34" s="47"/>
    </row>
    <row r="35" spans="1:166" ht="28.8" x14ac:dyDescent="0.3">
      <c r="A35" s="48" t="s">
        <v>61</v>
      </c>
      <c r="B35" s="258" t="s">
        <v>67</v>
      </c>
      <c r="C35" s="53">
        <v>0</v>
      </c>
      <c r="D35" s="53">
        <v>0</v>
      </c>
      <c r="E35" s="53">
        <f t="shared" si="21"/>
        <v>0</v>
      </c>
      <c r="F35" s="53">
        <v>0</v>
      </c>
      <c r="G35" s="53">
        <v>0</v>
      </c>
      <c r="H35" s="53">
        <f t="shared" si="0"/>
        <v>0</v>
      </c>
      <c r="I35" s="56">
        <f t="shared" si="22"/>
        <v>0</v>
      </c>
      <c r="J35" s="252">
        <v>0</v>
      </c>
      <c r="K35" s="252">
        <v>0</v>
      </c>
      <c r="L35" s="252">
        <f t="shared" si="71"/>
        <v>0</v>
      </c>
      <c r="M35" s="252">
        <v>0</v>
      </c>
      <c r="N35" s="252">
        <v>0</v>
      </c>
      <c r="O35" s="252">
        <f t="shared" si="23"/>
        <v>0</v>
      </c>
      <c r="P35" s="56">
        <f t="shared" si="24"/>
        <v>0</v>
      </c>
      <c r="Q35" s="252">
        <v>0</v>
      </c>
      <c r="R35" s="252">
        <v>0</v>
      </c>
      <c r="S35" s="59">
        <f t="shared" si="25"/>
        <v>0</v>
      </c>
      <c r="T35" s="252">
        <v>0</v>
      </c>
      <c r="U35" s="252">
        <v>0</v>
      </c>
      <c r="V35" s="256">
        <f t="shared" si="80"/>
        <v>0</v>
      </c>
      <c r="W35" s="56">
        <f t="shared" si="27"/>
        <v>0</v>
      </c>
      <c r="X35" s="56"/>
      <c r="Y35" s="56"/>
      <c r="Z35" s="56"/>
      <c r="AA35" s="56"/>
      <c r="AB35" s="56"/>
      <c r="AC35" s="56"/>
      <c r="AD35" s="56"/>
      <c r="AE35" s="269"/>
      <c r="AF35" s="270"/>
      <c r="AG35" s="269"/>
      <c r="AH35" s="269"/>
      <c r="AI35" s="269"/>
      <c r="AJ35" s="269"/>
      <c r="AK35" s="270"/>
      <c r="AL35" s="270"/>
      <c r="AM35" s="270"/>
      <c r="AN35" s="267"/>
      <c r="AO35" s="267"/>
      <c r="AP35" s="267"/>
      <c r="AQ35" s="267"/>
      <c r="AR35" s="267"/>
      <c r="AS35" s="267"/>
      <c r="AT35" s="267"/>
      <c r="AU35" s="269">
        <f t="shared" si="3"/>
        <v>0</v>
      </c>
      <c r="AV35" s="269">
        <f t="shared" si="4"/>
        <v>0</v>
      </c>
      <c r="AW35" s="269">
        <f t="shared" si="29"/>
        <v>0</v>
      </c>
      <c r="AX35" s="269">
        <f t="shared" si="30"/>
        <v>0</v>
      </c>
      <c r="AY35" s="269">
        <f t="shared" si="5"/>
        <v>0</v>
      </c>
      <c r="AZ35" s="269">
        <f t="shared" si="6"/>
        <v>0</v>
      </c>
      <c r="BA35" s="269">
        <f t="shared" si="31"/>
        <v>0</v>
      </c>
      <c r="BB35" s="269">
        <f t="shared" si="32"/>
        <v>0</v>
      </c>
      <c r="BC35" s="53">
        <v>81383.56</v>
      </c>
      <c r="BD35" s="53">
        <v>0</v>
      </c>
      <c r="BE35" s="56">
        <f t="shared" si="33"/>
        <v>81383.56</v>
      </c>
      <c r="BF35" s="53">
        <v>0</v>
      </c>
      <c r="BG35" s="53">
        <v>0</v>
      </c>
      <c r="BH35" s="56">
        <f t="shared" si="34"/>
        <v>0</v>
      </c>
      <c r="BI35" s="56">
        <f t="shared" si="35"/>
        <v>81383.56</v>
      </c>
      <c r="BJ35" s="252">
        <v>21</v>
      </c>
      <c r="BK35" s="252">
        <v>0</v>
      </c>
      <c r="BL35" s="252">
        <f t="shared" si="36"/>
        <v>21</v>
      </c>
      <c r="BM35" s="252">
        <v>0</v>
      </c>
      <c r="BN35" s="252">
        <v>0</v>
      </c>
      <c r="BO35" s="252">
        <f t="shared" si="37"/>
        <v>0</v>
      </c>
      <c r="BP35" s="56">
        <f t="shared" si="38"/>
        <v>21</v>
      </c>
      <c r="BQ35" s="252">
        <v>1299</v>
      </c>
      <c r="BR35" s="252">
        <v>0</v>
      </c>
      <c r="BS35" s="59">
        <f t="shared" si="39"/>
        <v>1299</v>
      </c>
      <c r="BT35" s="252">
        <v>0</v>
      </c>
      <c r="BU35" s="252">
        <v>0</v>
      </c>
      <c r="BV35" s="59">
        <f t="shared" si="40"/>
        <v>0</v>
      </c>
      <c r="BW35" s="56">
        <f t="shared" si="41"/>
        <v>1299</v>
      </c>
      <c r="BX35" s="56">
        <f t="shared" si="42"/>
        <v>3875.4076190476189</v>
      </c>
      <c r="BY35" s="56"/>
      <c r="BZ35" s="56"/>
      <c r="CA35" s="56"/>
      <c r="CB35" s="56"/>
      <c r="CC35" s="56"/>
      <c r="CD35" s="56">
        <f t="shared" si="48"/>
        <v>3875.4076190476189</v>
      </c>
      <c r="CE35" s="238"/>
      <c r="CF35" s="241"/>
      <c r="CG35" s="241"/>
      <c r="CH35" s="241"/>
      <c r="CI35" s="241"/>
      <c r="CJ35" s="241"/>
      <c r="CK35" s="241"/>
      <c r="CL35" s="241"/>
      <c r="CM35" s="241"/>
      <c r="CN35" s="241"/>
      <c r="CO35" s="241"/>
      <c r="CP35" s="241"/>
      <c r="CQ35" s="241"/>
      <c r="CR35" s="241"/>
      <c r="CS35" s="241"/>
      <c r="CT35" s="241"/>
      <c r="CU35" s="238">
        <f t="shared" si="8"/>
        <v>3875.4076190476189</v>
      </c>
      <c r="CV35" s="238">
        <f t="shared" si="9"/>
        <v>0</v>
      </c>
      <c r="CW35" s="238">
        <f t="shared" si="49"/>
        <v>0</v>
      </c>
      <c r="CX35" s="238">
        <f t="shared" si="50"/>
        <v>3875.4076190476189</v>
      </c>
      <c r="CY35" s="238">
        <f t="shared" si="10"/>
        <v>81383.56</v>
      </c>
      <c r="CZ35" s="238">
        <f t="shared" si="11"/>
        <v>0</v>
      </c>
      <c r="DA35" s="238">
        <f t="shared" si="51"/>
        <v>0</v>
      </c>
      <c r="DB35" s="238">
        <f t="shared" si="52"/>
        <v>81383.56</v>
      </c>
      <c r="DC35" s="53">
        <v>118922.97</v>
      </c>
      <c r="DD35" s="53">
        <v>0</v>
      </c>
      <c r="DE35" s="56">
        <f t="shared" si="53"/>
        <v>118922.97</v>
      </c>
      <c r="DF35" s="53">
        <v>0</v>
      </c>
      <c r="DG35" s="53">
        <v>0</v>
      </c>
      <c r="DH35" s="56">
        <f t="shared" si="54"/>
        <v>0</v>
      </c>
      <c r="DI35" s="56">
        <f t="shared" si="55"/>
        <v>118922.97</v>
      </c>
      <c r="DJ35" s="252">
        <v>37</v>
      </c>
      <c r="DK35" s="252">
        <v>0</v>
      </c>
      <c r="DL35" s="56">
        <f t="shared" si="56"/>
        <v>37</v>
      </c>
      <c r="DM35" s="252">
        <v>0</v>
      </c>
      <c r="DN35" s="252">
        <v>0</v>
      </c>
      <c r="DO35" s="56">
        <f t="shared" si="57"/>
        <v>0</v>
      </c>
      <c r="DP35" s="56">
        <f t="shared" si="58"/>
        <v>37</v>
      </c>
      <c r="DQ35" s="252">
        <v>5213</v>
      </c>
      <c r="DR35" s="252">
        <v>0</v>
      </c>
      <c r="DS35" s="56">
        <f t="shared" si="59"/>
        <v>5213</v>
      </c>
      <c r="DT35" s="252">
        <v>0</v>
      </c>
      <c r="DU35" s="252">
        <v>0</v>
      </c>
      <c r="DV35" s="56">
        <f t="shared" si="60"/>
        <v>0</v>
      </c>
      <c r="DW35" s="59">
        <f t="shared" si="61"/>
        <v>5213</v>
      </c>
      <c r="DX35" s="56">
        <f t="shared" si="62"/>
        <v>3214.1343243243246</v>
      </c>
      <c r="DY35" s="56"/>
      <c r="DZ35" s="56">
        <f t="shared" si="64"/>
        <v>3214.1343243243246</v>
      </c>
      <c r="EA35" s="56"/>
      <c r="EB35" s="56"/>
      <c r="EC35" s="56"/>
      <c r="ED35" s="56">
        <f t="shared" si="84"/>
        <v>3214.1343243243246</v>
      </c>
      <c r="EE35" s="273"/>
      <c r="EF35" s="274"/>
      <c r="EG35" s="274"/>
      <c r="EH35" s="274"/>
      <c r="EI35" s="274"/>
      <c r="EJ35" s="274"/>
      <c r="EK35" s="274"/>
      <c r="EL35" s="274"/>
      <c r="EM35" s="274"/>
      <c r="EN35" s="274"/>
      <c r="EO35" s="274"/>
      <c r="EP35" s="274"/>
      <c r="EQ35" s="274"/>
      <c r="ER35" s="274"/>
      <c r="ES35" s="274"/>
      <c r="ET35" s="274"/>
      <c r="EU35" s="273">
        <f t="shared" si="16"/>
        <v>3214.1343243243246</v>
      </c>
      <c r="EV35" s="273">
        <f t="shared" si="17"/>
        <v>3214.1343243243246</v>
      </c>
      <c r="EW35" s="273">
        <f t="shared" si="18"/>
        <v>0</v>
      </c>
      <c r="EX35" s="273">
        <f t="shared" si="68"/>
        <v>3214.1343243243246</v>
      </c>
      <c r="EY35" s="273">
        <f t="shared" si="19"/>
        <v>118922.97</v>
      </c>
      <c r="EZ35" s="273">
        <f t="shared" si="20"/>
        <v>118922.97</v>
      </c>
      <c r="FA35" s="273">
        <f t="shared" si="69"/>
        <v>0</v>
      </c>
      <c r="FB35" s="273">
        <f t="shared" si="70"/>
        <v>118922.97</v>
      </c>
      <c r="FC35" s="56"/>
      <c r="FD35" s="56"/>
      <c r="FE35" s="56"/>
      <c r="FF35" s="56"/>
      <c r="FG35" s="47"/>
      <c r="FH35" s="47"/>
      <c r="FI35" s="47"/>
      <c r="FJ35" s="47"/>
    </row>
    <row r="36" spans="1:166" x14ac:dyDescent="0.3">
      <c r="A36" s="291">
        <v>24</v>
      </c>
      <c r="B36" s="258" t="s">
        <v>133</v>
      </c>
      <c r="C36" s="56"/>
      <c r="D36" s="56"/>
      <c r="E36" s="56">
        <f t="shared" si="21"/>
        <v>0</v>
      </c>
      <c r="F36" s="56">
        <v>87593.59</v>
      </c>
      <c r="G36" s="56"/>
      <c r="H36" s="56">
        <f t="shared" si="0"/>
        <v>87593.59</v>
      </c>
      <c r="I36" s="56">
        <f t="shared" si="22"/>
        <v>87593.59</v>
      </c>
      <c r="J36" s="59"/>
      <c r="K36" s="59"/>
      <c r="L36" s="59">
        <f t="shared" si="71"/>
        <v>0</v>
      </c>
      <c r="M36" s="59">
        <v>2</v>
      </c>
      <c r="N36" s="59"/>
      <c r="O36" s="59">
        <f t="shared" si="23"/>
        <v>2</v>
      </c>
      <c r="P36" s="56">
        <f t="shared" si="24"/>
        <v>2</v>
      </c>
      <c r="Q36" s="59"/>
      <c r="R36" s="59"/>
      <c r="S36" s="59"/>
      <c r="T36" s="59">
        <v>550</v>
      </c>
      <c r="U36" s="59"/>
      <c r="V36" s="59">
        <f t="shared" si="80"/>
        <v>550</v>
      </c>
      <c r="W36" s="56">
        <f t="shared" si="27"/>
        <v>550</v>
      </c>
      <c r="X36" s="56"/>
      <c r="Y36" s="56"/>
      <c r="Z36" s="56"/>
      <c r="AA36" s="56">
        <f>F36/M36</f>
        <v>43796.794999999998</v>
      </c>
      <c r="AB36" s="56"/>
      <c r="AC36" s="56">
        <f>H36/O36</f>
        <v>43796.794999999998</v>
      </c>
      <c r="AD36" s="56">
        <f t="shared" si="81"/>
        <v>43796.794999999998</v>
      </c>
      <c r="AE36" s="269"/>
      <c r="AF36" s="270"/>
      <c r="AG36" s="269"/>
      <c r="AH36" s="269"/>
      <c r="AI36" s="269"/>
      <c r="AJ36" s="269"/>
      <c r="AK36" s="270"/>
      <c r="AL36" s="270"/>
      <c r="AM36" s="270"/>
      <c r="AN36" s="267"/>
      <c r="AO36" s="267"/>
      <c r="AP36" s="267"/>
      <c r="AQ36" s="267"/>
      <c r="AR36" s="267"/>
      <c r="AS36" s="267"/>
      <c r="AT36" s="267"/>
      <c r="AU36" s="269"/>
      <c r="AV36" s="269"/>
      <c r="AW36" s="269"/>
      <c r="AX36" s="269">
        <f t="shared" si="30"/>
        <v>0</v>
      </c>
      <c r="AY36" s="269"/>
      <c r="AZ36" s="269"/>
      <c r="BA36" s="269"/>
      <c r="BB36" s="269">
        <f t="shared" si="32"/>
        <v>0</v>
      </c>
      <c r="BC36" s="56"/>
      <c r="BD36" s="56"/>
      <c r="BE36" s="56"/>
      <c r="BF36" s="56"/>
      <c r="BG36" s="56"/>
      <c r="BH36" s="56"/>
      <c r="BI36" s="56">
        <f t="shared" si="35"/>
        <v>0</v>
      </c>
      <c r="BJ36" s="59"/>
      <c r="BK36" s="59"/>
      <c r="BL36" s="59"/>
      <c r="BM36" s="59"/>
      <c r="BN36" s="59"/>
      <c r="BO36" s="59"/>
      <c r="BP36" s="56">
        <f t="shared" si="38"/>
        <v>0</v>
      </c>
      <c r="BQ36" s="59"/>
      <c r="BR36" s="59"/>
      <c r="BS36" s="59"/>
      <c r="BT36" s="59"/>
      <c r="BU36" s="59"/>
      <c r="BV36" s="59"/>
      <c r="BW36" s="56">
        <f t="shared" si="41"/>
        <v>0</v>
      </c>
      <c r="BX36" s="56"/>
      <c r="BY36" s="56"/>
      <c r="BZ36" s="56"/>
      <c r="CA36" s="56"/>
      <c r="CB36" s="56"/>
      <c r="CC36" s="56"/>
      <c r="CD36" s="56"/>
      <c r="CE36" s="238"/>
      <c r="CF36" s="241"/>
      <c r="CG36" s="241"/>
      <c r="CH36" s="241"/>
      <c r="CI36" s="241"/>
      <c r="CJ36" s="241"/>
      <c r="CK36" s="241"/>
      <c r="CL36" s="241"/>
      <c r="CM36" s="241"/>
      <c r="CN36" s="241"/>
      <c r="CO36" s="241"/>
      <c r="CP36" s="241"/>
      <c r="CQ36" s="241"/>
      <c r="CR36" s="241"/>
      <c r="CS36" s="241"/>
      <c r="CT36" s="241"/>
      <c r="CU36" s="238"/>
      <c r="CV36" s="238"/>
      <c r="CW36" s="238"/>
      <c r="CX36" s="238">
        <f t="shared" si="50"/>
        <v>0</v>
      </c>
      <c r="CY36" s="238"/>
      <c r="CZ36" s="238"/>
      <c r="DA36" s="238"/>
      <c r="DB36" s="238">
        <f t="shared" si="52"/>
        <v>0</v>
      </c>
      <c r="DC36" s="56"/>
      <c r="DD36" s="56"/>
      <c r="DE36" s="56"/>
      <c r="DF36" s="56"/>
      <c r="DG36" s="56"/>
      <c r="DH36" s="56"/>
      <c r="DI36" s="56">
        <f t="shared" si="55"/>
        <v>0</v>
      </c>
      <c r="DJ36" s="59"/>
      <c r="DK36" s="59"/>
      <c r="DL36" s="56"/>
      <c r="DM36" s="59"/>
      <c r="DN36" s="59"/>
      <c r="DO36" s="56"/>
      <c r="DP36" s="56">
        <f t="shared" si="58"/>
        <v>0</v>
      </c>
      <c r="DQ36" s="59"/>
      <c r="DR36" s="59"/>
      <c r="DS36" s="56"/>
      <c r="DT36" s="59"/>
      <c r="DU36" s="59"/>
      <c r="DV36" s="56"/>
      <c r="DW36" s="59">
        <f t="shared" si="61"/>
        <v>0</v>
      </c>
      <c r="DX36" s="56"/>
      <c r="DY36" s="56"/>
      <c r="DZ36" s="56"/>
      <c r="EA36" s="56"/>
      <c r="EB36" s="56"/>
      <c r="EC36" s="56"/>
      <c r="ED36" s="56"/>
      <c r="EE36" s="273"/>
      <c r="EF36" s="274"/>
      <c r="EG36" s="274"/>
      <c r="EH36" s="274"/>
      <c r="EI36" s="274"/>
      <c r="EJ36" s="274"/>
      <c r="EK36" s="274"/>
      <c r="EL36" s="274"/>
      <c r="EM36" s="274"/>
      <c r="EN36" s="274"/>
      <c r="EO36" s="274"/>
      <c r="EP36" s="274"/>
      <c r="EQ36" s="274"/>
      <c r="ER36" s="274"/>
      <c r="ES36" s="274"/>
      <c r="ET36" s="274"/>
      <c r="EU36" s="273"/>
      <c r="EV36" s="273"/>
      <c r="EW36" s="273"/>
      <c r="EX36" s="273">
        <f t="shared" si="68"/>
        <v>0</v>
      </c>
      <c r="EY36" s="273"/>
      <c r="EZ36" s="273"/>
      <c r="FA36" s="273"/>
      <c r="FB36" s="273">
        <f t="shared" si="70"/>
        <v>0</v>
      </c>
      <c r="FC36" s="56"/>
      <c r="FD36" s="56"/>
      <c r="FE36" s="56"/>
      <c r="FF36" s="56"/>
      <c r="FG36" s="47"/>
      <c r="FH36" s="47"/>
      <c r="FI36" s="47"/>
      <c r="FJ36" s="47"/>
    </row>
    <row r="37" spans="1:166" x14ac:dyDescent="0.3">
      <c r="A37" s="291">
        <v>25</v>
      </c>
      <c r="B37" s="258" t="s">
        <v>134</v>
      </c>
      <c r="C37" s="53"/>
      <c r="D37" s="53"/>
      <c r="E37" s="53"/>
      <c r="F37" s="53"/>
      <c r="G37" s="53"/>
      <c r="H37" s="53"/>
      <c r="I37" s="56">
        <f t="shared" si="22"/>
        <v>0</v>
      </c>
      <c r="J37" s="252"/>
      <c r="K37" s="252"/>
      <c r="L37" s="252"/>
      <c r="M37" s="252"/>
      <c r="N37" s="252"/>
      <c r="O37" s="252"/>
      <c r="P37" s="56">
        <f t="shared" si="24"/>
        <v>0</v>
      </c>
      <c r="Q37" s="252"/>
      <c r="R37" s="252"/>
      <c r="S37" s="252"/>
      <c r="T37" s="252"/>
      <c r="U37" s="252"/>
      <c r="V37" s="59"/>
      <c r="W37" s="56">
        <f t="shared" si="27"/>
        <v>0</v>
      </c>
      <c r="X37" s="56"/>
      <c r="Y37" s="56"/>
      <c r="Z37" s="56"/>
      <c r="AA37" s="56"/>
      <c r="AB37" s="56"/>
      <c r="AC37" s="56"/>
      <c r="AD37" s="56"/>
      <c r="AE37" s="269"/>
      <c r="AF37" s="270"/>
      <c r="AG37" s="269"/>
      <c r="AH37" s="269"/>
      <c r="AI37" s="269"/>
      <c r="AJ37" s="269"/>
      <c r="AK37" s="270"/>
      <c r="AL37" s="270"/>
      <c r="AM37" s="270"/>
      <c r="AN37" s="267"/>
      <c r="AO37" s="267"/>
      <c r="AP37" s="267"/>
      <c r="AQ37" s="267"/>
      <c r="AR37" s="267"/>
      <c r="AS37" s="267"/>
      <c r="AT37" s="267"/>
      <c r="AU37" s="269"/>
      <c r="AV37" s="269"/>
      <c r="AW37" s="269"/>
      <c r="AX37" s="269">
        <f t="shared" si="30"/>
        <v>0</v>
      </c>
      <c r="AY37" s="269"/>
      <c r="AZ37" s="269"/>
      <c r="BA37" s="269"/>
      <c r="BB37" s="269">
        <f t="shared" si="32"/>
        <v>0</v>
      </c>
      <c r="BC37" s="56"/>
      <c r="BD37" s="56"/>
      <c r="BE37" s="56"/>
      <c r="BF37" s="56"/>
      <c r="BG37" s="56"/>
      <c r="BH37" s="56"/>
      <c r="BI37" s="56">
        <f t="shared" si="35"/>
        <v>0</v>
      </c>
      <c r="BJ37" s="59"/>
      <c r="BK37" s="59"/>
      <c r="BL37" s="59"/>
      <c r="BM37" s="59"/>
      <c r="BN37" s="59"/>
      <c r="BO37" s="59"/>
      <c r="BP37" s="56">
        <f t="shared" si="38"/>
        <v>0</v>
      </c>
      <c r="BQ37" s="59"/>
      <c r="BR37" s="59"/>
      <c r="BS37" s="59"/>
      <c r="BT37" s="59"/>
      <c r="BU37" s="59"/>
      <c r="BV37" s="59"/>
      <c r="BW37" s="56">
        <f t="shared" si="41"/>
        <v>0</v>
      </c>
      <c r="BX37" s="56"/>
      <c r="BY37" s="56"/>
      <c r="BZ37" s="56"/>
      <c r="CA37" s="56"/>
      <c r="CB37" s="56"/>
      <c r="CC37" s="56"/>
      <c r="CD37" s="56"/>
      <c r="CE37" s="238"/>
      <c r="CF37" s="241"/>
      <c r="CG37" s="241"/>
      <c r="CH37" s="241"/>
      <c r="CI37" s="241"/>
      <c r="CJ37" s="241"/>
      <c r="CK37" s="241"/>
      <c r="CL37" s="241"/>
      <c r="CM37" s="241"/>
      <c r="CN37" s="241"/>
      <c r="CO37" s="241"/>
      <c r="CP37" s="241"/>
      <c r="CQ37" s="241"/>
      <c r="CR37" s="241"/>
      <c r="CS37" s="241"/>
      <c r="CT37" s="241"/>
      <c r="CU37" s="238"/>
      <c r="CV37" s="238"/>
      <c r="CW37" s="238"/>
      <c r="CX37" s="238">
        <f t="shared" si="50"/>
        <v>0</v>
      </c>
      <c r="CY37" s="238"/>
      <c r="CZ37" s="238"/>
      <c r="DA37" s="238"/>
      <c r="DB37" s="238">
        <f t="shared" si="52"/>
        <v>0</v>
      </c>
      <c r="DC37" s="56"/>
      <c r="DD37" s="56"/>
      <c r="DE37" s="56"/>
      <c r="DF37" s="56"/>
      <c r="DG37" s="56"/>
      <c r="DH37" s="56"/>
      <c r="DI37" s="56">
        <f t="shared" si="55"/>
        <v>0</v>
      </c>
      <c r="DJ37" s="59"/>
      <c r="DK37" s="59"/>
      <c r="DL37" s="56"/>
      <c r="DM37" s="59"/>
      <c r="DN37" s="59"/>
      <c r="DO37" s="56"/>
      <c r="DP37" s="56">
        <f t="shared" si="58"/>
        <v>0</v>
      </c>
      <c r="DQ37" s="59"/>
      <c r="DR37" s="59"/>
      <c r="DS37" s="56"/>
      <c r="DT37" s="59"/>
      <c r="DU37" s="59"/>
      <c r="DV37" s="56"/>
      <c r="DW37" s="59">
        <f t="shared" si="61"/>
        <v>0</v>
      </c>
      <c r="DX37" s="56"/>
      <c r="DY37" s="56"/>
      <c r="DZ37" s="56"/>
      <c r="EA37" s="56"/>
      <c r="EB37" s="56"/>
      <c r="EC37" s="56"/>
      <c r="ED37" s="56"/>
      <c r="EE37" s="273"/>
      <c r="EF37" s="274"/>
      <c r="EG37" s="274"/>
      <c r="EH37" s="274"/>
      <c r="EI37" s="274"/>
      <c r="EJ37" s="274"/>
      <c r="EK37" s="274"/>
      <c r="EL37" s="274"/>
      <c r="EM37" s="274"/>
      <c r="EN37" s="274"/>
      <c r="EO37" s="274"/>
      <c r="EP37" s="274"/>
      <c r="EQ37" s="274"/>
      <c r="ER37" s="274"/>
      <c r="ES37" s="274"/>
      <c r="ET37" s="274"/>
      <c r="EU37" s="273"/>
      <c r="EV37" s="273"/>
      <c r="EW37" s="273"/>
      <c r="EX37" s="273">
        <f t="shared" si="68"/>
        <v>0</v>
      </c>
      <c r="EY37" s="273"/>
      <c r="EZ37" s="273"/>
      <c r="FA37" s="273"/>
      <c r="FB37" s="273">
        <f t="shared" si="70"/>
        <v>0</v>
      </c>
      <c r="FC37" s="56"/>
      <c r="FD37" s="56"/>
      <c r="FE37" s="56"/>
      <c r="FF37" s="56"/>
      <c r="FG37" s="47"/>
      <c r="FH37" s="47"/>
      <c r="FI37" s="47"/>
      <c r="FJ37" s="47"/>
    </row>
    <row r="38" spans="1:166" ht="28.8" x14ac:dyDescent="0.3">
      <c r="A38" s="48">
        <v>26</v>
      </c>
      <c r="B38" s="258" t="s">
        <v>30</v>
      </c>
      <c r="C38" s="53">
        <v>1910.16</v>
      </c>
      <c r="D38" s="53"/>
      <c r="E38" s="53">
        <f t="shared" si="21"/>
        <v>1910.16</v>
      </c>
      <c r="F38" s="53"/>
      <c r="G38" s="53"/>
      <c r="H38" s="53">
        <f t="shared" si="0"/>
        <v>0</v>
      </c>
      <c r="I38" s="56">
        <f t="shared" si="22"/>
        <v>1910.16</v>
      </c>
      <c r="J38" s="252">
        <v>6</v>
      </c>
      <c r="K38" s="252"/>
      <c r="L38" s="252">
        <f t="shared" si="71"/>
        <v>6</v>
      </c>
      <c r="M38" s="252"/>
      <c r="N38" s="252"/>
      <c r="O38" s="252"/>
      <c r="P38" s="56">
        <f t="shared" si="24"/>
        <v>6</v>
      </c>
      <c r="Q38" s="252">
        <v>90</v>
      </c>
      <c r="R38" s="252"/>
      <c r="S38" s="76">
        <f t="shared" si="25"/>
        <v>90</v>
      </c>
      <c r="T38" s="252"/>
      <c r="U38" s="252"/>
      <c r="V38" s="256">
        <f t="shared" si="80"/>
        <v>0</v>
      </c>
      <c r="W38" s="56">
        <f t="shared" si="27"/>
        <v>90</v>
      </c>
      <c r="X38" s="56">
        <f>C38/J38</f>
        <v>318.36</v>
      </c>
      <c r="Y38" s="56"/>
      <c r="Z38" s="56">
        <f>E38/L38</f>
        <v>318.36</v>
      </c>
      <c r="AA38" s="56"/>
      <c r="AB38" s="56"/>
      <c r="AC38" s="56"/>
      <c r="AD38" s="56">
        <f t="shared" si="81"/>
        <v>318.36</v>
      </c>
      <c r="AE38" s="269"/>
      <c r="AF38" s="270"/>
      <c r="AG38" s="269"/>
      <c r="AH38" s="269"/>
      <c r="AI38" s="269"/>
      <c r="AJ38" s="269"/>
      <c r="AK38" s="270"/>
      <c r="AL38" s="270"/>
      <c r="AM38" s="270"/>
      <c r="AN38" s="267"/>
      <c r="AO38" s="267"/>
      <c r="AP38" s="267"/>
      <c r="AQ38" s="267"/>
      <c r="AR38" s="267"/>
      <c r="AS38" s="267"/>
      <c r="AT38" s="267"/>
      <c r="AU38" s="269">
        <f>IF(AND(X38&gt;$AM$13,X38&lt;$AQ$13),X38,0)</f>
        <v>318.36</v>
      </c>
      <c r="AV38" s="269">
        <f t="shared" si="4"/>
        <v>318.36</v>
      </c>
      <c r="AW38" s="269">
        <f t="shared" si="29"/>
        <v>0</v>
      </c>
      <c r="AX38" s="269">
        <f t="shared" si="30"/>
        <v>0</v>
      </c>
      <c r="AY38" s="269">
        <f>AU38*J38</f>
        <v>1910.16</v>
      </c>
      <c r="AZ38" s="269">
        <f t="shared" si="6"/>
        <v>1910.16</v>
      </c>
      <c r="BA38" s="269">
        <f t="shared" si="31"/>
        <v>0</v>
      </c>
      <c r="BB38" s="269">
        <f t="shared" si="32"/>
        <v>0</v>
      </c>
      <c r="BC38" s="53"/>
      <c r="BD38" s="53"/>
      <c r="BE38" s="56">
        <f t="shared" si="33"/>
        <v>0</v>
      </c>
      <c r="BF38" s="53"/>
      <c r="BG38" s="53"/>
      <c r="BH38" s="56">
        <f t="shared" si="34"/>
        <v>0</v>
      </c>
      <c r="BI38" s="56">
        <f t="shared" si="35"/>
        <v>0</v>
      </c>
      <c r="BJ38" s="252"/>
      <c r="BK38" s="252"/>
      <c r="BL38" s="252">
        <f t="shared" si="36"/>
        <v>0</v>
      </c>
      <c r="BM38" s="252"/>
      <c r="BN38" s="252"/>
      <c r="BO38" s="252">
        <f t="shared" si="37"/>
        <v>0</v>
      </c>
      <c r="BP38" s="56">
        <f t="shared" si="38"/>
        <v>0</v>
      </c>
      <c r="BQ38" s="252"/>
      <c r="BR38" s="252"/>
      <c r="BS38" s="59">
        <f t="shared" si="39"/>
        <v>0</v>
      </c>
      <c r="BT38" s="252"/>
      <c r="BU38" s="252"/>
      <c r="BV38" s="59">
        <f t="shared" si="40"/>
        <v>0</v>
      </c>
      <c r="BW38" s="56">
        <f t="shared" si="41"/>
        <v>0</v>
      </c>
      <c r="BX38" s="56"/>
      <c r="BY38" s="56"/>
      <c r="BZ38" s="56"/>
      <c r="CA38" s="56"/>
      <c r="CB38" s="56"/>
      <c r="CC38" s="56"/>
      <c r="CD38" s="56"/>
      <c r="CE38" s="238"/>
      <c r="CF38" s="241"/>
      <c r="CG38" s="241"/>
      <c r="CH38" s="241"/>
      <c r="CI38" s="241"/>
      <c r="CJ38" s="241"/>
      <c r="CK38" s="241"/>
      <c r="CL38" s="241"/>
      <c r="CM38" s="241"/>
      <c r="CN38" s="241"/>
      <c r="CO38" s="241"/>
      <c r="CP38" s="241"/>
      <c r="CQ38" s="241"/>
      <c r="CR38" s="241"/>
      <c r="CS38" s="241"/>
      <c r="CT38" s="241"/>
      <c r="CU38" s="238">
        <f t="shared" si="8"/>
        <v>0</v>
      </c>
      <c r="CV38" s="238">
        <f t="shared" si="9"/>
        <v>0</v>
      </c>
      <c r="CW38" s="238">
        <f t="shared" si="49"/>
        <v>0</v>
      </c>
      <c r="CX38" s="238">
        <f t="shared" si="50"/>
        <v>0</v>
      </c>
      <c r="CY38" s="238">
        <f t="shared" si="10"/>
        <v>0</v>
      </c>
      <c r="CZ38" s="238">
        <f t="shared" si="11"/>
        <v>0</v>
      </c>
      <c r="DA38" s="238">
        <f t="shared" si="51"/>
        <v>0</v>
      </c>
      <c r="DB38" s="238">
        <f t="shared" si="52"/>
        <v>0</v>
      </c>
      <c r="DC38" s="53">
        <v>1282.3800000000001</v>
      </c>
      <c r="DD38" s="53">
        <v>0</v>
      </c>
      <c r="DE38" s="56">
        <f t="shared" si="53"/>
        <v>1282.3800000000001</v>
      </c>
      <c r="DF38" s="53">
        <v>0</v>
      </c>
      <c r="DG38" s="53">
        <v>0</v>
      </c>
      <c r="DH38" s="56">
        <f t="shared" si="54"/>
        <v>0</v>
      </c>
      <c r="DI38" s="56">
        <f t="shared" si="55"/>
        <v>1282.3800000000001</v>
      </c>
      <c r="DJ38" s="252">
        <v>6</v>
      </c>
      <c r="DK38" s="252">
        <v>0</v>
      </c>
      <c r="DL38" s="56">
        <f t="shared" si="56"/>
        <v>6</v>
      </c>
      <c r="DM38" s="252">
        <v>0</v>
      </c>
      <c r="DN38" s="252">
        <v>0</v>
      </c>
      <c r="DO38" s="56">
        <f t="shared" si="57"/>
        <v>0</v>
      </c>
      <c r="DP38" s="56">
        <f t="shared" si="58"/>
        <v>6</v>
      </c>
      <c r="DQ38" s="252">
        <v>75</v>
      </c>
      <c r="DR38" s="252">
        <v>0</v>
      </c>
      <c r="DS38" s="56">
        <f t="shared" si="59"/>
        <v>75</v>
      </c>
      <c r="DT38" s="252">
        <v>0</v>
      </c>
      <c r="DU38" s="252">
        <v>0</v>
      </c>
      <c r="DV38" s="56">
        <f t="shared" si="60"/>
        <v>0</v>
      </c>
      <c r="DW38" s="59">
        <f t="shared" si="61"/>
        <v>75</v>
      </c>
      <c r="DX38" s="56">
        <f t="shared" si="62"/>
        <v>213.73000000000002</v>
      </c>
      <c r="DY38" s="56"/>
      <c r="DZ38" s="56">
        <f t="shared" si="64"/>
        <v>213.73000000000002</v>
      </c>
      <c r="EA38" s="56"/>
      <c r="EB38" s="56"/>
      <c r="EC38" s="56"/>
      <c r="ED38" s="56">
        <f t="shared" si="84"/>
        <v>213.73000000000002</v>
      </c>
      <c r="EE38" s="273"/>
      <c r="EF38" s="274"/>
      <c r="EG38" s="274"/>
      <c r="EH38" s="274"/>
      <c r="EI38" s="274"/>
      <c r="EJ38" s="274"/>
      <c r="EK38" s="274"/>
      <c r="EL38" s="274"/>
      <c r="EM38" s="274"/>
      <c r="EN38" s="274"/>
      <c r="EO38" s="274"/>
      <c r="EP38" s="274"/>
      <c r="EQ38" s="274"/>
      <c r="ER38" s="274"/>
      <c r="ES38" s="274"/>
      <c r="ET38" s="274"/>
      <c r="EU38" s="273">
        <f t="shared" si="16"/>
        <v>213.73000000000002</v>
      </c>
      <c r="EV38" s="273">
        <f t="shared" si="17"/>
        <v>213.73000000000002</v>
      </c>
      <c r="EW38" s="273">
        <f t="shared" si="18"/>
        <v>0</v>
      </c>
      <c r="EX38" s="273">
        <f t="shared" si="68"/>
        <v>213.73000000000002</v>
      </c>
      <c r="EY38" s="273">
        <f t="shared" si="19"/>
        <v>1282.3800000000001</v>
      </c>
      <c r="EZ38" s="273">
        <f t="shared" si="20"/>
        <v>1282.3800000000001</v>
      </c>
      <c r="FA38" s="273">
        <f t="shared" si="69"/>
        <v>0</v>
      </c>
      <c r="FB38" s="273">
        <f t="shared" si="70"/>
        <v>1282.3800000000001</v>
      </c>
      <c r="FC38" s="79"/>
      <c r="FD38" s="79"/>
      <c r="FE38" s="79"/>
      <c r="FF38" s="79"/>
      <c r="FG38" s="47"/>
      <c r="FH38" s="47"/>
      <c r="FI38" s="47"/>
      <c r="FJ38" s="47"/>
    </row>
    <row r="39" spans="1:166" s="260" customFormat="1" ht="57.6" x14ac:dyDescent="0.3">
      <c r="A39" s="61"/>
      <c r="B39" s="286" t="s">
        <v>116</v>
      </c>
      <c r="C39" s="56">
        <f>C13+C16+C17+C18+C19+C20+C21+C22+C23+C24+C26+C27+C28+C29+C30+C31</f>
        <v>46303479.099999994</v>
      </c>
      <c r="D39" s="56"/>
      <c r="E39" s="285">
        <f>E13+E16+E17+E18+E19+E20+E21+E22+E23+E24+E26+E27+E28+E29+E30+E31+E33</f>
        <v>53517370.369999997</v>
      </c>
      <c r="F39" s="56"/>
      <c r="G39" s="56"/>
      <c r="H39" s="285">
        <f>H13+H14+H23+H25+H27+H30</f>
        <v>3975319.9600000004</v>
      </c>
      <c r="I39" s="285">
        <f>I13+I14+I16+I17+I18+I19+I20+I21+I22+I23+I24+I26+I27+I28+I30+I31+I33</f>
        <v>79747342.899999991</v>
      </c>
      <c r="J39" s="287">
        <f>J13+J16+J17+J18+J19+J20+J21+J22+J23+J24+J26+J27+J28+J29+J30+J31</f>
        <v>4566</v>
      </c>
      <c r="K39" s="59"/>
      <c r="L39" s="288">
        <f>L13+L16+L17+L18+L19+L20+L21+L22+L23+L24+L26+L27+L28+L29+L30+L31+L33</f>
        <v>5016</v>
      </c>
      <c r="M39" s="59"/>
      <c r="N39" s="284"/>
      <c r="O39" s="288">
        <f>O13+O14+O23+O25+O27+O30</f>
        <v>222</v>
      </c>
      <c r="P39" s="288">
        <f>P13+P14+P16+P17+P18+P19+P20+P21+P22+P23+P24+P26+P27+P28+P30+P31+P33</f>
        <v>5908</v>
      </c>
      <c r="Q39" s="287">
        <f>Q13+Q16+Q17+Q18+Q19+Q20+Q21+Q22+Q23+Q24+Q26+Q27+Q28+Q29+Q30+Q31</f>
        <v>61745.008000000002</v>
      </c>
      <c r="R39" s="59"/>
      <c r="S39" s="288">
        <f>S13+S16+S17+S18+S19+S20+S21+S22+S23+S24+S26+S27+S28+S29+S30+S31+S33</f>
        <v>80576.178</v>
      </c>
      <c r="T39" s="59"/>
      <c r="U39" s="59"/>
      <c r="V39" s="288">
        <f>V13+V14+V23+V25+V27+V30</f>
        <v>112126.04</v>
      </c>
      <c r="W39" s="288">
        <f>W13+W14+W16+W17+W18+W19+W20+W21+W22+W23+W24+W26+W27+W28+W30+W31+W33</f>
        <v>217607.378</v>
      </c>
      <c r="X39" s="613" t="s">
        <v>115</v>
      </c>
      <c r="Y39" s="614"/>
      <c r="Z39" s="614"/>
      <c r="AA39" s="614"/>
      <c r="AB39" s="614"/>
      <c r="AC39" s="614"/>
      <c r="AD39" s="615"/>
      <c r="AE39" s="269"/>
      <c r="AF39" s="270"/>
      <c r="AG39" s="269"/>
      <c r="AH39" s="269"/>
      <c r="AI39" s="269"/>
      <c r="AJ39" s="269"/>
      <c r="AK39" s="270"/>
      <c r="AL39" s="270"/>
      <c r="AM39" s="270"/>
      <c r="AN39" s="267"/>
      <c r="AO39" s="267"/>
      <c r="AP39" s="267"/>
      <c r="AQ39" s="267"/>
      <c r="AR39" s="267"/>
      <c r="AS39" s="267"/>
      <c r="AT39" s="267"/>
      <c r="AU39" s="267"/>
      <c r="AV39" s="269"/>
      <c r="AW39" s="269"/>
      <c r="AX39" s="269"/>
      <c r="AY39" s="287">
        <f>AY13+AY16+AY17+AY18+AY19+AY20+AY21+AY22+AY23+AY24+AY26+AY27+AY28+AY29+AY30+AY31</f>
        <v>46303479.099999994</v>
      </c>
      <c r="AZ39" s="288">
        <f>AZ13+AZ16+AZ17+AZ18+AZ19+AZ20+AZ21+AZ22+AZ23+AZ24+AZ26+AZ27+AZ28+AZ29+AZ30+AZ31+AZ33</f>
        <v>53517370.369999997</v>
      </c>
      <c r="BA39" s="288">
        <f>BA13+BA14+BA23+BA25+BA27+BA30</f>
        <v>3975319.9600000004</v>
      </c>
      <c r="BB39" s="288">
        <f>BB13+BB14+BB16+BB17+BB18+BB19+BB20+BB21+BB22+BB23+BB24+BB26+BB27+BB28+BB30+BB31+BB33</f>
        <v>59532553.699999988</v>
      </c>
      <c r="BC39" s="56">
        <f>BC13+BC17+BC18+BC19+BC20+BC21+BC22+BC23+BC24+BC26+BC27+BC28+BC30+BC31+BC35</f>
        <v>43145877.520000011</v>
      </c>
      <c r="BD39" s="56"/>
      <c r="BE39" s="285">
        <f>BE13+BE17+BE19+BE20+BE22+BE23+BE25+BE26+BE27+BE28+BE30+BE31</f>
        <v>54442334.840000011</v>
      </c>
      <c r="BF39" s="56"/>
      <c r="BG39" s="56"/>
      <c r="BH39" s="285">
        <f>BH13+BH14+BH15+BH16+BH21+BH23+BH24+BH25+BH26+BH27+BH30+BH33</f>
        <v>5882639.0500000007</v>
      </c>
      <c r="BI39" s="285">
        <f>BI13+BI17+BI19+BI20+BI22+BI23+BI24+BI25+BI26+BI27+BI28+BI30+BI31+BI35</f>
        <v>60761076.710000016</v>
      </c>
      <c r="BJ39" s="287">
        <f>BJ13+BJ17+BJ18+BJ19+BJ20+BJ21+BJ22+BJ23+BJ24+BJ26+BJ27+BJ28+BJ30+BJ31+BJ35</f>
        <v>4321</v>
      </c>
      <c r="BK39" s="59"/>
      <c r="BL39" s="288">
        <f>BL13+BL17+BL19+BL20+BL22+BL23+BL25+BL26+BL27+BL28+BL30+BL31</f>
        <v>4802</v>
      </c>
      <c r="BM39" s="59"/>
      <c r="BN39" s="59"/>
      <c r="BO39" s="288">
        <f>BO13+BO14+BO15+BO16+BO21+BO23+BO24+BO25+BO26+BO27+BO30+BO33</f>
        <v>378</v>
      </c>
      <c r="BP39" s="288">
        <f>BP13+BP17+BP19+BP20+BP22+BP23+BP24+BP25+BP26+BP27+BP28+BP30+BP31+BP35</f>
        <v>5228</v>
      </c>
      <c r="BQ39" s="287">
        <f>BQ13+BQ17+BQ18+BQ19+BQ20+BQ21+BQ22+BQ23+BQ24+BQ26+BQ27+BQ28+BQ30+BQ31+BQ35</f>
        <v>56306.8</v>
      </c>
      <c r="BR39" s="59"/>
      <c r="BS39" s="288">
        <f>BS13+BS17+BS19+BS20+BS22+BS23+BS25+BS26+BS27+BS28+BS30+BS31</f>
        <v>82972.124999999985</v>
      </c>
      <c r="BT39" s="59"/>
      <c r="BU39" s="59"/>
      <c r="BV39" s="288">
        <f>BV13+BV14+BV15+BV16+BV21+BV23+BV24+BV25+BV26+BV27+BV30+BV33</f>
        <v>188654.5</v>
      </c>
      <c r="BW39" s="288">
        <f>BW13+BW17+BW19+BW20+BW22+BW23+BW24+BW25+BW26+BW27+BW28+BW30+BW31+BW35</f>
        <v>214549.12500000003</v>
      </c>
      <c r="BX39" s="613" t="s">
        <v>115</v>
      </c>
      <c r="BY39" s="614"/>
      <c r="BZ39" s="614"/>
      <c r="CA39" s="614"/>
      <c r="CB39" s="614"/>
      <c r="CC39" s="614"/>
      <c r="CD39" s="615"/>
      <c r="CE39" s="238"/>
      <c r="CF39" s="241"/>
      <c r="CG39" s="241"/>
      <c r="CH39" s="241"/>
      <c r="CI39" s="241"/>
      <c r="CJ39" s="241"/>
      <c r="CK39" s="241"/>
      <c r="CL39" s="241"/>
      <c r="CM39" s="241"/>
      <c r="CN39" s="241"/>
      <c r="CO39" s="241"/>
      <c r="CP39" s="241"/>
      <c r="CQ39" s="241"/>
      <c r="CR39" s="241"/>
      <c r="CS39" s="241"/>
      <c r="CT39" s="241"/>
      <c r="CU39" s="241"/>
      <c r="CV39" s="238"/>
      <c r="CW39" s="238"/>
      <c r="CX39" s="238"/>
      <c r="CY39" s="287">
        <f>CY13+CY17+CY18+CY19+CY20+CY21+CY22+CY23+CY24+CY26+CY27+CY28+CY30+CY31+CY35</f>
        <v>43145877.520000011</v>
      </c>
      <c r="CZ39" s="288">
        <f>CZ13+CZ17+CZ19+CZ20+CZ22+CZ23+CZ25+CZ26+CZ27+CZ28+CZ30+CZ31</f>
        <v>54442334.840000011</v>
      </c>
      <c r="DA39" s="288">
        <f>DA13+DA14+DA15+DA16+DA21+DA23+DA24+DA25+DA26+DA27+DA30+DA33</f>
        <v>5882639.0499999998</v>
      </c>
      <c r="DB39" s="288">
        <f>DB13+DB17+DB19+DB20+DB22+DB23+DB24+DB25+DB26+DB27+DB28+DB30+DB31+DB35</f>
        <v>60761076.710000016</v>
      </c>
      <c r="DC39" s="56">
        <f>DC13+DC16+DC17+DC18+DC19+DC20+DC21+DC22+DC23+DC24+DC26+DC27+DC28+DC29+DC30+DC31+DC32+DC33+DC35+DC38</f>
        <v>56344226.019999996</v>
      </c>
      <c r="DD39" s="56"/>
      <c r="DE39" s="285">
        <f>DE13+DE16+DE17+DE18+DE19+DE20+DE21+DE22+DE23+DE24+DE26+DE27+DE28+DE29+DE30+DE31+DE32+DE33+DE35+DE38</f>
        <v>64044268.25</v>
      </c>
      <c r="DF39" s="56"/>
      <c r="DG39" s="56"/>
      <c r="DH39" s="285">
        <f>DH13+DH14+DH16+DH23+DH25+DH27+DH30</f>
        <v>5530158.7600000007</v>
      </c>
      <c r="DI39" s="285">
        <f>DI13+DI16+DI17+DI18+DI19+DI20+DI21+DI22+DI23+DI24+DI26+DI27+DI28+DI29+DI30+DI31+DI32+DI33+DI35+DI38</f>
        <v>70020780.149999991</v>
      </c>
      <c r="DJ39" s="287">
        <f>DJ13+DJ16+DJ17+DJ18+DJ19+DJ20+DJ21+DJ22+DJ23+DJ24+DJ26+DJ27+DJ28+DJ29+DJ30+DJ31+DJ32+DJ33+DJ35+DJ38</f>
        <v>4984</v>
      </c>
      <c r="DK39" s="59"/>
      <c r="DL39" s="288">
        <f>DL13+DL16+DL17+DL18+DL19+DL20+DL21+DL22+DL23+DL24+DL26+DL27+DL28+DL29+DL30+DL31+DL32+DL33+DL35+DL38</f>
        <v>5404</v>
      </c>
      <c r="DM39" s="59"/>
      <c r="DN39" s="59"/>
      <c r="DO39" s="288">
        <f>DO13+DO14+DO16+DO23+DO25+DO27+DO30</f>
        <v>270</v>
      </c>
      <c r="DP39" s="288">
        <f>DP13+DP16+DP17+DP18+DP19+DP20+DP21+DP22+DP23+DP24+DP26+DP27+DP28+DP29+DP30+DP31+DP32+DP33+DP35+DP38</f>
        <v>5618</v>
      </c>
      <c r="DQ39" s="287">
        <f>DQ13+DQ16+DQ17+DQ18+DQ19+DQ20+DQ21+DQ22+DQ23+DQ24+DQ26+DQ27+DQ28+DQ29+DQ30+DQ31+DQ32+DQ33+DQ35+DQ38</f>
        <v>69854.364999999991</v>
      </c>
      <c r="DR39" s="59"/>
      <c r="DS39" s="288">
        <f>DS13+DS16+DS17+DS18+DS19+DS20+DS21+DS22+DS23+DS24+DS26+DS27+DS28+DS29+DS30+DS31+DS32+DS33+DS35+DS38</f>
        <v>89175.154999999999</v>
      </c>
      <c r="DT39" s="59"/>
      <c r="DU39" s="59"/>
      <c r="DV39" s="288">
        <f>DV13+DV14+DV16+DV23+DV25+DV27+DV30</f>
        <v>106416.04</v>
      </c>
      <c r="DW39" s="288">
        <f>DW13+DW16+DW17+DW18+DW19+DW20+DW21+DW22+DW23+DW24+DW26+DW27+DW28+DW29+DW30+DW31+DW32+DW33+DW35+DW38</f>
        <v>173424.19500000001</v>
      </c>
      <c r="DX39" s="613" t="s">
        <v>115</v>
      </c>
      <c r="DY39" s="614"/>
      <c r="DZ39" s="614"/>
      <c r="EA39" s="614"/>
      <c r="EB39" s="614"/>
      <c r="EC39" s="614"/>
      <c r="ED39" s="615"/>
      <c r="EE39" s="273"/>
      <c r="EF39" s="274"/>
      <c r="EG39" s="274"/>
      <c r="EH39" s="274"/>
      <c r="EI39" s="274"/>
      <c r="EJ39" s="274"/>
      <c r="EK39" s="274"/>
      <c r="EL39" s="274"/>
      <c r="EM39" s="274"/>
      <c r="EN39" s="274"/>
      <c r="EO39" s="274"/>
      <c r="EP39" s="274"/>
      <c r="EQ39" s="274"/>
      <c r="ER39" s="274"/>
      <c r="ES39" s="274"/>
      <c r="ET39" s="274"/>
      <c r="EU39" s="274"/>
      <c r="EV39" s="273"/>
      <c r="EW39" s="273"/>
      <c r="EX39" s="273"/>
      <c r="EY39" s="287">
        <f>EY13+EY16+EY17+EY18+EY19+EY20+EY21+EY22+EY23+EY24+EY26+EY27+EY28+EY29+EY30+EY31+EY32+EY33+EY35+EY38</f>
        <v>56344226.019999996</v>
      </c>
      <c r="EZ39" s="288">
        <f>EZ13+EZ16+EZ17+EZ18+EZ19+EZ20+EZ21+EZ22+EZ23+EZ24+EZ26+EZ27+EZ28+EZ29+EZ30+EZ31+EZ32+EZ33+EZ35+EZ38</f>
        <v>64044268.25</v>
      </c>
      <c r="FA39" s="288">
        <f>FA13+FA14+FA16+FA23+FA25+FA27+FA30</f>
        <v>5530158.7600000007</v>
      </c>
      <c r="FB39" s="288">
        <f>FB13+FB16+FB17+FB18+FB19+FB20+FB21+FB22+FB23+FB24+FB26+FB27+FB28+FB29+FB30+FB31+FB32+FB33+FB35+FB38</f>
        <v>70020780.149999991</v>
      </c>
      <c r="FC39" s="56"/>
      <c r="FD39" s="230"/>
      <c r="FE39" s="230"/>
      <c r="FF39" s="230"/>
      <c r="FG39" s="230"/>
      <c r="FH39" s="230"/>
      <c r="FI39" s="230"/>
      <c r="FJ39" s="230"/>
    </row>
    <row r="40" spans="1:166" s="260" customFormat="1" ht="115.2" x14ac:dyDescent="0.3">
      <c r="A40" s="149"/>
      <c r="B40" s="146"/>
      <c r="C40" s="147" t="s">
        <v>118</v>
      </c>
      <c r="D40" s="147"/>
      <c r="E40" s="147" t="s">
        <v>118</v>
      </c>
      <c r="F40" s="147"/>
      <c r="G40" s="147"/>
      <c r="H40" s="147" t="s">
        <v>118</v>
      </c>
      <c r="I40" s="147" t="s">
        <v>118</v>
      </c>
      <c r="J40" s="296" t="s">
        <v>116</v>
      </c>
      <c r="K40" s="148"/>
      <c r="L40" s="296" t="s">
        <v>116</v>
      </c>
      <c r="M40" s="148"/>
      <c r="N40" s="254"/>
      <c r="O40" s="296" t="s">
        <v>116</v>
      </c>
      <c r="P40" s="296" t="s">
        <v>116</v>
      </c>
      <c r="Q40" s="296" t="s">
        <v>116</v>
      </c>
      <c r="R40" s="148"/>
      <c r="S40" s="296" t="s">
        <v>116</v>
      </c>
      <c r="T40" s="148"/>
      <c r="U40" s="148"/>
      <c r="V40" s="296" t="s">
        <v>116</v>
      </c>
      <c r="W40" s="296" t="s">
        <v>116</v>
      </c>
      <c r="X40" s="147"/>
      <c r="Y40" s="149"/>
      <c r="Z40" s="149"/>
      <c r="AA40" s="149"/>
      <c r="AB40" s="149"/>
      <c r="AC40" s="149"/>
      <c r="AD40" s="149"/>
      <c r="AE40" s="280"/>
      <c r="AF40" s="281"/>
      <c r="AG40" s="280"/>
      <c r="AH40" s="280"/>
      <c r="AI40" s="280"/>
      <c r="AJ40" s="280"/>
      <c r="AK40" s="281"/>
      <c r="AL40" s="281"/>
      <c r="AM40" s="281"/>
      <c r="AN40" s="282"/>
      <c r="AO40" s="282"/>
      <c r="AP40" s="282"/>
      <c r="AQ40" s="282"/>
      <c r="AR40" s="282"/>
      <c r="AS40" s="282"/>
      <c r="AT40" s="282"/>
      <c r="AU40" s="282"/>
      <c r="AV40" s="280"/>
      <c r="AW40" s="280"/>
      <c r="AX40" s="269" t="s">
        <v>125</v>
      </c>
      <c r="AY40" s="646" t="s">
        <v>117</v>
      </c>
      <c r="AZ40" s="647"/>
      <c r="BA40" s="647"/>
      <c r="BB40" s="648"/>
      <c r="BC40" s="147" t="s">
        <v>118</v>
      </c>
      <c r="BD40" s="147"/>
      <c r="BE40" s="147" t="s">
        <v>118</v>
      </c>
      <c r="BF40" s="147"/>
      <c r="BG40" s="147"/>
      <c r="BH40" s="147" t="s">
        <v>118</v>
      </c>
      <c r="BI40" s="147" t="s">
        <v>118</v>
      </c>
      <c r="BJ40" s="296" t="s">
        <v>116</v>
      </c>
      <c r="BK40" s="148"/>
      <c r="BL40" s="296" t="s">
        <v>116</v>
      </c>
      <c r="BN40" s="148"/>
      <c r="BO40" s="296" t="s">
        <v>116</v>
      </c>
      <c r="BP40" s="296" t="s">
        <v>116</v>
      </c>
      <c r="BQ40" s="296" t="s">
        <v>116</v>
      </c>
      <c r="BR40" s="148"/>
      <c r="BS40" s="296" t="s">
        <v>116</v>
      </c>
      <c r="BT40" s="148"/>
      <c r="BU40" s="148"/>
      <c r="BV40" s="296" t="s">
        <v>116</v>
      </c>
      <c r="BW40" s="296" t="s">
        <v>116</v>
      </c>
      <c r="BX40" s="147"/>
      <c r="BY40" s="149"/>
      <c r="BZ40" s="149"/>
      <c r="CA40" s="149"/>
      <c r="CB40" s="149"/>
      <c r="CC40" s="149"/>
      <c r="CD40" s="149"/>
      <c r="CE40" s="262"/>
      <c r="CF40" s="278"/>
      <c r="CG40" s="278"/>
      <c r="CH40" s="278"/>
      <c r="CI40" s="278"/>
      <c r="CJ40" s="278"/>
      <c r="CK40" s="278"/>
      <c r="CL40" s="278"/>
      <c r="CM40" s="278"/>
      <c r="CN40" s="278"/>
      <c r="CO40" s="278"/>
      <c r="CP40" s="278"/>
      <c r="CQ40" s="278"/>
      <c r="CR40" s="278"/>
      <c r="CS40" s="278"/>
      <c r="CT40" s="278"/>
      <c r="CU40" s="278"/>
      <c r="CV40" s="262"/>
      <c r="CW40" s="262"/>
      <c r="CX40" s="238" t="s">
        <v>124</v>
      </c>
      <c r="CY40" s="613" t="s">
        <v>117</v>
      </c>
      <c r="CZ40" s="614"/>
      <c r="DA40" s="614"/>
      <c r="DB40" s="619"/>
      <c r="DC40" s="147" t="s">
        <v>118</v>
      </c>
      <c r="DD40" s="147"/>
      <c r="DE40" s="147" t="s">
        <v>118</v>
      </c>
      <c r="DF40" s="147"/>
      <c r="DG40" s="147"/>
      <c r="DH40" s="147" t="s">
        <v>118</v>
      </c>
      <c r="DI40" s="147" t="s">
        <v>118</v>
      </c>
      <c r="DJ40" s="296" t="s">
        <v>116</v>
      </c>
      <c r="DK40" s="148"/>
      <c r="DL40" s="296" t="s">
        <v>116</v>
      </c>
      <c r="DM40" s="148"/>
      <c r="DN40" s="148"/>
      <c r="DO40" s="296" t="s">
        <v>116</v>
      </c>
      <c r="DP40" s="296" t="s">
        <v>116</v>
      </c>
      <c r="DQ40" s="296" t="s">
        <v>116</v>
      </c>
      <c r="DR40" s="148"/>
      <c r="DS40" s="296" t="s">
        <v>116</v>
      </c>
      <c r="DT40" s="148"/>
      <c r="DU40" s="148"/>
      <c r="DV40" s="296" t="s">
        <v>116</v>
      </c>
      <c r="DW40" s="296" t="s">
        <v>116</v>
      </c>
      <c r="DX40" s="147"/>
      <c r="DY40" s="149"/>
      <c r="DZ40" s="149"/>
      <c r="EA40" s="149"/>
      <c r="EB40" s="149"/>
      <c r="EC40" s="149"/>
      <c r="ED40" s="149"/>
      <c r="EE40" s="275"/>
      <c r="EF40" s="276"/>
      <c r="EG40" s="276"/>
      <c r="EH40" s="276"/>
      <c r="EI40" s="276"/>
      <c r="EJ40" s="276"/>
      <c r="EK40" s="276"/>
      <c r="EL40" s="276"/>
      <c r="EM40" s="276"/>
      <c r="EN40" s="276"/>
      <c r="EO40" s="276"/>
      <c r="EP40" s="276"/>
      <c r="EQ40" s="276"/>
      <c r="ER40" s="276"/>
      <c r="ES40" s="276"/>
      <c r="ET40" s="276"/>
      <c r="EU40" s="276"/>
      <c r="EV40" s="275"/>
      <c r="EW40" s="275"/>
      <c r="EX40" s="299" t="s">
        <v>125</v>
      </c>
      <c r="EY40" s="631" t="s">
        <v>117</v>
      </c>
      <c r="EZ40" s="614"/>
      <c r="FA40" s="614"/>
      <c r="FB40" s="619"/>
      <c r="FC40" s="629" t="s">
        <v>127</v>
      </c>
      <c r="FD40" s="630"/>
      <c r="FE40" s="630"/>
      <c r="FF40" s="302"/>
      <c r="FG40" s="629" t="s">
        <v>129</v>
      </c>
      <c r="FH40" s="630"/>
      <c r="FI40" s="630"/>
      <c r="FJ40" s="630"/>
    </row>
    <row r="41" spans="1:166" s="260" customFormat="1" ht="74.25" customHeight="1" x14ac:dyDescent="0.3">
      <c r="A41" s="149"/>
      <c r="B41" s="146"/>
      <c r="C41" s="147"/>
      <c r="D41" s="147"/>
      <c r="E41" s="147"/>
      <c r="F41" s="147"/>
      <c r="G41" s="147"/>
      <c r="H41" s="147"/>
      <c r="I41" s="56" t="s">
        <v>132</v>
      </c>
      <c r="J41" s="59">
        <f>SUM(J13:J38)</f>
        <v>5598</v>
      </c>
      <c r="K41" s="59"/>
      <c r="L41" s="59">
        <f>SUM(L13:L38)</f>
        <v>6327</v>
      </c>
      <c r="M41" s="59"/>
      <c r="N41" s="59"/>
      <c r="O41" s="59">
        <f>SUM(O13:O38)</f>
        <v>248</v>
      </c>
      <c r="P41" s="59">
        <f>SUM(P13:P38)</f>
        <v>6575</v>
      </c>
      <c r="Q41" s="59">
        <f>SUM(Q13:Q38)</f>
        <v>75796.097999999998</v>
      </c>
      <c r="R41" s="59"/>
      <c r="S41" s="59">
        <f>SUM(S13:S38)</f>
        <v>113799.16800000001</v>
      </c>
      <c r="T41" s="59"/>
      <c r="U41" s="59"/>
      <c r="V41" s="59">
        <f>SUM(V13:V38)</f>
        <v>122991.03999999999</v>
      </c>
      <c r="W41" s="59">
        <f>SUM(W13:W38)</f>
        <v>236790.20799999998</v>
      </c>
      <c r="X41" s="147"/>
      <c r="Y41" s="147"/>
      <c r="Z41" s="147"/>
      <c r="AA41" s="147"/>
      <c r="AB41" s="147"/>
      <c r="AC41" s="147"/>
      <c r="AD41" s="147"/>
      <c r="AE41" s="280"/>
      <c r="AF41" s="281"/>
      <c r="AG41" s="280"/>
      <c r="AH41" s="280"/>
      <c r="AI41" s="280"/>
      <c r="AJ41" s="280"/>
      <c r="AK41" s="281"/>
      <c r="AL41" s="281"/>
      <c r="AM41" s="281"/>
      <c r="AN41" s="282"/>
      <c r="AO41" s="282"/>
      <c r="AP41" s="282"/>
      <c r="AQ41" s="282"/>
      <c r="AR41" s="282"/>
      <c r="AS41" s="282"/>
      <c r="AT41" s="282"/>
      <c r="AU41" s="282"/>
      <c r="AV41" s="280"/>
      <c r="AW41" s="280"/>
      <c r="AX41" s="269" t="s">
        <v>119</v>
      </c>
      <c r="AY41" s="269">
        <f>AY39/J39</f>
        <v>10140.928405606657</v>
      </c>
      <c r="AZ41" s="269">
        <f>AZ39/L39</f>
        <v>10669.332210925038</v>
      </c>
      <c r="BA41" s="269">
        <f>BA39/O39</f>
        <v>17906.846666666668</v>
      </c>
      <c r="BB41" s="269">
        <f>BB39/P39</f>
        <v>10076.600152335814</v>
      </c>
      <c r="BC41" s="147"/>
      <c r="BD41" s="147"/>
      <c r="BE41" s="147"/>
      <c r="BF41" s="147"/>
      <c r="BG41" s="147"/>
      <c r="BH41" s="147"/>
      <c r="BI41" s="56" t="s">
        <v>132</v>
      </c>
      <c r="BJ41" s="59">
        <f>SUM(BJ13:BJ38)</f>
        <v>5802</v>
      </c>
      <c r="BK41" s="59"/>
      <c r="BL41" s="59">
        <f>SUM(BL13:BL38)</f>
        <v>6643</v>
      </c>
      <c r="BM41" s="59"/>
      <c r="BN41" s="59"/>
      <c r="BO41" s="59">
        <f>SUM(BO13:BO38)</f>
        <v>394</v>
      </c>
      <c r="BP41" s="59">
        <f>SUM(BP13:BP38)</f>
        <v>7037</v>
      </c>
      <c r="BQ41" s="59">
        <f>SUM(BQ13:BQ38)</f>
        <v>78165.350000000006</v>
      </c>
      <c r="BR41" s="59"/>
      <c r="BS41" s="59">
        <f>SUM(BS13:BS38)</f>
        <v>126119.08999999998</v>
      </c>
      <c r="BT41" s="59"/>
      <c r="BU41" s="59"/>
      <c r="BV41" s="59">
        <f>SUM(BV13:BV38)</f>
        <v>193586.5</v>
      </c>
      <c r="BW41" s="59">
        <f>SUM(BW13:BW38)</f>
        <v>319705.58999999997</v>
      </c>
      <c r="BX41" s="147"/>
      <c r="BY41" s="147"/>
      <c r="BZ41" s="147"/>
      <c r="CA41" s="147"/>
      <c r="CB41" s="147"/>
      <c r="CC41" s="147"/>
      <c r="CD41" s="147"/>
      <c r="CE41" s="262"/>
      <c r="CF41" s="278"/>
      <c r="CG41" s="278"/>
      <c r="CH41" s="278"/>
      <c r="CI41" s="278"/>
      <c r="CJ41" s="278"/>
      <c r="CK41" s="278"/>
      <c r="CL41" s="278"/>
      <c r="CM41" s="278"/>
      <c r="CN41" s="278"/>
      <c r="CO41" s="278"/>
      <c r="CP41" s="278"/>
      <c r="CQ41" s="278"/>
      <c r="CR41" s="278"/>
      <c r="CS41" s="278"/>
      <c r="CT41" s="278"/>
      <c r="CU41" s="278"/>
      <c r="CV41" s="262"/>
      <c r="CW41" s="262"/>
      <c r="CX41" s="238" t="s">
        <v>119</v>
      </c>
      <c r="CY41" s="238">
        <f>CY39/BJ39</f>
        <v>9985.1602684563786</v>
      </c>
      <c r="CZ41" s="238">
        <f>CZ39/BL39</f>
        <v>11337.429162848815</v>
      </c>
      <c r="DA41" s="238">
        <f>DA39/BO39</f>
        <v>15562.537169312169</v>
      </c>
      <c r="DB41" s="238">
        <f>DB39/BP39</f>
        <v>11622.241145753638</v>
      </c>
      <c r="DC41" s="147"/>
      <c r="DD41" s="147"/>
      <c r="DE41" s="147"/>
      <c r="DF41" s="147"/>
      <c r="DG41" s="147"/>
      <c r="DH41" s="147"/>
      <c r="DI41" s="56" t="s">
        <v>132</v>
      </c>
      <c r="DJ41" s="59">
        <f>SUM(DJ13:DJ38)</f>
        <v>5889</v>
      </c>
      <c r="DK41" s="59"/>
      <c r="DL41" s="59">
        <f>SUM(DL13:DL38)</f>
        <v>6557</v>
      </c>
      <c r="DM41" s="59"/>
      <c r="DN41" s="59"/>
      <c r="DO41" s="59">
        <f>SUM(DO13:DO38)</f>
        <v>290</v>
      </c>
      <c r="DP41" s="59">
        <f>SUM(DP13:DP38)</f>
        <v>6847</v>
      </c>
      <c r="DQ41" s="59">
        <f>SUM(DQ13:DQ38)</f>
        <v>78955.464999999997</v>
      </c>
      <c r="DR41" s="59"/>
      <c r="DS41" s="59">
        <f>SUM(DS13:DS38)</f>
        <v>118074.55499999998</v>
      </c>
      <c r="DT41" s="59"/>
      <c r="DU41" s="59"/>
      <c r="DV41" s="59">
        <f>SUM(DV13:DV38)</f>
        <v>112086.04</v>
      </c>
      <c r="DW41" s="59">
        <f>SUM(DW13:DW38)</f>
        <v>230160.59500000003</v>
      </c>
      <c r="DX41" s="147"/>
      <c r="DY41" s="147"/>
      <c r="DZ41" s="147"/>
      <c r="EA41" s="147"/>
      <c r="EB41" s="147"/>
      <c r="EC41" s="147"/>
      <c r="ED41" s="147"/>
      <c r="EE41" s="275"/>
      <c r="EF41" s="276"/>
      <c r="EG41" s="276"/>
      <c r="EH41" s="276"/>
      <c r="EI41" s="276"/>
      <c r="EJ41" s="276"/>
      <c r="EK41" s="276"/>
      <c r="EL41" s="276"/>
      <c r="EM41" s="276"/>
      <c r="EN41" s="276"/>
      <c r="EO41" s="276"/>
      <c r="EP41" s="276"/>
      <c r="EQ41" s="276"/>
      <c r="ER41" s="276"/>
      <c r="ES41" s="276"/>
      <c r="ET41" s="276"/>
      <c r="EU41" s="276"/>
      <c r="EV41" s="275"/>
      <c r="EW41" s="275"/>
      <c r="EX41" s="273" t="s">
        <v>119</v>
      </c>
      <c r="EY41" s="273">
        <f>EY39/DJ39</f>
        <v>11305.021272070626</v>
      </c>
      <c r="EZ41" s="273">
        <f>EZ39/DL39</f>
        <v>11851.270956698741</v>
      </c>
      <c r="FA41" s="273">
        <f>FA39/DO39</f>
        <v>20482.069481481485</v>
      </c>
      <c r="FB41" s="273">
        <f>FB39/DP39</f>
        <v>12463.64901210395</v>
      </c>
      <c r="FC41" s="301">
        <f>(CY41*$FE$6*$FF$6+EY41*$FF$6+AY41)/3*$FG$6*$FH$6</f>
        <v>11800.19890411636</v>
      </c>
      <c r="FD41" s="301">
        <f t="shared" ref="FD41:FF41" si="85">(CZ41*$FE$6*$FF$6+EZ41*$FF$6+AZ41)/3*$FG$6*$FH$6</f>
        <v>12730.038098123045</v>
      </c>
      <c r="FE41" s="301">
        <f t="shared" si="85"/>
        <v>20206.823848951066</v>
      </c>
      <c r="FF41" s="301">
        <f t="shared" si="85"/>
        <v>12858.454370069954</v>
      </c>
      <c r="FG41" s="308">
        <f>FC41*(J41+BJ41+DJ41)/(Q41+BQ41+DQ41)</f>
        <v>875.90736209554575</v>
      </c>
      <c r="FH41" s="308">
        <f>FD41*(L41+BL41+DL41)/(S41+BS41+DS41)</f>
        <v>694.3699563657126</v>
      </c>
      <c r="FI41" s="308">
        <f>FE41*(O41+BO41+DO41)/(V41+BV41+DV41)</f>
        <v>43.933659648021404</v>
      </c>
      <c r="FJ41" s="308">
        <f>FF41*(P41+BP41+DP41)/(W41+BW41+DW41)</f>
        <v>334.4168054797226</v>
      </c>
    </row>
    <row r="42" spans="1:166" s="260" customFormat="1" ht="74.25" customHeight="1" x14ac:dyDescent="0.3">
      <c r="A42" s="149"/>
      <c r="B42" s="146"/>
      <c r="C42" s="147"/>
      <c r="D42" s="147"/>
      <c r="E42" s="147"/>
      <c r="F42" s="147"/>
      <c r="G42" s="147"/>
      <c r="H42" s="147"/>
      <c r="I42" s="147"/>
      <c r="J42" s="148"/>
      <c r="K42" s="148"/>
      <c r="L42" s="148"/>
      <c r="M42" s="148"/>
      <c r="N42" s="148"/>
      <c r="O42" s="148"/>
      <c r="P42" s="148"/>
      <c r="Q42" s="148"/>
      <c r="R42" s="148"/>
      <c r="S42" s="148"/>
      <c r="T42" s="148"/>
      <c r="U42" s="148"/>
      <c r="V42" s="148"/>
      <c r="W42" s="148"/>
      <c r="X42" s="147"/>
      <c r="Y42" s="147"/>
      <c r="Z42" s="147"/>
      <c r="AA42" s="147"/>
      <c r="AB42" s="147"/>
      <c r="AC42" s="147"/>
      <c r="AD42" s="147"/>
      <c r="AE42" s="280"/>
      <c r="AF42" s="281"/>
      <c r="AG42" s="280"/>
      <c r="AH42" s="280"/>
      <c r="AI42" s="280"/>
      <c r="AJ42" s="280"/>
      <c r="AK42" s="281"/>
      <c r="AL42" s="281"/>
      <c r="AM42" s="281"/>
      <c r="AN42" s="282"/>
      <c r="AO42" s="282"/>
      <c r="AP42" s="282"/>
      <c r="AQ42" s="282"/>
      <c r="AR42" s="282"/>
      <c r="AS42" s="282"/>
      <c r="AT42" s="282"/>
      <c r="AU42" s="282"/>
      <c r="AV42" s="280"/>
      <c r="AW42" s="280"/>
      <c r="AX42" s="269" t="s">
        <v>120</v>
      </c>
      <c r="AY42" s="269">
        <f>AY39/Q39</f>
        <v>749.91453722056349</v>
      </c>
      <c r="AZ42" s="269">
        <f>AZ39/S39</f>
        <v>664.18353039778083</v>
      </c>
      <c r="BA42" s="269">
        <f>BA39/V39</f>
        <v>35.454029768642506</v>
      </c>
      <c r="BB42" s="269">
        <f>BB39/W39</f>
        <v>273.57782740252486</v>
      </c>
      <c r="BC42" s="147"/>
      <c r="BD42" s="147"/>
      <c r="BE42" s="147"/>
      <c r="BF42" s="147"/>
      <c r="BG42" s="147"/>
      <c r="BH42" s="147"/>
      <c r="BI42" s="147"/>
      <c r="BJ42" s="148"/>
      <c r="BK42" s="148"/>
      <c r="BL42" s="148"/>
      <c r="BM42" s="148"/>
      <c r="BN42" s="148"/>
      <c r="BO42" s="148"/>
      <c r="BP42" s="148"/>
      <c r="BQ42" s="148"/>
      <c r="BR42" s="148"/>
      <c r="BS42" s="148"/>
      <c r="BT42" s="148"/>
      <c r="BU42" s="148"/>
      <c r="BV42" s="148"/>
      <c r="BW42" s="148"/>
      <c r="BX42" s="147"/>
      <c r="BY42" s="147"/>
      <c r="BZ42" s="147"/>
      <c r="CA42" s="147"/>
      <c r="CB42" s="147"/>
      <c r="CC42" s="147"/>
      <c r="CD42" s="147"/>
      <c r="CE42" s="262"/>
      <c r="CF42" s="278"/>
      <c r="CG42" s="278"/>
      <c r="CH42" s="278"/>
      <c r="CI42" s="278"/>
      <c r="CJ42" s="278"/>
      <c r="CK42" s="278"/>
      <c r="CL42" s="278"/>
      <c r="CM42" s="278"/>
      <c r="CN42" s="278"/>
      <c r="CO42" s="278"/>
      <c r="CP42" s="278"/>
      <c r="CQ42" s="278"/>
      <c r="CR42" s="278"/>
      <c r="CS42" s="278"/>
      <c r="CT42" s="278"/>
      <c r="CU42" s="278"/>
      <c r="CV42" s="262"/>
      <c r="CW42" s="262"/>
      <c r="CX42" s="238" t="s">
        <v>120</v>
      </c>
      <c r="CY42" s="238">
        <f>CY39/BQ39</f>
        <v>766.26406615186818</v>
      </c>
      <c r="CZ42" s="238">
        <f>CZ39/BS39</f>
        <v>656.15210939818667</v>
      </c>
      <c r="DA42" s="238">
        <f>DA39/BV39</f>
        <v>31.182076494332232</v>
      </c>
      <c r="DB42" s="238">
        <f>DB39/BW39</f>
        <v>283.20356333310616</v>
      </c>
      <c r="DC42" s="147"/>
      <c r="DD42" s="147"/>
      <c r="DE42" s="147"/>
      <c r="DF42" s="147"/>
      <c r="DG42" s="147"/>
      <c r="DH42" s="147"/>
      <c r="DI42" s="147"/>
      <c r="DJ42" s="148"/>
      <c r="DK42" s="148"/>
      <c r="DL42" s="148"/>
      <c r="DM42" s="148"/>
      <c r="DN42" s="148"/>
      <c r="DO42" s="148"/>
      <c r="DP42" s="148"/>
      <c r="DQ42" s="148"/>
      <c r="DR42" s="148"/>
      <c r="DS42" s="148"/>
      <c r="DT42" s="148"/>
      <c r="DU42" s="148"/>
      <c r="DV42" s="148"/>
      <c r="DW42" s="148"/>
      <c r="DX42" s="147"/>
      <c r="DY42" s="147"/>
      <c r="DZ42" s="147"/>
      <c r="EA42" s="147"/>
      <c r="EB42" s="147"/>
      <c r="EC42" s="147"/>
      <c r="ED42" s="147"/>
      <c r="EE42" s="275"/>
      <c r="EF42" s="276"/>
      <c r="EG42" s="276"/>
      <c r="EH42" s="276"/>
      <c r="EI42" s="276"/>
      <c r="EJ42" s="276"/>
      <c r="EK42" s="276"/>
      <c r="EL42" s="276"/>
      <c r="EM42" s="276"/>
      <c r="EN42" s="276"/>
      <c r="EO42" s="276"/>
      <c r="EP42" s="276"/>
      <c r="EQ42" s="276"/>
      <c r="ER42" s="276"/>
      <c r="ES42" s="276"/>
      <c r="ET42" s="276"/>
      <c r="EU42" s="276"/>
      <c r="EV42" s="275"/>
      <c r="EW42" s="275"/>
      <c r="EX42" s="273" t="s">
        <v>120</v>
      </c>
      <c r="EY42" s="273">
        <f>EY39/DQ39</f>
        <v>806.59563679377811</v>
      </c>
      <c r="EZ42" s="273">
        <f>EZ39/DS39</f>
        <v>718.18510716353671</v>
      </c>
      <c r="FA42" s="273">
        <f>FA39/DV39</f>
        <v>51.967342141278714</v>
      </c>
      <c r="FB42" s="273">
        <f>FB39/DW39</f>
        <v>403.75439049897267</v>
      </c>
      <c r="FC42" s="264"/>
      <c r="FD42" s="264"/>
      <c r="FE42" s="264"/>
      <c r="FF42" s="264"/>
    </row>
    <row r="43" spans="1:166" s="266" customFormat="1" ht="21.75" customHeight="1" x14ac:dyDescent="0.3">
      <c r="A43" s="289" t="s">
        <v>62</v>
      </c>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65"/>
      <c r="DD43" s="265"/>
      <c r="DE43" s="265"/>
      <c r="DF43" s="265"/>
      <c r="DG43" s="265"/>
      <c r="DH43" s="265"/>
      <c r="DI43" s="265"/>
      <c r="DJ43" s="265"/>
      <c r="DK43" s="265"/>
      <c r="DL43" s="265"/>
      <c r="DM43" s="265"/>
      <c r="DN43" s="265"/>
      <c r="DO43" s="265"/>
      <c r="DP43" s="265"/>
      <c r="DQ43" s="265"/>
      <c r="DR43" s="265"/>
      <c r="DS43" s="265"/>
      <c r="DT43" s="265"/>
      <c r="DU43" s="265"/>
      <c r="DV43" s="265"/>
      <c r="DW43" s="265"/>
      <c r="DX43" s="265"/>
      <c r="DY43" s="265"/>
      <c r="DZ43" s="265"/>
      <c r="EA43" s="265"/>
      <c r="EB43" s="265"/>
      <c r="EC43" s="265"/>
      <c r="ED43" s="265"/>
      <c r="EE43" s="277"/>
      <c r="EF43" s="277"/>
      <c r="EG43" s="277"/>
      <c r="EH43" s="277"/>
      <c r="EI43" s="277"/>
      <c r="EJ43" s="277"/>
      <c r="EK43" s="277"/>
      <c r="EL43" s="277"/>
      <c r="EM43" s="277"/>
      <c r="EN43" s="277"/>
      <c r="EO43" s="277"/>
      <c r="EP43" s="277"/>
      <c r="EQ43" s="277"/>
      <c r="ER43" s="277"/>
      <c r="ES43" s="277"/>
      <c r="ET43" s="277"/>
      <c r="EU43" s="277"/>
      <c r="EV43" s="277"/>
      <c r="EW43" s="277"/>
      <c r="EX43" s="277"/>
      <c r="EY43" s="277"/>
      <c r="EZ43" s="277"/>
      <c r="FA43" s="277"/>
      <c r="FB43" s="277"/>
    </row>
    <row r="44" spans="1:166" x14ac:dyDescent="0.3">
      <c r="A44" s="48" t="s">
        <v>3</v>
      </c>
      <c r="B44" s="258" t="s">
        <v>9</v>
      </c>
      <c r="C44" s="53">
        <v>40922981.950000003</v>
      </c>
      <c r="D44" s="53">
        <v>2607403.8199999998</v>
      </c>
      <c r="E44" s="53">
        <f>C44+D44</f>
        <v>43530385.770000003</v>
      </c>
      <c r="F44" s="53">
        <v>972252.27</v>
      </c>
      <c r="G44" s="53">
        <v>1458378.41</v>
      </c>
      <c r="H44" s="53">
        <f t="shared" ref="H44:H67" si="86">F44+G44</f>
        <v>2430630.6799999997</v>
      </c>
      <c r="I44" s="56">
        <f>C44+D44+F44+G44</f>
        <v>45961016.450000003</v>
      </c>
      <c r="J44" s="252">
        <v>2778</v>
      </c>
      <c r="K44" s="252">
        <v>177</v>
      </c>
      <c r="L44" s="252">
        <f>J44+K44</f>
        <v>2955</v>
      </c>
      <c r="M44" s="252">
        <v>66</v>
      </c>
      <c r="N44" s="252">
        <v>99</v>
      </c>
      <c r="O44" s="252">
        <f>M44+N44</f>
        <v>165</v>
      </c>
      <c r="P44" s="56">
        <f>J44+K44+M44+N44</f>
        <v>3120</v>
      </c>
      <c r="Q44" s="252">
        <v>34096</v>
      </c>
      <c r="R44" s="252">
        <v>8059</v>
      </c>
      <c r="S44" s="59">
        <f>Q44+R44</f>
        <v>42155</v>
      </c>
      <c r="T44" s="252">
        <v>16027</v>
      </c>
      <c r="U44" s="252">
        <v>74749</v>
      </c>
      <c r="V44" s="256">
        <f>T44+U44</f>
        <v>90776</v>
      </c>
      <c r="W44" s="56">
        <f>Q44+R44+T44+U44</f>
        <v>132931</v>
      </c>
      <c r="X44" s="56">
        <f t="shared" ref="X44:AC45" si="87">C44/J44</f>
        <v>14731.095014398848</v>
      </c>
      <c r="Y44" s="56">
        <f t="shared" si="87"/>
        <v>14731.095028248586</v>
      </c>
      <c r="Z44" s="56">
        <f t="shared" si="87"/>
        <v>14731.095015228428</v>
      </c>
      <c r="AA44" s="56">
        <f t="shared" si="87"/>
        <v>14731.095000000001</v>
      </c>
      <c r="AB44" s="56">
        <f t="shared" si="87"/>
        <v>14731.09505050505</v>
      </c>
      <c r="AC44" s="56">
        <f t="shared" si="87"/>
        <v>14731.095030303028</v>
      </c>
      <c r="AD44" s="56">
        <f t="shared" ref="AD44:AD69" si="88">I44/P44</f>
        <v>14731.095016025642</v>
      </c>
      <c r="AE44" s="269">
        <f>AVERAGE(X44:X69)</f>
        <v>10050.894978807453</v>
      </c>
      <c r="AF44" s="269">
        <f>AVERAGE(Z44:Z69)</f>
        <v>11219.490926392429</v>
      </c>
      <c r="AG44" s="269">
        <f>AVERAGE(AC44:AC69)</f>
        <v>82333.639993226359</v>
      </c>
      <c r="AH44" s="269">
        <f>AVERAGE(AD44:AD69)</f>
        <v>11841.296765958419</v>
      </c>
      <c r="AI44" s="269">
        <f>_xlfn.STDEV.S(X44:X69)</f>
        <v>11743.734138341413</v>
      </c>
      <c r="AJ44" s="269">
        <f>_xlfn.STDEV.S(Z44:Z69)</f>
        <v>12371.291478301806</v>
      </c>
      <c r="AK44" s="269">
        <f>_xlfn.STDEV.S(AC44:AC69)</f>
        <v>129184.96452661842</v>
      </c>
      <c r="AL44" s="269">
        <f>_xlfn.STDEV.S(AD44:AD69)</f>
        <v>13014.940111501182</v>
      </c>
      <c r="AM44" s="269">
        <f>AE44-AI44</f>
        <v>-1692.8391595339599</v>
      </c>
      <c r="AN44" s="269">
        <f>AF44-AJ44</f>
        <v>-1151.8005519093767</v>
      </c>
      <c r="AO44" s="269">
        <f>AG44-AK44</f>
        <v>-46851.324533392064</v>
      </c>
      <c r="AP44" s="269">
        <f>AH44-AL44</f>
        <v>-1173.6433455427632</v>
      </c>
      <c r="AQ44" s="269">
        <f>AE44+AI44</f>
        <v>21794.629117148866</v>
      </c>
      <c r="AR44" s="269">
        <f>AF44+AJ44</f>
        <v>23590.782404694233</v>
      </c>
      <c r="AS44" s="269">
        <f>AG44+AK44</f>
        <v>211518.60451984478</v>
      </c>
      <c r="AT44" s="269">
        <f>AH44+AL44</f>
        <v>24856.236877459603</v>
      </c>
      <c r="AU44" s="269">
        <f>IF(AND(X44&gt;$AM$44,X44&lt;$AQ$44),X44,0)</f>
        <v>14731.095014398848</v>
      </c>
      <c r="AV44" s="269">
        <f>IF(AND(Z44&gt;$AN$44,Z44&lt;$AR$44),Z44,0)</f>
        <v>14731.095015228428</v>
      </c>
      <c r="AW44" s="269">
        <f t="shared" ref="AW44:AW69" si="89">IF(AND(AC44&gt;$AO$44,AC44&lt;$AS$44),AC44,0)</f>
        <v>14731.095030303028</v>
      </c>
      <c r="AX44" s="269">
        <f>IF(AND(AD44&gt;$AP$44,AD44&lt;$AT$44),AD44,0)</f>
        <v>14731.095016025642</v>
      </c>
      <c r="AY44" s="269">
        <f>AU44*J44</f>
        <v>40922981.950000003</v>
      </c>
      <c r="AZ44" s="269">
        <f>AV44*L44</f>
        <v>43530385.770000003</v>
      </c>
      <c r="BA44" s="269">
        <f>AW44*O44</f>
        <v>2430630.6799999997</v>
      </c>
      <c r="BB44" s="269">
        <f>AX44*P44</f>
        <v>45961016.450000003</v>
      </c>
      <c r="BC44" s="53">
        <v>34465633.950000003</v>
      </c>
      <c r="BD44" s="53">
        <v>3573446.65</v>
      </c>
      <c r="BE44" s="79">
        <f>BC44+BD44</f>
        <v>38039080.600000001</v>
      </c>
      <c r="BF44" s="53">
        <v>2136299.62</v>
      </c>
      <c r="BG44" s="53">
        <v>1566619.72</v>
      </c>
      <c r="BH44" s="79">
        <f>BF44+BG44</f>
        <v>3702919.34</v>
      </c>
      <c r="BI44" s="56">
        <f>BC44+BD44+BF44+BG44</f>
        <v>41741999.939999998</v>
      </c>
      <c r="BJ44" s="252">
        <v>2662</v>
      </c>
      <c r="BK44" s="252">
        <v>276</v>
      </c>
      <c r="BL44" s="252">
        <f>BJ44+BK44</f>
        <v>2938</v>
      </c>
      <c r="BM44" s="252">
        <v>165</v>
      </c>
      <c r="BN44" s="252">
        <v>121</v>
      </c>
      <c r="BO44" s="252">
        <f>BM44+BN44</f>
        <v>286</v>
      </c>
      <c r="BP44" s="56">
        <f>BJ44+BK44+BM44+BN44</f>
        <v>3224</v>
      </c>
      <c r="BQ44" s="252">
        <v>31792</v>
      </c>
      <c r="BR44" s="252">
        <v>13498</v>
      </c>
      <c r="BS44" s="76">
        <f>BQ44+BR44</f>
        <v>45290</v>
      </c>
      <c r="BT44" s="252">
        <v>30316</v>
      </c>
      <c r="BU44" s="252">
        <v>84282</v>
      </c>
      <c r="BV44" s="59">
        <f>BT44+BU44</f>
        <v>114598</v>
      </c>
      <c r="BW44" s="56">
        <f>BQ44+BR44+BT44+BU44</f>
        <v>159888</v>
      </c>
      <c r="BX44" s="56">
        <f t="shared" ref="BX44:CD44" si="90">BC44/BJ44</f>
        <v>12947.270454545456</v>
      </c>
      <c r="BY44" s="56">
        <f t="shared" si="90"/>
        <v>12947.270471014492</v>
      </c>
      <c r="BZ44" s="56">
        <f t="shared" si="90"/>
        <v>12947.270456092581</v>
      </c>
      <c r="CA44" s="56">
        <f t="shared" si="90"/>
        <v>12947.270424242424</v>
      </c>
      <c r="CB44" s="56">
        <f t="shared" si="90"/>
        <v>12947.270413223141</v>
      </c>
      <c r="CC44" s="56">
        <f t="shared" si="90"/>
        <v>12947.27041958042</v>
      </c>
      <c r="CD44" s="56">
        <f t="shared" si="90"/>
        <v>12947.270452853598</v>
      </c>
      <c r="CE44" s="238">
        <f>AVERAGE(BX44:BX69)</f>
        <v>11257.939960976011</v>
      </c>
      <c r="CF44" s="238">
        <f>AVERAGE(BZ44:BZ69)</f>
        <v>12060.681683118062</v>
      </c>
      <c r="CG44" s="238">
        <f>AVERAGE(CC44:CC69)</f>
        <v>59227.484769117524</v>
      </c>
      <c r="CH44" s="238">
        <f>AVERAGE(CD44:CD69)</f>
        <v>12634.930498278894</v>
      </c>
      <c r="CI44" s="238">
        <f>_xlfn.STDEV.S(BX44:BX69)</f>
        <v>12199.438327949805</v>
      </c>
      <c r="CJ44" s="238">
        <f>_xlfn.STDEV.S(BZ44:BZ69)</f>
        <v>13089.740288679053</v>
      </c>
      <c r="CK44" s="238">
        <f>_xlfn.STDEV.S(CC44:CC69)</f>
        <v>121933.61310574219</v>
      </c>
      <c r="CL44" s="238">
        <f>_xlfn.STDEV.S(CD44:CD69)</f>
        <v>14150.639440268029</v>
      </c>
      <c r="CM44" s="238">
        <f>CE44-CI44</f>
        <v>-941.49836697379396</v>
      </c>
      <c r="CN44" s="238">
        <f>CF44-CJ44</f>
        <v>-1029.0586055609911</v>
      </c>
      <c r="CO44" s="238">
        <f>CG44-CK44</f>
        <v>-62706.128336624664</v>
      </c>
      <c r="CP44" s="238">
        <f>CH44-CL44</f>
        <v>-1515.7089419891345</v>
      </c>
      <c r="CQ44" s="238">
        <f>CE44+CI44</f>
        <v>23457.378288925815</v>
      </c>
      <c r="CR44" s="238">
        <f>CF44+CJ44</f>
        <v>25150.421971797114</v>
      </c>
      <c r="CS44" s="238">
        <f>CG44+CK44</f>
        <v>181161.0978748597</v>
      </c>
      <c r="CT44" s="238">
        <f>CH44+CL44</f>
        <v>26785.569938546923</v>
      </c>
      <c r="CU44" s="238">
        <f t="shared" ref="CU44:CU69" si="91">IF(AND(BX44&gt;$CM$44,BX44&lt;$CQ$44),BX44,0)</f>
        <v>12947.270454545456</v>
      </c>
      <c r="CV44" s="238">
        <f t="shared" ref="CV44:CV69" si="92">IF(AND(BZ44&gt;$CN$44,BZ44&lt;$CR$44),BZ44,0)</f>
        <v>12947.270456092581</v>
      </c>
      <c r="CW44" s="238">
        <f t="shared" ref="CW44:CW69" si="93">IF(AND(CC44&gt;$CO$44,CC44&lt;$CS$44),CC44,0)</f>
        <v>12947.27041958042</v>
      </c>
      <c r="CX44" s="238">
        <f>IF(AND(CD44&gt;$CP$44,CD44&lt;$CT$44),CD44,0)</f>
        <v>12947.270452853598</v>
      </c>
      <c r="CY44" s="238">
        <f t="shared" ref="CY44:CY69" si="94">CU44*BJ44</f>
        <v>34465633.950000003</v>
      </c>
      <c r="CZ44" s="238">
        <f t="shared" ref="CZ44:CZ69" si="95">CV44*BL44</f>
        <v>38039080.600000001</v>
      </c>
      <c r="DA44" s="238">
        <f t="shared" ref="DA44:DB69" si="96">CW44*BO44</f>
        <v>3702919.3400000003</v>
      </c>
      <c r="DB44" s="238">
        <f t="shared" si="96"/>
        <v>41741999.939999998</v>
      </c>
      <c r="DC44" s="53">
        <v>34777913.380000003</v>
      </c>
      <c r="DD44" s="53">
        <v>2185497.29</v>
      </c>
      <c r="DE44" s="56">
        <f>DC44+DD44</f>
        <v>36963410.670000002</v>
      </c>
      <c r="DF44" s="53">
        <v>1187770.27</v>
      </c>
      <c r="DG44" s="53">
        <v>962093.92</v>
      </c>
      <c r="DH44" s="56">
        <f>DF44+DG44</f>
        <v>2149864.19</v>
      </c>
      <c r="DI44" s="56">
        <f>DC44+DD44+DF44+DG44</f>
        <v>39113274.860000007</v>
      </c>
      <c r="DJ44" s="252">
        <v>2928</v>
      </c>
      <c r="DK44" s="252">
        <v>184</v>
      </c>
      <c r="DL44" s="56">
        <f>DJ44+DK44</f>
        <v>3112</v>
      </c>
      <c r="DM44" s="252">
        <v>100</v>
      </c>
      <c r="DN44" s="252">
        <v>81</v>
      </c>
      <c r="DO44" s="56">
        <f>DM44+DN44</f>
        <v>181</v>
      </c>
      <c r="DP44" s="56">
        <f>DJ44+DK44+DM44+DN44</f>
        <v>3293</v>
      </c>
      <c r="DQ44" s="252">
        <v>35262</v>
      </c>
      <c r="DR44" s="252">
        <v>7918</v>
      </c>
      <c r="DS44" s="56">
        <f t="shared" ref="DS44:DS64" si="97">DQ44+DR44</f>
        <v>43180</v>
      </c>
      <c r="DT44" s="252">
        <v>17968</v>
      </c>
      <c r="DU44" s="252">
        <v>56691</v>
      </c>
      <c r="DV44" s="56">
        <f t="shared" ref="DV44:DV64" si="98">DT44+DU44</f>
        <v>74659</v>
      </c>
      <c r="DW44" s="56">
        <f>DQ44+DR44+DT44+DU44</f>
        <v>117839</v>
      </c>
      <c r="DX44" s="56">
        <f t="shared" ref="DX44:ED44" si="99">DC44/DJ44</f>
        <v>11877.702657103826</v>
      </c>
      <c r="DY44" s="56">
        <f t="shared" si="99"/>
        <v>11877.702663043479</v>
      </c>
      <c r="DZ44" s="56">
        <f t="shared" si="99"/>
        <v>11877.702657455013</v>
      </c>
      <c r="EA44" s="56">
        <f t="shared" si="99"/>
        <v>11877.7027</v>
      </c>
      <c r="EB44" s="56">
        <f t="shared" si="99"/>
        <v>11877.702716049384</v>
      </c>
      <c r="EC44" s="56">
        <f t="shared" si="99"/>
        <v>11877.70270718232</v>
      </c>
      <c r="ED44" s="56">
        <f t="shared" si="99"/>
        <v>11877.702660188281</v>
      </c>
      <c r="EE44" s="273">
        <f>AVERAGE(DX44:DX69)</f>
        <v>11868.804004433532</v>
      </c>
      <c r="EF44" s="273">
        <f>AVERAGE(DZ44:DZ69)</f>
        <v>12568.975927879275</v>
      </c>
      <c r="EG44" s="273">
        <f>AVERAGE(EC44:EC69)</f>
        <v>89427.245610719212</v>
      </c>
      <c r="EH44" s="273">
        <f>AVERAGE(ED44:ED69)</f>
        <v>13243.886143859998</v>
      </c>
      <c r="EI44" s="273">
        <f>_xlfn.STDEV.S(DX44:DX69)</f>
        <v>15871.500958745422</v>
      </c>
      <c r="EJ44" s="273">
        <f>_xlfn.STDEV.S(DZ44:DZ69)</f>
        <v>16724.029186646432</v>
      </c>
      <c r="EK44" s="273">
        <f>_xlfn.STDEV.S(EC44:EC69)</f>
        <v>140622.22973313736</v>
      </c>
      <c r="EL44" s="273">
        <f>_xlfn.STDEV.S(ED44:ED69)</f>
        <v>17631.169605970692</v>
      </c>
      <c r="EM44" s="273">
        <f>EE44-EI44</f>
        <v>-4002.6969543118903</v>
      </c>
      <c r="EN44" s="273">
        <f>EF44-EJ44</f>
        <v>-4155.0532587671569</v>
      </c>
      <c r="EO44" s="273">
        <f>EG44-EK44</f>
        <v>-51194.984122418144</v>
      </c>
      <c r="EP44" s="273">
        <f>EH44-EL44</f>
        <v>-4387.283462110694</v>
      </c>
      <c r="EQ44" s="273">
        <f>EE44+EI44</f>
        <v>27740.304963178954</v>
      </c>
      <c r="ER44" s="273">
        <f>EF44+EJ44</f>
        <v>29293.005114525709</v>
      </c>
      <c r="ES44" s="273">
        <f>EG44+EK44</f>
        <v>230049.47534385655</v>
      </c>
      <c r="ET44" s="273">
        <f>EH44+EL44</f>
        <v>30875.055749830688</v>
      </c>
      <c r="EU44" s="273">
        <f t="shared" ref="EU44:EU69" si="100">IF(AND(DX44&gt;$EM$44,DX44&lt;$EQ$44),DX44,0)</f>
        <v>11877.702657103826</v>
      </c>
      <c r="EV44" s="273">
        <f t="shared" ref="EV44:EV69" si="101">IF(AND(DZ44&gt;$EN$44,DZ44&lt;$ER$44),DZ44,0)</f>
        <v>11877.702657455013</v>
      </c>
      <c r="EW44" s="273">
        <f t="shared" ref="EW44:EW69" si="102">IF(AND(EC44&gt;$EO$44,EC44&lt;$ES$44),EC44,0)</f>
        <v>11877.70270718232</v>
      </c>
      <c r="EX44" s="273">
        <f>IF(AND(ED44&gt;$EP$44,ED44&lt;$ET$44),ED44,0)</f>
        <v>11877.702660188281</v>
      </c>
      <c r="EY44" s="273">
        <f t="shared" ref="EY44:EY69" si="103">EU44*DJ44</f>
        <v>34777913.380000003</v>
      </c>
      <c r="EZ44" s="273">
        <f t="shared" ref="EZ44:EZ69" si="104">EV44*DL44</f>
        <v>36963410.670000002</v>
      </c>
      <c r="FA44" s="273">
        <f t="shared" ref="FA44:FB69" si="105">EW44*DO44</f>
        <v>2149864.19</v>
      </c>
      <c r="FB44" s="273">
        <f t="shared" si="105"/>
        <v>39113274.860000007</v>
      </c>
      <c r="FC44" s="79"/>
      <c r="FD44" s="79"/>
      <c r="FE44" s="79"/>
      <c r="FF44" s="79"/>
      <c r="FG44" s="47"/>
      <c r="FH44" s="47"/>
      <c r="FI44" s="47"/>
      <c r="FJ44" s="47"/>
    </row>
    <row r="45" spans="1:166" x14ac:dyDescent="0.3">
      <c r="A45" s="48" t="s">
        <v>4</v>
      </c>
      <c r="B45" s="258" t="s">
        <v>10</v>
      </c>
      <c r="C45" s="53">
        <v>15925917.700000001</v>
      </c>
      <c r="D45" s="53">
        <v>9385454.5259199999</v>
      </c>
      <c r="E45" s="53">
        <f t="shared" ref="E45:E69" si="106">C45+D45</f>
        <v>25311372.225919999</v>
      </c>
      <c r="F45" s="53">
        <v>2033974.8</v>
      </c>
      <c r="G45" s="53">
        <v>156459.6</v>
      </c>
      <c r="H45" s="53">
        <f t="shared" si="86"/>
        <v>2190434.4</v>
      </c>
      <c r="I45" s="56">
        <f t="shared" ref="I45:I69" si="107">C45+D45+F45+G45</f>
        <v>27501806.625920001</v>
      </c>
      <c r="J45" s="59">
        <f>3+507</f>
        <v>510</v>
      </c>
      <c r="K45" s="59">
        <f>1+186</f>
        <v>187</v>
      </c>
      <c r="L45" s="59">
        <f t="shared" ref="L45" si="108">J45+K45</f>
        <v>697</v>
      </c>
      <c r="M45" s="59">
        <f>2+36</f>
        <v>38</v>
      </c>
      <c r="N45" s="59">
        <v>2</v>
      </c>
      <c r="O45" s="59">
        <f t="shared" ref="O45" si="109">M45+N45</f>
        <v>40</v>
      </c>
      <c r="P45" s="56">
        <f t="shared" ref="P45" si="110">J45+K45+M45+N45</f>
        <v>737</v>
      </c>
      <c r="Q45" s="59">
        <f>45+7323</f>
        <v>7368</v>
      </c>
      <c r="R45" s="59">
        <f>150+11623</f>
        <v>11773</v>
      </c>
      <c r="S45" s="59">
        <f t="shared" ref="S45" si="111">Q45+R45</f>
        <v>19141</v>
      </c>
      <c r="T45" s="59">
        <f>920+11827.5</f>
        <v>12747.5</v>
      </c>
      <c r="U45" s="59">
        <v>2631.7</v>
      </c>
      <c r="V45" s="256">
        <f t="shared" ref="V45" si="112">T45+U45</f>
        <v>15379.2</v>
      </c>
      <c r="W45" s="56">
        <f t="shared" ref="W45" si="113">Q45+R45+T45+U45</f>
        <v>34520.199999999997</v>
      </c>
      <c r="X45" s="56">
        <f t="shared" si="87"/>
        <v>31227.28960784314</v>
      </c>
      <c r="Y45" s="56">
        <f t="shared" si="87"/>
        <v>50189.596395294117</v>
      </c>
      <c r="Z45" s="56">
        <f t="shared" si="87"/>
        <v>36314.737770329986</v>
      </c>
      <c r="AA45" s="56">
        <f t="shared" si="87"/>
        <v>53525.652631578945</v>
      </c>
      <c r="AB45" s="56">
        <f t="shared" si="87"/>
        <v>78229.8</v>
      </c>
      <c r="AC45" s="56">
        <f t="shared" si="87"/>
        <v>54760.86</v>
      </c>
      <c r="AD45" s="56">
        <f t="shared" si="88"/>
        <v>37315.884160000001</v>
      </c>
      <c r="AE45" s="269"/>
      <c r="AF45" s="270"/>
      <c r="AG45" s="269"/>
      <c r="AH45" s="269"/>
      <c r="AI45" s="269"/>
      <c r="AJ45" s="269"/>
      <c r="AK45" s="270"/>
      <c r="AL45" s="270"/>
      <c r="AM45" s="270"/>
      <c r="AN45" s="267"/>
      <c r="AO45" s="267"/>
      <c r="AP45" s="267"/>
      <c r="AQ45" s="267"/>
      <c r="AR45" s="267"/>
      <c r="AS45" s="267"/>
      <c r="AT45" s="267"/>
      <c r="AU45" s="269">
        <f t="shared" ref="AU45:AU69" si="114">IF(AND(X45&gt;$AM$44,X45&lt;$AQ$44),X45,0)</f>
        <v>0</v>
      </c>
      <c r="AV45" s="269">
        <f t="shared" ref="AV45:AV69" si="115">IF(AND(Z45&gt;$AN$44,Z45&lt;$AR$44),Z45,0)</f>
        <v>0</v>
      </c>
      <c r="AW45" s="269">
        <f t="shared" si="89"/>
        <v>54760.86</v>
      </c>
      <c r="AX45" s="269">
        <f t="shared" ref="AX45:AX69" si="116">IF(AND(AD45&gt;$AP$44,AD45&lt;$AT$44),AD45,0)</f>
        <v>0</v>
      </c>
      <c r="AY45" s="269">
        <f t="shared" ref="AY45:AY69" si="117">AU45*J45</f>
        <v>0</v>
      </c>
      <c r="AZ45" s="269">
        <f t="shared" ref="AZ45:AZ69" si="118">AV45*L45</f>
        <v>0</v>
      </c>
      <c r="BA45" s="269">
        <f t="shared" ref="BA45:BA69" si="119">AW45*O45</f>
        <v>2190434.4</v>
      </c>
      <c r="BB45" s="269">
        <f t="shared" ref="BB45:BB69" si="120">AX45*P45</f>
        <v>0</v>
      </c>
      <c r="BC45" s="53">
        <v>20480118.999999996</v>
      </c>
      <c r="BD45" s="53">
        <v>8577667.9999999981</v>
      </c>
      <c r="BE45" s="79">
        <f t="shared" ref="BE45:BE69" si="121">BC45+BD45</f>
        <v>29057786.999999993</v>
      </c>
      <c r="BF45" s="53">
        <v>2259156.7999999993</v>
      </c>
      <c r="BG45" s="53">
        <v>255753.59999999995</v>
      </c>
      <c r="BH45" s="79">
        <f t="shared" ref="BH45:BH69" si="122">BF45+BG45</f>
        <v>2514910.3999999994</v>
      </c>
      <c r="BI45" s="56">
        <f t="shared" ref="BI45:BI69" si="123">BC45+BD45+BF45+BG45</f>
        <v>31572697.399999995</v>
      </c>
      <c r="BJ45" s="256">
        <f>2+586</f>
        <v>588</v>
      </c>
      <c r="BK45" s="256">
        <f>6+242</f>
        <v>248</v>
      </c>
      <c r="BL45" s="256">
        <f t="shared" ref="BL45" si="124">BJ45+BK45</f>
        <v>836</v>
      </c>
      <c r="BM45" s="256">
        <f>3+50</f>
        <v>53</v>
      </c>
      <c r="BN45" s="256">
        <f>1+5</f>
        <v>6</v>
      </c>
      <c r="BO45" s="256">
        <f t="shared" ref="BO45" si="125">BM45+BN45</f>
        <v>59</v>
      </c>
      <c r="BP45" s="56">
        <f t="shared" ref="BP45" si="126">BJ45+BK45+BM45+BN45</f>
        <v>895</v>
      </c>
      <c r="BQ45" s="256">
        <f>24+8218</f>
        <v>8242</v>
      </c>
      <c r="BR45" s="256">
        <f>475+15571.4</f>
        <v>16046.4</v>
      </c>
      <c r="BS45" s="256">
        <f t="shared" ref="BS45" si="127">BQ45+BR45</f>
        <v>24288.400000000001</v>
      </c>
      <c r="BT45" s="256">
        <f>710+16663.4</f>
        <v>17373.400000000001</v>
      </c>
      <c r="BU45" s="256">
        <f>1200+44694.8</f>
        <v>45894.8</v>
      </c>
      <c r="BV45" s="59">
        <f t="shared" ref="BV45" si="128">BT45+BU45</f>
        <v>63268.200000000004</v>
      </c>
      <c r="BW45" s="56">
        <f t="shared" ref="BW45:BW69" si="129">BQ45+BR45+BT45+BU45</f>
        <v>87556.6</v>
      </c>
      <c r="BX45" s="56">
        <f t="shared" ref="BX45:BX66" si="130">BC45/BJ45</f>
        <v>34830.134353741487</v>
      </c>
      <c r="BY45" s="56">
        <f t="shared" ref="BY45:BY64" si="131">BD45/BK45</f>
        <v>34587.370967741925</v>
      </c>
      <c r="BZ45" s="56">
        <f t="shared" ref="BZ45:BZ66" si="132">BE45/BL45</f>
        <v>34758.118421052626</v>
      </c>
      <c r="CA45" s="56">
        <f t="shared" ref="CA45:CA64" si="133">BF45/BM45</f>
        <v>42625.599999999991</v>
      </c>
      <c r="CB45" s="56">
        <f t="shared" ref="CB45" si="134">BG45/BN45</f>
        <v>42625.599999999991</v>
      </c>
      <c r="CC45" s="56">
        <f t="shared" ref="CC45:CC64" si="135">BH45/BO45</f>
        <v>42625.599999999991</v>
      </c>
      <c r="CD45" s="56">
        <f t="shared" ref="CD45:CD66" si="136">BI45/BP45</f>
        <v>35276.756871508376</v>
      </c>
      <c r="CE45" s="238"/>
      <c r="CF45" s="241"/>
      <c r="CG45" s="238"/>
      <c r="CH45" s="238"/>
      <c r="CI45" s="238"/>
      <c r="CJ45" s="238"/>
      <c r="CK45" s="241"/>
      <c r="CL45" s="241"/>
      <c r="CM45" s="241"/>
      <c r="CN45" s="233"/>
      <c r="CO45" s="233"/>
      <c r="CP45" s="233"/>
      <c r="CQ45" s="233"/>
      <c r="CR45" s="233"/>
      <c r="CS45" s="233"/>
      <c r="CT45" s="233"/>
      <c r="CU45" s="238">
        <f t="shared" si="91"/>
        <v>0</v>
      </c>
      <c r="CV45" s="238">
        <f t="shared" si="92"/>
        <v>0</v>
      </c>
      <c r="CW45" s="238">
        <f t="shared" si="93"/>
        <v>42625.599999999991</v>
      </c>
      <c r="CX45" s="238">
        <f t="shared" ref="CX45:CX69" si="137">IF(AND(CD45&gt;$CP$44,CD45&lt;$CT$44),CD45,0)</f>
        <v>0</v>
      </c>
      <c r="CY45" s="238">
        <f t="shared" si="94"/>
        <v>0</v>
      </c>
      <c r="CZ45" s="238">
        <f t="shared" si="95"/>
        <v>0</v>
      </c>
      <c r="DA45" s="238">
        <f t="shared" si="96"/>
        <v>2514910.3999999994</v>
      </c>
      <c r="DB45" s="238">
        <f t="shared" si="96"/>
        <v>0</v>
      </c>
      <c r="DC45" s="53">
        <v>18953170.700000003</v>
      </c>
      <c r="DD45" s="53">
        <v>7022346.8000000007</v>
      </c>
      <c r="DE45" s="56">
        <f t="shared" ref="DE45:DE69" si="138">DC45+DD45</f>
        <v>25975517.500000004</v>
      </c>
      <c r="DF45" s="53">
        <v>2812825.6000000001</v>
      </c>
      <c r="DG45" s="53">
        <v>175801.60000000001</v>
      </c>
      <c r="DH45" s="56">
        <f t="shared" ref="DH45:DH69" si="139">DF45+DG45</f>
        <v>2988627.2</v>
      </c>
      <c r="DI45" s="56">
        <f t="shared" ref="DI45:DI69" si="140">DC45+DD45+DF45+DG45</f>
        <v>28964144.700000007</v>
      </c>
      <c r="DJ45" s="256">
        <f>3+526</f>
        <v>529</v>
      </c>
      <c r="DK45" s="256">
        <f>7+189</f>
        <v>196</v>
      </c>
      <c r="DL45" s="255">
        <f t="shared" ref="DL45" si="141">DJ45+DK45</f>
        <v>725</v>
      </c>
      <c r="DM45" s="256">
        <f>3+61</f>
        <v>64</v>
      </c>
      <c r="DN45" s="256">
        <v>4</v>
      </c>
      <c r="DO45" s="255">
        <f t="shared" ref="DO45" si="142">DM45+DN45</f>
        <v>68</v>
      </c>
      <c r="DP45" s="255">
        <f t="shared" ref="DP45" si="143">DJ45+DK45+DM45+DN45</f>
        <v>793</v>
      </c>
      <c r="DQ45" s="256">
        <f>45+7269.9</f>
        <v>7314.9</v>
      </c>
      <c r="DR45" s="256">
        <f>490+11716.3</f>
        <v>12206.3</v>
      </c>
      <c r="DS45" s="256">
        <f t="shared" si="97"/>
        <v>19521.199999999997</v>
      </c>
      <c r="DT45" s="256">
        <f>640+20190</f>
        <v>20830</v>
      </c>
      <c r="DU45" s="256">
        <v>3130</v>
      </c>
      <c r="DV45" s="59">
        <f t="shared" si="98"/>
        <v>23960</v>
      </c>
      <c r="DW45" s="56">
        <f t="shared" ref="DW45:DW69" si="144">DQ45+DR45+DT45+DU45</f>
        <v>43481.2</v>
      </c>
      <c r="DX45" s="56">
        <f t="shared" ref="DX45:DX69" si="145">DC45/DJ45</f>
        <v>35828.300000000003</v>
      </c>
      <c r="DY45" s="56">
        <f>DD45/DK45</f>
        <v>35828.300000000003</v>
      </c>
      <c r="DZ45" s="56">
        <f>DE45/DL45</f>
        <v>35828.300000000003</v>
      </c>
      <c r="EA45" s="56">
        <f>DF45/DM45</f>
        <v>43950.400000000001</v>
      </c>
      <c r="EB45" s="56">
        <f>DG45/DN45</f>
        <v>43950.400000000001</v>
      </c>
      <c r="EC45" s="56">
        <f>DH45/DO45</f>
        <v>43950.400000000001</v>
      </c>
      <c r="ED45" s="56">
        <f t="shared" ref="ED45:ED69" si="146">DI45/DP45</f>
        <v>36524.772635561167</v>
      </c>
      <c r="EE45" s="273"/>
      <c r="EF45" s="274"/>
      <c r="EG45" s="273"/>
      <c r="EH45" s="273"/>
      <c r="EI45" s="273"/>
      <c r="EJ45" s="273"/>
      <c r="EK45" s="274"/>
      <c r="EL45" s="274"/>
      <c r="EM45" s="274"/>
      <c r="EN45" s="231"/>
      <c r="EO45" s="231"/>
      <c r="EP45" s="231"/>
      <c r="EQ45" s="231"/>
      <c r="ER45" s="231"/>
      <c r="ES45" s="231"/>
      <c r="ET45" s="231"/>
      <c r="EU45" s="273">
        <f t="shared" si="100"/>
        <v>0</v>
      </c>
      <c r="EV45" s="273">
        <f t="shared" si="101"/>
        <v>0</v>
      </c>
      <c r="EW45" s="273">
        <f t="shared" si="102"/>
        <v>43950.400000000001</v>
      </c>
      <c r="EX45" s="273">
        <f t="shared" ref="EX45:EX69" si="147">IF(AND(ED45&gt;$EP$44,ED45&lt;$ET$44),ED45,0)</f>
        <v>0</v>
      </c>
      <c r="EY45" s="273">
        <f t="shared" si="103"/>
        <v>0</v>
      </c>
      <c r="EZ45" s="273">
        <f t="shared" si="104"/>
        <v>0</v>
      </c>
      <c r="FA45" s="273">
        <f t="shared" si="105"/>
        <v>2988627.2</v>
      </c>
      <c r="FB45" s="273">
        <f t="shared" si="105"/>
        <v>0</v>
      </c>
      <c r="FC45" s="79"/>
      <c r="FD45" s="79"/>
      <c r="FE45" s="79"/>
      <c r="FF45" s="79"/>
      <c r="FG45" s="47"/>
      <c r="FH45" s="47"/>
      <c r="FI45" s="47"/>
      <c r="FJ45" s="47"/>
    </row>
    <row r="46" spans="1:166" ht="28.8" x14ac:dyDescent="0.3">
      <c r="A46" s="48" t="s">
        <v>5</v>
      </c>
      <c r="B46" s="258" t="s">
        <v>11</v>
      </c>
      <c r="C46" s="53">
        <v>2394544</v>
      </c>
      <c r="D46" s="53">
        <v>5649133</v>
      </c>
      <c r="E46" s="53">
        <f t="shared" si="106"/>
        <v>8043677</v>
      </c>
      <c r="F46" s="53"/>
      <c r="G46" s="53"/>
      <c r="H46" s="53">
        <f t="shared" si="86"/>
        <v>0</v>
      </c>
      <c r="I46" s="56">
        <f t="shared" si="107"/>
        <v>8043677</v>
      </c>
      <c r="J46" s="252">
        <v>356</v>
      </c>
      <c r="K46" s="252">
        <v>35</v>
      </c>
      <c r="L46" s="252">
        <f t="shared" ref="L46:L69" si="148">J46+K46</f>
        <v>391</v>
      </c>
      <c r="M46" s="252"/>
      <c r="N46" s="252"/>
      <c r="O46" s="252">
        <f t="shared" ref="O46:O69" si="149">M46+N46</f>
        <v>0</v>
      </c>
      <c r="P46" s="56">
        <f t="shared" ref="P46:P69" si="150">J46+K46+M46+N46</f>
        <v>391</v>
      </c>
      <c r="Q46" s="252">
        <v>4550</v>
      </c>
      <c r="R46" s="252">
        <v>2439</v>
      </c>
      <c r="S46" s="59">
        <f t="shared" ref="S46:S69" si="151">Q46+R46</f>
        <v>6989</v>
      </c>
      <c r="T46" s="252"/>
      <c r="U46" s="252"/>
      <c r="V46" s="256">
        <f t="shared" ref="V46:V69" si="152">T46+U46</f>
        <v>0</v>
      </c>
      <c r="W46" s="56">
        <f t="shared" ref="W46:W69" si="153">Q46+R46+T46+U46</f>
        <v>6989</v>
      </c>
      <c r="X46" s="56">
        <f t="shared" ref="X46:Z47" si="154">C46/J46</f>
        <v>6726.2471910112363</v>
      </c>
      <c r="Y46" s="56">
        <f t="shared" si="154"/>
        <v>161403.79999999999</v>
      </c>
      <c r="Z46" s="56">
        <f t="shared" si="154"/>
        <v>20572.063938618925</v>
      </c>
      <c r="AA46" s="56"/>
      <c r="AB46" s="56"/>
      <c r="AC46" s="56"/>
      <c r="AD46" s="56">
        <f t="shared" si="88"/>
        <v>20572.063938618925</v>
      </c>
      <c r="AE46" s="269"/>
      <c r="AF46" s="270"/>
      <c r="AG46" s="269"/>
      <c r="AH46" s="269"/>
      <c r="AI46" s="269"/>
      <c r="AJ46" s="269"/>
      <c r="AK46" s="270"/>
      <c r="AL46" s="270"/>
      <c r="AM46" s="270"/>
      <c r="AN46" s="267"/>
      <c r="AO46" s="267"/>
      <c r="AP46" s="267"/>
      <c r="AQ46" s="267"/>
      <c r="AR46" s="267"/>
      <c r="AS46" s="267"/>
      <c r="AT46" s="267"/>
      <c r="AU46" s="269">
        <f t="shared" si="114"/>
        <v>6726.2471910112363</v>
      </c>
      <c r="AV46" s="269">
        <f t="shared" si="115"/>
        <v>20572.063938618925</v>
      </c>
      <c r="AW46" s="269">
        <f t="shared" si="89"/>
        <v>0</v>
      </c>
      <c r="AX46" s="269">
        <f t="shared" si="116"/>
        <v>20572.063938618925</v>
      </c>
      <c r="AY46" s="269">
        <f t="shared" si="117"/>
        <v>2394544</v>
      </c>
      <c r="AZ46" s="269">
        <f t="shared" si="118"/>
        <v>8043677</v>
      </c>
      <c r="BA46" s="269">
        <f t="shared" si="119"/>
        <v>0</v>
      </c>
      <c r="BB46" s="269">
        <f t="shared" si="120"/>
        <v>8043677</v>
      </c>
      <c r="BC46" s="53">
        <v>15088003</v>
      </c>
      <c r="BD46" s="53">
        <v>369109</v>
      </c>
      <c r="BE46" s="79">
        <f t="shared" si="121"/>
        <v>15457112</v>
      </c>
      <c r="BF46" s="53">
        <v>84328</v>
      </c>
      <c r="BG46" s="53"/>
      <c r="BH46" s="79">
        <f t="shared" si="122"/>
        <v>84328</v>
      </c>
      <c r="BI46" s="56">
        <f t="shared" si="123"/>
        <v>15541440</v>
      </c>
      <c r="BJ46" s="252">
        <v>402</v>
      </c>
      <c r="BK46" s="252">
        <v>3</v>
      </c>
      <c r="BL46" s="252">
        <f t="shared" ref="BL46:BL69" si="155">BJ46+BK46</f>
        <v>405</v>
      </c>
      <c r="BM46" s="252">
        <v>1</v>
      </c>
      <c r="BN46" s="252"/>
      <c r="BO46" s="252">
        <f t="shared" ref="BO46:BO69" si="156">BM46+BN46</f>
        <v>1</v>
      </c>
      <c r="BP46" s="56">
        <f t="shared" ref="BP46:BP69" si="157">BJ46+BK46+BM46+BN46</f>
        <v>406</v>
      </c>
      <c r="BQ46" s="252">
        <v>7753</v>
      </c>
      <c r="BR46" s="252">
        <v>208</v>
      </c>
      <c r="BS46" s="76">
        <f t="shared" ref="BS46:BS69" si="158">BQ46+BR46</f>
        <v>7961</v>
      </c>
      <c r="BT46" s="252">
        <v>225</v>
      </c>
      <c r="BU46" s="252"/>
      <c r="BV46" s="59">
        <f t="shared" ref="BV46:BV69" si="159">BT46+BU46</f>
        <v>225</v>
      </c>
      <c r="BW46" s="56">
        <f t="shared" si="129"/>
        <v>8186</v>
      </c>
      <c r="BX46" s="56">
        <f t="shared" si="130"/>
        <v>37532.345771144275</v>
      </c>
      <c r="BY46" s="56">
        <f t="shared" si="131"/>
        <v>123036.33333333333</v>
      </c>
      <c r="BZ46" s="56">
        <f t="shared" si="132"/>
        <v>38165.70864197531</v>
      </c>
      <c r="CA46" s="56">
        <f t="shared" si="133"/>
        <v>84328</v>
      </c>
      <c r="CB46" s="56"/>
      <c r="CC46" s="56">
        <f t="shared" si="135"/>
        <v>84328</v>
      </c>
      <c r="CD46" s="56">
        <f t="shared" si="136"/>
        <v>38279.408866995072</v>
      </c>
      <c r="CE46" s="238"/>
      <c r="CF46" s="241"/>
      <c r="CG46" s="238"/>
      <c r="CH46" s="238"/>
      <c r="CI46" s="238"/>
      <c r="CJ46" s="238"/>
      <c r="CK46" s="241"/>
      <c r="CL46" s="241"/>
      <c r="CM46" s="241"/>
      <c r="CN46" s="233"/>
      <c r="CO46" s="233"/>
      <c r="CP46" s="233"/>
      <c r="CQ46" s="233"/>
      <c r="CR46" s="233"/>
      <c r="CS46" s="233"/>
      <c r="CT46" s="233"/>
      <c r="CU46" s="238">
        <f t="shared" si="91"/>
        <v>0</v>
      </c>
      <c r="CV46" s="238">
        <f t="shared" si="92"/>
        <v>0</v>
      </c>
      <c r="CW46" s="238">
        <f t="shared" si="93"/>
        <v>84328</v>
      </c>
      <c r="CX46" s="238">
        <f t="shared" si="137"/>
        <v>0</v>
      </c>
      <c r="CY46" s="238">
        <f t="shared" si="94"/>
        <v>0</v>
      </c>
      <c r="CZ46" s="238">
        <f t="shared" si="95"/>
        <v>0</v>
      </c>
      <c r="DA46" s="238">
        <f t="shared" si="96"/>
        <v>84328</v>
      </c>
      <c r="DB46" s="238">
        <f t="shared" si="96"/>
        <v>0</v>
      </c>
      <c r="DC46" s="53">
        <v>17524326</v>
      </c>
      <c r="DD46" s="53">
        <v>711564</v>
      </c>
      <c r="DE46" s="56">
        <f t="shared" si="138"/>
        <v>18235890</v>
      </c>
      <c r="DF46" s="53"/>
      <c r="DG46" s="53"/>
      <c r="DH46" s="56">
        <f t="shared" si="139"/>
        <v>0</v>
      </c>
      <c r="DI46" s="56">
        <f t="shared" si="140"/>
        <v>18235890</v>
      </c>
      <c r="DJ46" s="252">
        <v>256</v>
      </c>
      <c r="DK46" s="252">
        <v>3</v>
      </c>
      <c r="DL46" s="56">
        <f t="shared" ref="DL46:DL69" si="160">DJ46+DK46</f>
        <v>259</v>
      </c>
      <c r="DM46" s="252"/>
      <c r="DN46" s="252"/>
      <c r="DO46" s="56">
        <f t="shared" ref="DO46:DO69" si="161">DM46+DN46</f>
        <v>0</v>
      </c>
      <c r="DP46" s="56">
        <f t="shared" ref="DP46:DP69" si="162">DJ46+DK46+DM46+DN46</f>
        <v>259</v>
      </c>
      <c r="DQ46" s="252">
        <v>216</v>
      </c>
      <c r="DR46" s="252">
        <v>3840</v>
      </c>
      <c r="DS46" s="56">
        <f t="shared" si="97"/>
        <v>4056</v>
      </c>
      <c r="DT46" s="252"/>
      <c r="DU46" s="252"/>
      <c r="DV46" s="56">
        <f t="shared" si="98"/>
        <v>0</v>
      </c>
      <c r="DW46" s="56">
        <f t="shared" si="144"/>
        <v>4056</v>
      </c>
      <c r="DX46" s="56">
        <f t="shared" si="145"/>
        <v>68454.3984375</v>
      </c>
      <c r="DY46" s="56">
        <f>DD46/DK46</f>
        <v>237188</v>
      </c>
      <c r="DZ46" s="56">
        <f>DE46/DL46</f>
        <v>70408.841698841701</v>
      </c>
      <c r="EA46" s="56"/>
      <c r="EB46" s="56"/>
      <c r="EC46" s="56"/>
      <c r="ED46" s="56">
        <f>DI46/DP46</f>
        <v>70408.841698841701</v>
      </c>
      <c r="EE46" s="273"/>
      <c r="EF46" s="274"/>
      <c r="EG46" s="273"/>
      <c r="EH46" s="273"/>
      <c r="EI46" s="273"/>
      <c r="EJ46" s="273"/>
      <c r="EK46" s="274"/>
      <c r="EL46" s="274"/>
      <c r="EM46" s="274"/>
      <c r="EN46" s="231"/>
      <c r="EO46" s="231"/>
      <c r="EP46" s="231"/>
      <c r="EQ46" s="231"/>
      <c r="ER46" s="231"/>
      <c r="ES46" s="231"/>
      <c r="ET46" s="231"/>
      <c r="EU46" s="273">
        <f t="shared" si="100"/>
        <v>0</v>
      </c>
      <c r="EV46" s="273">
        <f t="shared" si="101"/>
        <v>0</v>
      </c>
      <c r="EW46" s="273">
        <f t="shared" si="102"/>
        <v>0</v>
      </c>
      <c r="EX46" s="273">
        <f t="shared" si="147"/>
        <v>0</v>
      </c>
      <c r="EY46" s="273">
        <f t="shared" si="103"/>
        <v>0</v>
      </c>
      <c r="EZ46" s="273">
        <f t="shared" si="104"/>
        <v>0</v>
      </c>
      <c r="FA46" s="273">
        <f t="shared" si="105"/>
        <v>0</v>
      </c>
      <c r="FB46" s="273">
        <f t="shared" si="105"/>
        <v>0</v>
      </c>
      <c r="FC46" s="79"/>
      <c r="FD46" s="79"/>
      <c r="FE46" s="79"/>
      <c r="FF46" s="79"/>
      <c r="FG46" s="47"/>
      <c r="FH46" s="47"/>
      <c r="FI46" s="47"/>
      <c r="FJ46" s="47"/>
    </row>
    <row r="47" spans="1:166" s="46" customFormat="1" x14ac:dyDescent="0.3">
      <c r="A47" s="61" t="s">
        <v>6</v>
      </c>
      <c r="B47" s="258" t="s">
        <v>12</v>
      </c>
      <c r="C47" s="53">
        <v>5072643</v>
      </c>
      <c r="D47" s="53">
        <v>3630673</v>
      </c>
      <c r="E47" s="53">
        <f t="shared" si="106"/>
        <v>8703316</v>
      </c>
      <c r="F47" s="53">
        <v>2025624</v>
      </c>
      <c r="G47" s="53"/>
      <c r="H47" s="53">
        <f t="shared" si="86"/>
        <v>2025624</v>
      </c>
      <c r="I47" s="56">
        <f t="shared" si="107"/>
        <v>10728940</v>
      </c>
      <c r="J47" s="252">
        <v>139</v>
      </c>
      <c r="K47" s="252">
        <v>98</v>
      </c>
      <c r="L47" s="252">
        <f t="shared" si="148"/>
        <v>237</v>
      </c>
      <c r="M47" s="252">
        <v>5</v>
      </c>
      <c r="N47" s="252"/>
      <c r="O47" s="252">
        <f t="shared" si="149"/>
        <v>5</v>
      </c>
      <c r="P47" s="56">
        <f t="shared" si="150"/>
        <v>242</v>
      </c>
      <c r="Q47" s="252">
        <v>1703.54</v>
      </c>
      <c r="R47" s="252">
        <v>2897.67</v>
      </c>
      <c r="S47" s="59">
        <f t="shared" si="151"/>
        <v>4601.21</v>
      </c>
      <c r="T47" s="252">
        <v>1884</v>
      </c>
      <c r="U47" s="252"/>
      <c r="V47" s="256">
        <f t="shared" si="152"/>
        <v>1884</v>
      </c>
      <c r="W47" s="56">
        <f t="shared" si="153"/>
        <v>6485.21</v>
      </c>
      <c r="X47" s="56">
        <f t="shared" si="154"/>
        <v>36493.834532374101</v>
      </c>
      <c r="Y47" s="56">
        <f t="shared" si="154"/>
        <v>37047.683673469386</v>
      </c>
      <c r="Z47" s="56">
        <f t="shared" si="154"/>
        <v>36722.852320675105</v>
      </c>
      <c r="AA47" s="56">
        <f>F47/M47</f>
        <v>405124.8</v>
      </c>
      <c r="AB47" s="56"/>
      <c r="AC47" s="56">
        <f>H47/O47</f>
        <v>405124.8</v>
      </c>
      <c r="AD47" s="56">
        <f t="shared" si="88"/>
        <v>44334.462809917357</v>
      </c>
      <c r="AE47" s="269"/>
      <c r="AF47" s="270"/>
      <c r="AG47" s="269"/>
      <c r="AH47" s="269"/>
      <c r="AI47" s="269"/>
      <c r="AJ47" s="269"/>
      <c r="AK47" s="270"/>
      <c r="AL47" s="270"/>
      <c r="AM47" s="270"/>
      <c r="AN47" s="267"/>
      <c r="AO47" s="267"/>
      <c r="AP47" s="267"/>
      <c r="AQ47" s="267"/>
      <c r="AR47" s="267"/>
      <c r="AS47" s="267"/>
      <c r="AT47" s="267"/>
      <c r="AU47" s="269">
        <f t="shared" si="114"/>
        <v>0</v>
      </c>
      <c r="AV47" s="269">
        <f t="shared" si="115"/>
        <v>0</v>
      </c>
      <c r="AW47" s="269">
        <f t="shared" si="89"/>
        <v>0</v>
      </c>
      <c r="AX47" s="269">
        <f t="shared" si="116"/>
        <v>0</v>
      </c>
      <c r="AY47" s="269">
        <f t="shared" si="117"/>
        <v>0</v>
      </c>
      <c r="AZ47" s="269">
        <f t="shared" si="118"/>
        <v>0</v>
      </c>
      <c r="BA47" s="269">
        <f t="shared" si="119"/>
        <v>0</v>
      </c>
      <c r="BB47" s="269">
        <f t="shared" si="120"/>
        <v>0</v>
      </c>
      <c r="BC47" s="53">
        <v>8178327</v>
      </c>
      <c r="BD47" s="53">
        <v>3625119</v>
      </c>
      <c r="BE47" s="79">
        <f t="shared" si="121"/>
        <v>11803446</v>
      </c>
      <c r="BF47" s="53">
        <v>312594</v>
      </c>
      <c r="BG47" s="53"/>
      <c r="BH47" s="79">
        <f t="shared" si="122"/>
        <v>312594</v>
      </c>
      <c r="BI47" s="56">
        <f t="shared" si="123"/>
        <v>12116040</v>
      </c>
      <c r="BJ47" s="252">
        <v>229</v>
      </c>
      <c r="BK47" s="252">
        <v>69</v>
      </c>
      <c r="BL47" s="252">
        <f t="shared" si="155"/>
        <v>298</v>
      </c>
      <c r="BM47" s="252">
        <v>4</v>
      </c>
      <c r="BN47" s="252"/>
      <c r="BO47" s="252">
        <f t="shared" si="156"/>
        <v>4</v>
      </c>
      <c r="BP47" s="56">
        <f t="shared" si="157"/>
        <v>302</v>
      </c>
      <c r="BQ47" s="252">
        <v>2552.6</v>
      </c>
      <c r="BR47" s="252">
        <v>3132</v>
      </c>
      <c r="BS47" s="76">
        <f t="shared" si="158"/>
        <v>5684.6</v>
      </c>
      <c r="BT47" s="252">
        <v>564</v>
      </c>
      <c r="BU47" s="252"/>
      <c r="BV47" s="59">
        <f t="shared" si="159"/>
        <v>564</v>
      </c>
      <c r="BW47" s="56">
        <f t="shared" si="129"/>
        <v>6248.6</v>
      </c>
      <c r="BX47" s="56">
        <f t="shared" si="130"/>
        <v>35713.218340611355</v>
      </c>
      <c r="BY47" s="56">
        <f t="shared" si="131"/>
        <v>52537.956521739128</v>
      </c>
      <c r="BZ47" s="56">
        <f t="shared" si="132"/>
        <v>39608.87919463087</v>
      </c>
      <c r="CA47" s="56">
        <f t="shared" si="133"/>
        <v>78148.5</v>
      </c>
      <c r="CB47" s="56"/>
      <c r="CC47" s="56">
        <f t="shared" si="135"/>
        <v>78148.5</v>
      </c>
      <c r="CD47" s="56">
        <f t="shared" si="136"/>
        <v>40119.337748344369</v>
      </c>
      <c r="CE47" s="238"/>
      <c r="CF47" s="241"/>
      <c r="CG47" s="238"/>
      <c r="CH47" s="238"/>
      <c r="CI47" s="238"/>
      <c r="CJ47" s="238"/>
      <c r="CK47" s="241"/>
      <c r="CL47" s="241"/>
      <c r="CM47" s="241"/>
      <c r="CN47" s="233"/>
      <c r="CO47" s="233"/>
      <c r="CP47" s="233"/>
      <c r="CQ47" s="233"/>
      <c r="CR47" s="233"/>
      <c r="CS47" s="233"/>
      <c r="CT47" s="233"/>
      <c r="CU47" s="238">
        <f t="shared" si="91"/>
        <v>0</v>
      </c>
      <c r="CV47" s="238">
        <f t="shared" si="92"/>
        <v>0</v>
      </c>
      <c r="CW47" s="238">
        <f t="shared" si="93"/>
        <v>78148.5</v>
      </c>
      <c r="CX47" s="238">
        <f t="shared" si="137"/>
        <v>0</v>
      </c>
      <c r="CY47" s="238">
        <f t="shared" si="94"/>
        <v>0</v>
      </c>
      <c r="CZ47" s="238">
        <f t="shared" si="95"/>
        <v>0</v>
      </c>
      <c r="DA47" s="238">
        <f t="shared" si="96"/>
        <v>312594</v>
      </c>
      <c r="DB47" s="238">
        <f t="shared" si="96"/>
        <v>0</v>
      </c>
      <c r="DC47" s="53">
        <v>7671719</v>
      </c>
      <c r="DD47" s="53">
        <v>3101638</v>
      </c>
      <c r="DE47" s="56">
        <f t="shared" si="138"/>
        <v>10773357</v>
      </c>
      <c r="DF47" s="53">
        <v>1165203</v>
      </c>
      <c r="DG47" s="53"/>
      <c r="DH47" s="56">
        <f t="shared" si="139"/>
        <v>1165203</v>
      </c>
      <c r="DI47" s="56">
        <f t="shared" si="140"/>
        <v>11938560</v>
      </c>
      <c r="DJ47" s="252">
        <v>245</v>
      </c>
      <c r="DK47" s="252">
        <v>60</v>
      </c>
      <c r="DL47" s="56">
        <f t="shared" si="160"/>
        <v>305</v>
      </c>
      <c r="DM47" s="252">
        <v>7</v>
      </c>
      <c r="DN47" s="252"/>
      <c r="DO47" s="56">
        <f t="shared" si="161"/>
        <v>7</v>
      </c>
      <c r="DP47" s="56">
        <f t="shared" si="162"/>
        <v>312</v>
      </c>
      <c r="DQ47" s="252">
        <v>2511.09</v>
      </c>
      <c r="DR47" s="252">
        <v>2807</v>
      </c>
      <c r="DS47" s="56">
        <f>DQ47+DR47</f>
        <v>5318.09</v>
      </c>
      <c r="DT47" s="252">
        <v>2315</v>
      </c>
      <c r="DU47" s="252"/>
      <c r="DV47" s="56">
        <f t="shared" si="98"/>
        <v>2315</v>
      </c>
      <c r="DW47" s="56">
        <f t="shared" si="144"/>
        <v>7633.09</v>
      </c>
      <c r="DX47" s="56">
        <f t="shared" si="145"/>
        <v>31313.138775510204</v>
      </c>
      <c r="DY47" s="56">
        <f>DD47/DK47</f>
        <v>51693.966666666667</v>
      </c>
      <c r="DZ47" s="56">
        <f>DE47/DL47</f>
        <v>35322.481967213113</v>
      </c>
      <c r="EA47" s="56">
        <f>DF47/DM47</f>
        <v>166457.57142857142</v>
      </c>
      <c r="EB47" s="56"/>
      <c r="EC47" s="56">
        <f>DH47/DO47</f>
        <v>166457.57142857142</v>
      </c>
      <c r="ED47" s="56">
        <f t="shared" si="146"/>
        <v>38264.615384615383</v>
      </c>
      <c r="EE47" s="273"/>
      <c r="EF47" s="274"/>
      <c r="EG47" s="273"/>
      <c r="EH47" s="273"/>
      <c r="EI47" s="273"/>
      <c r="EJ47" s="273"/>
      <c r="EK47" s="274"/>
      <c r="EL47" s="274"/>
      <c r="EM47" s="274"/>
      <c r="EN47" s="231"/>
      <c r="EO47" s="231"/>
      <c r="EP47" s="231"/>
      <c r="EQ47" s="231"/>
      <c r="ER47" s="231"/>
      <c r="ES47" s="231"/>
      <c r="ET47" s="231"/>
      <c r="EU47" s="273">
        <f t="shared" si="100"/>
        <v>0</v>
      </c>
      <c r="EV47" s="273">
        <f t="shared" si="101"/>
        <v>0</v>
      </c>
      <c r="EW47" s="273">
        <f t="shared" si="102"/>
        <v>166457.57142857142</v>
      </c>
      <c r="EX47" s="273">
        <f t="shared" si="147"/>
        <v>0</v>
      </c>
      <c r="EY47" s="273">
        <f t="shared" si="103"/>
        <v>0</v>
      </c>
      <c r="EZ47" s="273">
        <f t="shared" si="104"/>
        <v>0</v>
      </c>
      <c r="FA47" s="273">
        <f t="shared" si="105"/>
        <v>1165203</v>
      </c>
      <c r="FB47" s="273">
        <f t="shared" si="105"/>
        <v>0</v>
      </c>
      <c r="FC47" s="79"/>
      <c r="FD47" s="79"/>
      <c r="FE47" s="79"/>
      <c r="FF47" s="79"/>
      <c r="FG47" s="230"/>
      <c r="FH47" s="230"/>
      <c r="FI47" s="230"/>
      <c r="FJ47" s="230"/>
    </row>
    <row r="48" spans="1:166" x14ac:dyDescent="0.3">
      <c r="A48" s="48" t="s">
        <v>7</v>
      </c>
      <c r="B48" s="258" t="s">
        <v>13</v>
      </c>
      <c r="C48" s="53">
        <v>271275</v>
      </c>
      <c r="D48" s="53"/>
      <c r="E48" s="53">
        <f t="shared" si="106"/>
        <v>271275</v>
      </c>
      <c r="F48" s="53"/>
      <c r="G48" s="53"/>
      <c r="H48" s="53">
        <f t="shared" si="86"/>
        <v>0</v>
      </c>
      <c r="I48" s="56">
        <f t="shared" si="107"/>
        <v>271275</v>
      </c>
      <c r="J48" s="252">
        <v>119</v>
      </c>
      <c r="K48" s="252"/>
      <c r="L48" s="252">
        <f t="shared" si="148"/>
        <v>119</v>
      </c>
      <c r="M48" s="252"/>
      <c r="N48" s="252"/>
      <c r="O48" s="252">
        <f t="shared" si="149"/>
        <v>0</v>
      </c>
      <c r="P48" s="56">
        <f t="shared" si="150"/>
        <v>119</v>
      </c>
      <c r="Q48" s="252">
        <v>1201</v>
      </c>
      <c r="R48" s="252"/>
      <c r="S48" s="59">
        <f t="shared" si="151"/>
        <v>1201</v>
      </c>
      <c r="T48" s="252"/>
      <c r="U48" s="252"/>
      <c r="V48" s="256">
        <f t="shared" si="152"/>
        <v>0</v>
      </c>
      <c r="W48" s="56">
        <f t="shared" si="153"/>
        <v>1201</v>
      </c>
      <c r="X48" s="56">
        <f t="shared" ref="X48:X62" si="163">C48/J48</f>
        <v>2279.6218487394958</v>
      </c>
      <c r="Y48" s="56"/>
      <c r="Z48" s="56">
        <f t="shared" ref="Z48:Z62" si="164">E48/L48</f>
        <v>2279.6218487394958</v>
      </c>
      <c r="AA48" s="56"/>
      <c r="AB48" s="56"/>
      <c r="AC48" s="56"/>
      <c r="AD48" s="56">
        <f t="shared" si="88"/>
        <v>2279.6218487394958</v>
      </c>
      <c r="AE48" s="269"/>
      <c r="AF48" s="270"/>
      <c r="AG48" s="269"/>
      <c r="AH48" s="269"/>
      <c r="AI48" s="269"/>
      <c r="AJ48" s="269"/>
      <c r="AK48" s="270"/>
      <c r="AL48" s="270"/>
      <c r="AM48" s="270"/>
      <c r="AN48" s="267"/>
      <c r="AO48" s="267"/>
      <c r="AP48" s="267"/>
      <c r="AQ48" s="267"/>
      <c r="AR48" s="267"/>
      <c r="AS48" s="267"/>
      <c r="AT48" s="267"/>
      <c r="AU48" s="269">
        <f t="shared" si="114"/>
        <v>2279.6218487394958</v>
      </c>
      <c r="AV48" s="269">
        <f t="shared" si="115"/>
        <v>2279.6218487394958</v>
      </c>
      <c r="AW48" s="269">
        <f t="shared" si="89"/>
        <v>0</v>
      </c>
      <c r="AX48" s="269">
        <f t="shared" si="116"/>
        <v>2279.6218487394958</v>
      </c>
      <c r="AY48" s="269">
        <f t="shared" si="117"/>
        <v>271275</v>
      </c>
      <c r="AZ48" s="269">
        <f t="shared" si="118"/>
        <v>271275</v>
      </c>
      <c r="BA48" s="269">
        <f t="shared" si="119"/>
        <v>0</v>
      </c>
      <c r="BB48" s="269">
        <f t="shared" si="120"/>
        <v>271275</v>
      </c>
      <c r="BC48" s="53">
        <v>67251</v>
      </c>
      <c r="BD48" s="53"/>
      <c r="BE48" s="79">
        <f t="shared" si="121"/>
        <v>67251</v>
      </c>
      <c r="BF48" s="53"/>
      <c r="BG48" s="53"/>
      <c r="BH48" s="79">
        <f t="shared" si="122"/>
        <v>0</v>
      </c>
      <c r="BI48" s="56">
        <f t="shared" si="123"/>
        <v>67251</v>
      </c>
      <c r="BJ48" s="252">
        <v>79</v>
      </c>
      <c r="BK48" s="252"/>
      <c r="BL48" s="252">
        <f t="shared" si="155"/>
        <v>79</v>
      </c>
      <c r="BM48" s="252"/>
      <c r="BN48" s="252"/>
      <c r="BO48" s="252">
        <f t="shared" si="156"/>
        <v>0</v>
      </c>
      <c r="BP48" s="56">
        <f t="shared" si="157"/>
        <v>79</v>
      </c>
      <c r="BQ48" s="252">
        <v>877.875</v>
      </c>
      <c r="BR48" s="252"/>
      <c r="BS48" s="76">
        <f t="shared" si="158"/>
        <v>877.875</v>
      </c>
      <c r="BT48" s="252"/>
      <c r="BU48" s="252"/>
      <c r="BV48" s="59">
        <f t="shared" si="159"/>
        <v>0</v>
      </c>
      <c r="BW48" s="56">
        <f t="shared" si="129"/>
        <v>877.875</v>
      </c>
      <c r="BX48" s="56">
        <f t="shared" si="130"/>
        <v>851.27848101265818</v>
      </c>
      <c r="BY48" s="56"/>
      <c r="BZ48" s="56">
        <f t="shared" si="132"/>
        <v>851.27848101265818</v>
      </c>
      <c r="CA48" s="56"/>
      <c r="CB48" s="56"/>
      <c r="CC48" s="56"/>
      <c r="CD48" s="56">
        <f t="shared" si="136"/>
        <v>851.27848101265818</v>
      </c>
      <c r="CE48" s="238"/>
      <c r="CF48" s="241"/>
      <c r="CG48" s="238"/>
      <c r="CH48" s="238"/>
      <c r="CI48" s="238"/>
      <c r="CJ48" s="238"/>
      <c r="CK48" s="241"/>
      <c r="CL48" s="241"/>
      <c r="CM48" s="241"/>
      <c r="CN48" s="233"/>
      <c r="CO48" s="233"/>
      <c r="CP48" s="233"/>
      <c r="CQ48" s="233"/>
      <c r="CR48" s="233"/>
      <c r="CS48" s="233"/>
      <c r="CT48" s="233"/>
      <c r="CU48" s="238">
        <f t="shared" si="91"/>
        <v>851.27848101265818</v>
      </c>
      <c r="CV48" s="238">
        <f t="shared" si="92"/>
        <v>851.27848101265818</v>
      </c>
      <c r="CW48" s="238">
        <f t="shared" si="93"/>
        <v>0</v>
      </c>
      <c r="CX48" s="238">
        <f t="shared" si="137"/>
        <v>851.27848101265818</v>
      </c>
      <c r="CY48" s="238">
        <f t="shared" si="94"/>
        <v>67251</v>
      </c>
      <c r="CZ48" s="238">
        <f t="shared" si="95"/>
        <v>67251</v>
      </c>
      <c r="DA48" s="238">
        <f t="shared" si="96"/>
        <v>0</v>
      </c>
      <c r="DB48" s="238">
        <f t="shared" si="96"/>
        <v>67251</v>
      </c>
      <c r="DC48" s="53">
        <v>62778</v>
      </c>
      <c r="DD48" s="53"/>
      <c r="DE48" s="56">
        <f t="shared" si="138"/>
        <v>62778</v>
      </c>
      <c r="DF48" s="53"/>
      <c r="DG48" s="53"/>
      <c r="DH48" s="56">
        <f t="shared" si="139"/>
        <v>0</v>
      </c>
      <c r="DI48" s="56">
        <f t="shared" si="140"/>
        <v>62778</v>
      </c>
      <c r="DJ48" s="252">
        <v>107</v>
      </c>
      <c r="DK48" s="252"/>
      <c r="DL48" s="56">
        <f t="shared" si="160"/>
        <v>107</v>
      </c>
      <c r="DM48" s="252"/>
      <c r="DN48" s="252"/>
      <c r="DO48" s="56">
        <f t="shared" si="161"/>
        <v>0</v>
      </c>
      <c r="DP48" s="56">
        <f t="shared" si="162"/>
        <v>107</v>
      </c>
      <c r="DQ48" s="252">
        <v>1134.06</v>
      </c>
      <c r="DR48" s="252"/>
      <c r="DS48" s="56">
        <f t="shared" si="97"/>
        <v>1134.06</v>
      </c>
      <c r="DT48" s="252"/>
      <c r="DU48" s="252"/>
      <c r="DV48" s="56">
        <f t="shared" si="98"/>
        <v>0</v>
      </c>
      <c r="DW48" s="56">
        <f t="shared" si="144"/>
        <v>1134.06</v>
      </c>
      <c r="DX48" s="56">
        <f t="shared" si="145"/>
        <v>586.71028037383178</v>
      </c>
      <c r="DY48" s="56"/>
      <c r="DZ48" s="56">
        <f t="shared" ref="DZ48:DZ60" si="165">DE48/DL48</f>
        <v>586.71028037383178</v>
      </c>
      <c r="EA48" s="56"/>
      <c r="EB48" s="56"/>
      <c r="EC48" s="56"/>
      <c r="ED48" s="56">
        <f t="shared" si="146"/>
        <v>586.71028037383178</v>
      </c>
      <c r="EE48" s="273"/>
      <c r="EF48" s="274"/>
      <c r="EG48" s="273"/>
      <c r="EH48" s="273"/>
      <c r="EI48" s="273"/>
      <c r="EJ48" s="273"/>
      <c r="EK48" s="274"/>
      <c r="EL48" s="274"/>
      <c r="EM48" s="274"/>
      <c r="EN48" s="231"/>
      <c r="EO48" s="231"/>
      <c r="EP48" s="231"/>
      <c r="EQ48" s="231"/>
      <c r="ER48" s="231"/>
      <c r="ES48" s="231"/>
      <c r="ET48" s="231"/>
      <c r="EU48" s="273">
        <f t="shared" si="100"/>
        <v>586.71028037383178</v>
      </c>
      <c r="EV48" s="273">
        <f t="shared" si="101"/>
        <v>586.71028037383178</v>
      </c>
      <c r="EW48" s="273">
        <f t="shared" si="102"/>
        <v>0</v>
      </c>
      <c r="EX48" s="273">
        <f t="shared" si="147"/>
        <v>586.71028037383178</v>
      </c>
      <c r="EY48" s="273">
        <f t="shared" si="103"/>
        <v>62778</v>
      </c>
      <c r="EZ48" s="273">
        <f t="shared" si="104"/>
        <v>62778</v>
      </c>
      <c r="FA48" s="273">
        <f t="shared" si="105"/>
        <v>0</v>
      </c>
      <c r="FB48" s="273">
        <f t="shared" si="105"/>
        <v>62778</v>
      </c>
      <c r="FC48" s="79"/>
      <c r="FD48" s="79"/>
      <c r="FE48" s="79"/>
      <c r="FF48" s="79"/>
      <c r="FG48" s="47"/>
      <c r="FH48" s="47"/>
      <c r="FI48" s="47"/>
      <c r="FJ48" s="47"/>
    </row>
    <row r="49" spans="1:166" x14ac:dyDescent="0.3">
      <c r="A49" s="48" t="s">
        <v>8</v>
      </c>
      <c r="B49" s="258" t="s">
        <v>14</v>
      </c>
      <c r="C49" s="53">
        <v>138865</v>
      </c>
      <c r="D49" s="53"/>
      <c r="E49" s="53">
        <f t="shared" si="106"/>
        <v>138865</v>
      </c>
      <c r="F49" s="53"/>
      <c r="G49" s="53"/>
      <c r="H49" s="53">
        <f t="shared" si="86"/>
        <v>0</v>
      </c>
      <c r="I49" s="56">
        <f t="shared" si="107"/>
        <v>138865</v>
      </c>
      <c r="J49" s="252">
        <v>50</v>
      </c>
      <c r="K49" s="252"/>
      <c r="L49" s="252">
        <f t="shared" si="148"/>
        <v>50</v>
      </c>
      <c r="M49" s="252"/>
      <c r="N49" s="252"/>
      <c r="O49" s="252">
        <f t="shared" si="149"/>
        <v>0</v>
      </c>
      <c r="P49" s="56">
        <f t="shared" si="150"/>
        <v>50</v>
      </c>
      <c r="Q49" s="252">
        <v>1303.4680000000001</v>
      </c>
      <c r="R49" s="252"/>
      <c r="S49" s="59">
        <f t="shared" si="151"/>
        <v>1303.4680000000001</v>
      </c>
      <c r="T49" s="252"/>
      <c r="U49" s="252"/>
      <c r="V49" s="256">
        <f t="shared" si="152"/>
        <v>0</v>
      </c>
      <c r="W49" s="56">
        <f t="shared" si="153"/>
        <v>1303.4680000000001</v>
      </c>
      <c r="X49" s="56">
        <f t="shared" si="163"/>
        <v>2777.3</v>
      </c>
      <c r="Y49" s="56"/>
      <c r="Z49" s="56">
        <f t="shared" si="164"/>
        <v>2777.3</v>
      </c>
      <c r="AA49" s="56"/>
      <c r="AB49" s="56"/>
      <c r="AC49" s="56"/>
      <c r="AD49" s="56">
        <f t="shared" si="88"/>
        <v>2777.3</v>
      </c>
      <c r="AE49" s="269"/>
      <c r="AF49" s="270"/>
      <c r="AG49" s="269"/>
      <c r="AH49" s="269"/>
      <c r="AI49" s="269"/>
      <c r="AJ49" s="269"/>
      <c r="AK49" s="270"/>
      <c r="AL49" s="270"/>
      <c r="AM49" s="270"/>
      <c r="AN49" s="267"/>
      <c r="AO49" s="267"/>
      <c r="AP49" s="267"/>
      <c r="AQ49" s="267"/>
      <c r="AR49" s="267"/>
      <c r="AS49" s="267"/>
      <c r="AT49" s="267"/>
      <c r="AU49" s="269">
        <f t="shared" si="114"/>
        <v>2777.3</v>
      </c>
      <c r="AV49" s="269">
        <f t="shared" si="115"/>
        <v>2777.3</v>
      </c>
      <c r="AW49" s="269">
        <f t="shared" si="89"/>
        <v>0</v>
      </c>
      <c r="AX49" s="269">
        <f t="shared" si="116"/>
        <v>2777.3</v>
      </c>
      <c r="AY49" s="269">
        <f t="shared" si="117"/>
        <v>138865</v>
      </c>
      <c r="AZ49" s="269">
        <f t="shared" si="118"/>
        <v>138865</v>
      </c>
      <c r="BA49" s="269">
        <f t="shared" si="119"/>
        <v>0</v>
      </c>
      <c r="BB49" s="269">
        <f t="shared" si="120"/>
        <v>138865</v>
      </c>
      <c r="BC49" s="53">
        <v>110894</v>
      </c>
      <c r="BD49" s="53"/>
      <c r="BE49" s="79">
        <f t="shared" si="121"/>
        <v>110894</v>
      </c>
      <c r="BF49" s="53"/>
      <c r="BG49" s="53"/>
      <c r="BH49" s="79">
        <f t="shared" si="122"/>
        <v>0</v>
      </c>
      <c r="BI49" s="56">
        <f t="shared" si="123"/>
        <v>110894</v>
      </c>
      <c r="BJ49" s="252">
        <v>89</v>
      </c>
      <c r="BK49" s="252"/>
      <c r="BL49" s="252">
        <f t="shared" si="155"/>
        <v>89</v>
      </c>
      <c r="BM49" s="252"/>
      <c r="BN49" s="252"/>
      <c r="BO49" s="252">
        <f t="shared" si="156"/>
        <v>0</v>
      </c>
      <c r="BP49" s="56">
        <f t="shared" si="157"/>
        <v>89</v>
      </c>
      <c r="BQ49" s="252">
        <v>1243.425</v>
      </c>
      <c r="BR49" s="252"/>
      <c r="BS49" s="76">
        <f t="shared" si="158"/>
        <v>1243.425</v>
      </c>
      <c r="BT49" s="252"/>
      <c r="BU49" s="252"/>
      <c r="BV49" s="59">
        <f t="shared" si="159"/>
        <v>0</v>
      </c>
      <c r="BW49" s="56">
        <f t="shared" si="129"/>
        <v>1243.425</v>
      </c>
      <c r="BX49" s="56">
        <f t="shared" si="130"/>
        <v>1246</v>
      </c>
      <c r="BY49" s="56"/>
      <c r="BZ49" s="56">
        <f t="shared" si="132"/>
        <v>1246</v>
      </c>
      <c r="CA49" s="56"/>
      <c r="CB49" s="56"/>
      <c r="CC49" s="56"/>
      <c r="CD49" s="56">
        <f t="shared" si="136"/>
        <v>1246</v>
      </c>
      <c r="CE49" s="238"/>
      <c r="CF49" s="241"/>
      <c r="CG49" s="238"/>
      <c r="CH49" s="238"/>
      <c r="CI49" s="238"/>
      <c r="CJ49" s="238"/>
      <c r="CK49" s="241"/>
      <c r="CL49" s="241"/>
      <c r="CM49" s="241"/>
      <c r="CN49" s="233"/>
      <c r="CO49" s="233"/>
      <c r="CP49" s="233"/>
      <c r="CQ49" s="233"/>
      <c r="CR49" s="233"/>
      <c r="CS49" s="233"/>
      <c r="CT49" s="233"/>
      <c r="CU49" s="238">
        <f t="shared" si="91"/>
        <v>1246</v>
      </c>
      <c r="CV49" s="238">
        <f t="shared" si="92"/>
        <v>1246</v>
      </c>
      <c r="CW49" s="238">
        <f t="shared" si="93"/>
        <v>0</v>
      </c>
      <c r="CX49" s="238">
        <f t="shared" si="137"/>
        <v>1246</v>
      </c>
      <c r="CY49" s="238">
        <f t="shared" si="94"/>
        <v>110894</v>
      </c>
      <c r="CZ49" s="238">
        <f t="shared" si="95"/>
        <v>110894</v>
      </c>
      <c r="DA49" s="238">
        <f t="shared" si="96"/>
        <v>0</v>
      </c>
      <c r="DB49" s="238">
        <f t="shared" si="96"/>
        <v>110894</v>
      </c>
      <c r="DC49" s="53">
        <v>32593</v>
      </c>
      <c r="DD49" s="53"/>
      <c r="DE49" s="56">
        <f t="shared" si="138"/>
        <v>32593</v>
      </c>
      <c r="DF49" s="53"/>
      <c r="DG49" s="53"/>
      <c r="DH49" s="56">
        <f t="shared" si="139"/>
        <v>0</v>
      </c>
      <c r="DI49" s="56">
        <f t="shared" si="140"/>
        <v>32593</v>
      </c>
      <c r="DJ49" s="252">
        <v>50</v>
      </c>
      <c r="DK49" s="252"/>
      <c r="DL49" s="56">
        <f t="shared" si="160"/>
        <v>50</v>
      </c>
      <c r="DM49" s="252"/>
      <c r="DN49" s="252"/>
      <c r="DO49" s="56">
        <f t="shared" si="161"/>
        <v>0</v>
      </c>
      <c r="DP49" s="56">
        <f t="shared" si="162"/>
        <v>50</v>
      </c>
      <c r="DQ49" s="252">
        <v>741.52499999999998</v>
      </c>
      <c r="DR49" s="252"/>
      <c r="DS49" s="56">
        <f t="shared" si="97"/>
        <v>741.52499999999998</v>
      </c>
      <c r="DT49" s="252"/>
      <c r="DU49" s="252"/>
      <c r="DV49" s="56">
        <f>DT49+DU49</f>
        <v>0</v>
      </c>
      <c r="DW49" s="56">
        <f t="shared" si="144"/>
        <v>741.52499999999998</v>
      </c>
      <c r="DX49" s="56">
        <f t="shared" si="145"/>
        <v>651.86</v>
      </c>
      <c r="DY49" s="56"/>
      <c r="DZ49" s="56">
        <f t="shared" si="165"/>
        <v>651.86</v>
      </c>
      <c r="EA49" s="56"/>
      <c r="EB49" s="56"/>
      <c r="EC49" s="56"/>
      <c r="ED49" s="56">
        <f t="shared" si="146"/>
        <v>651.86</v>
      </c>
      <c r="EE49" s="273"/>
      <c r="EF49" s="274"/>
      <c r="EG49" s="273"/>
      <c r="EH49" s="273"/>
      <c r="EI49" s="273"/>
      <c r="EJ49" s="273"/>
      <c r="EK49" s="274"/>
      <c r="EL49" s="274"/>
      <c r="EM49" s="274"/>
      <c r="EN49" s="231"/>
      <c r="EO49" s="231"/>
      <c r="EP49" s="231"/>
      <c r="EQ49" s="231"/>
      <c r="ER49" s="231"/>
      <c r="ES49" s="231"/>
      <c r="ET49" s="231"/>
      <c r="EU49" s="273">
        <f t="shared" si="100"/>
        <v>651.86</v>
      </c>
      <c r="EV49" s="273">
        <f t="shared" si="101"/>
        <v>651.86</v>
      </c>
      <c r="EW49" s="273">
        <f t="shared" si="102"/>
        <v>0</v>
      </c>
      <c r="EX49" s="273">
        <f t="shared" si="147"/>
        <v>651.86</v>
      </c>
      <c r="EY49" s="273">
        <f t="shared" si="103"/>
        <v>32593</v>
      </c>
      <c r="EZ49" s="273">
        <f t="shared" si="104"/>
        <v>32593</v>
      </c>
      <c r="FA49" s="273">
        <f t="shared" si="105"/>
        <v>0</v>
      </c>
      <c r="FB49" s="273">
        <f t="shared" si="105"/>
        <v>32593</v>
      </c>
      <c r="FC49" s="79"/>
      <c r="FD49" s="79"/>
      <c r="FE49" s="79"/>
      <c r="FF49" s="79"/>
      <c r="FG49" s="47"/>
      <c r="FH49" s="47"/>
      <c r="FI49" s="47"/>
      <c r="FJ49" s="47"/>
    </row>
    <row r="50" spans="1:166" x14ac:dyDescent="0.3">
      <c r="A50" s="48" t="s">
        <v>44</v>
      </c>
      <c r="B50" s="258" t="s">
        <v>15</v>
      </c>
      <c r="C50" s="53">
        <v>3409561.42</v>
      </c>
      <c r="D50" s="53">
        <v>2632650.64</v>
      </c>
      <c r="E50" s="53">
        <f t="shared" si="106"/>
        <v>6042212.0600000005</v>
      </c>
      <c r="F50" s="53">
        <v>3668691.94</v>
      </c>
      <c r="G50" s="53">
        <v>0</v>
      </c>
      <c r="H50" s="53">
        <f t="shared" si="86"/>
        <v>3668691.94</v>
      </c>
      <c r="I50" s="56">
        <f t="shared" si="107"/>
        <v>9710904</v>
      </c>
      <c r="J50" s="252">
        <v>525</v>
      </c>
      <c r="K50" s="252">
        <v>116</v>
      </c>
      <c r="L50" s="252">
        <f t="shared" si="148"/>
        <v>641</v>
      </c>
      <c r="M50" s="252">
        <v>17</v>
      </c>
      <c r="N50" s="252">
        <v>0</v>
      </c>
      <c r="O50" s="252">
        <f t="shared" si="149"/>
        <v>17</v>
      </c>
      <c r="P50" s="56">
        <f t="shared" si="150"/>
        <v>658</v>
      </c>
      <c r="Q50" s="252">
        <v>7092</v>
      </c>
      <c r="R50" s="252">
        <v>5476</v>
      </c>
      <c r="S50" s="59">
        <f t="shared" si="151"/>
        <v>12568</v>
      </c>
      <c r="T50" s="252">
        <v>7631</v>
      </c>
      <c r="U50" s="252">
        <v>0</v>
      </c>
      <c r="V50" s="256">
        <f t="shared" si="152"/>
        <v>7631</v>
      </c>
      <c r="W50" s="56">
        <f t="shared" si="153"/>
        <v>20199</v>
      </c>
      <c r="X50" s="56">
        <f t="shared" si="163"/>
        <v>6494.4027047619047</v>
      </c>
      <c r="Y50" s="56">
        <f>D50/K50</f>
        <v>22695.264137931037</v>
      </c>
      <c r="Z50" s="56">
        <f t="shared" si="164"/>
        <v>9426.2278627145097</v>
      </c>
      <c r="AA50" s="56">
        <f>F50/M50</f>
        <v>215805.4082352941</v>
      </c>
      <c r="AB50" s="56"/>
      <c r="AC50" s="56">
        <f>H50/O50</f>
        <v>215805.4082352941</v>
      </c>
      <c r="AD50" s="56">
        <f t="shared" si="88"/>
        <v>14758.212765957447</v>
      </c>
      <c r="AE50" s="269"/>
      <c r="AF50" s="270"/>
      <c r="AG50" s="269"/>
      <c r="AH50" s="269"/>
      <c r="AI50" s="269"/>
      <c r="AJ50" s="269"/>
      <c r="AK50" s="270"/>
      <c r="AL50" s="270"/>
      <c r="AM50" s="270"/>
      <c r="AN50" s="267"/>
      <c r="AO50" s="267"/>
      <c r="AP50" s="267"/>
      <c r="AQ50" s="267"/>
      <c r="AR50" s="267"/>
      <c r="AS50" s="267"/>
      <c r="AT50" s="267"/>
      <c r="AU50" s="269">
        <f t="shared" si="114"/>
        <v>6494.4027047619047</v>
      </c>
      <c r="AV50" s="269">
        <f t="shared" si="115"/>
        <v>9426.2278627145097</v>
      </c>
      <c r="AW50" s="269">
        <f t="shared" si="89"/>
        <v>0</v>
      </c>
      <c r="AX50" s="269">
        <f t="shared" si="116"/>
        <v>14758.212765957447</v>
      </c>
      <c r="AY50" s="269">
        <f t="shared" si="117"/>
        <v>3409561.42</v>
      </c>
      <c r="AZ50" s="269">
        <f t="shared" si="118"/>
        <v>6042212.0600000005</v>
      </c>
      <c r="BA50" s="269">
        <f t="shared" si="119"/>
        <v>0</v>
      </c>
      <c r="BB50" s="269">
        <f t="shared" si="120"/>
        <v>9710904</v>
      </c>
      <c r="BC50" s="53">
        <v>10953946.289999999</v>
      </c>
      <c r="BD50" s="53">
        <v>10281400.24</v>
      </c>
      <c r="BE50" s="79">
        <f t="shared" si="121"/>
        <v>21235346.530000001</v>
      </c>
      <c r="BF50" s="53">
        <v>7274116.4800000004</v>
      </c>
      <c r="BG50" s="53">
        <v>0</v>
      </c>
      <c r="BH50" s="79">
        <f t="shared" si="122"/>
        <v>7274116.4800000004</v>
      </c>
      <c r="BI50" s="56">
        <f t="shared" si="123"/>
        <v>28509463.010000002</v>
      </c>
      <c r="BJ50" s="252">
        <v>531</v>
      </c>
      <c r="BK50" s="252">
        <v>112</v>
      </c>
      <c r="BL50" s="252">
        <f t="shared" si="155"/>
        <v>643</v>
      </c>
      <c r="BM50" s="252">
        <v>16</v>
      </c>
      <c r="BN50" s="252">
        <v>0</v>
      </c>
      <c r="BO50" s="252">
        <f t="shared" si="156"/>
        <v>16</v>
      </c>
      <c r="BP50" s="56">
        <f t="shared" si="157"/>
        <v>659</v>
      </c>
      <c r="BQ50" s="252">
        <v>7427</v>
      </c>
      <c r="BR50" s="252">
        <v>6971</v>
      </c>
      <c r="BS50" s="76">
        <f t="shared" si="158"/>
        <v>14398</v>
      </c>
      <c r="BT50" s="252">
        <v>4932</v>
      </c>
      <c r="BU50" s="252">
        <v>0</v>
      </c>
      <c r="BV50" s="59">
        <f t="shared" si="159"/>
        <v>4932</v>
      </c>
      <c r="BW50" s="56">
        <f t="shared" si="129"/>
        <v>19330</v>
      </c>
      <c r="BX50" s="56">
        <f t="shared" si="130"/>
        <v>20628.900734463274</v>
      </c>
      <c r="BY50" s="56">
        <f t="shared" si="131"/>
        <v>91798.216428571424</v>
      </c>
      <c r="BZ50" s="56">
        <f t="shared" si="132"/>
        <v>33025.422286158631</v>
      </c>
      <c r="CA50" s="56">
        <f t="shared" si="133"/>
        <v>454632.28</v>
      </c>
      <c r="CB50" s="56"/>
      <c r="CC50" s="56">
        <f t="shared" si="135"/>
        <v>454632.28</v>
      </c>
      <c r="CD50" s="56">
        <f t="shared" si="136"/>
        <v>43261.704112291351</v>
      </c>
      <c r="CE50" s="238"/>
      <c r="CF50" s="241"/>
      <c r="CG50" s="238"/>
      <c r="CH50" s="238"/>
      <c r="CI50" s="238"/>
      <c r="CJ50" s="238"/>
      <c r="CK50" s="241"/>
      <c r="CL50" s="241"/>
      <c r="CM50" s="241"/>
      <c r="CN50" s="233"/>
      <c r="CO50" s="233"/>
      <c r="CP50" s="233"/>
      <c r="CQ50" s="233"/>
      <c r="CR50" s="233"/>
      <c r="CS50" s="233"/>
      <c r="CT50" s="233"/>
      <c r="CU50" s="238">
        <f t="shared" si="91"/>
        <v>20628.900734463274</v>
      </c>
      <c r="CV50" s="238">
        <f t="shared" si="92"/>
        <v>0</v>
      </c>
      <c r="CW50" s="238">
        <f t="shared" si="93"/>
        <v>0</v>
      </c>
      <c r="CX50" s="238">
        <f t="shared" si="137"/>
        <v>0</v>
      </c>
      <c r="CY50" s="238">
        <f t="shared" si="94"/>
        <v>10953946.289999999</v>
      </c>
      <c r="CZ50" s="238">
        <f t="shared" si="95"/>
        <v>0</v>
      </c>
      <c r="DA50" s="238">
        <f t="shared" si="96"/>
        <v>0</v>
      </c>
      <c r="DB50" s="238">
        <f t="shared" si="96"/>
        <v>0</v>
      </c>
      <c r="DC50" s="53">
        <v>11115067</v>
      </c>
      <c r="DD50" s="53">
        <v>8623356.9100000001</v>
      </c>
      <c r="DE50" s="56">
        <f t="shared" si="138"/>
        <v>19738423.91</v>
      </c>
      <c r="DF50" s="53">
        <v>8261986.0899999999</v>
      </c>
      <c r="DG50" s="53">
        <v>0</v>
      </c>
      <c r="DH50" s="56">
        <f t="shared" si="139"/>
        <v>8261986.0899999999</v>
      </c>
      <c r="DI50" s="56">
        <f t="shared" si="140"/>
        <v>28000410</v>
      </c>
      <c r="DJ50" s="252">
        <v>523</v>
      </c>
      <c r="DK50" s="252">
        <v>131</v>
      </c>
      <c r="DL50" s="56">
        <f t="shared" si="160"/>
        <v>654</v>
      </c>
      <c r="DM50" s="252">
        <v>20</v>
      </c>
      <c r="DN50" s="252">
        <v>0</v>
      </c>
      <c r="DO50" s="56">
        <f t="shared" si="161"/>
        <v>20</v>
      </c>
      <c r="DP50" s="56">
        <f t="shared" si="162"/>
        <v>674</v>
      </c>
      <c r="DQ50" s="252">
        <v>7628</v>
      </c>
      <c r="DR50" s="252">
        <v>5918</v>
      </c>
      <c r="DS50" s="56">
        <f t="shared" si="97"/>
        <v>13546</v>
      </c>
      <c r="DT50" s="252">
        <v>5670</v>
      </c>
      <c r="DU50" s="252">
        <v>0</v>
      </c>
      <c r="DV50" s="56">
        <f t="shared" si="98"/>
        <v>5670</v>
      </c>
      <c r="DW50" s="56">
        <f t="shared" si="144"/>
        <v>19216</v>
      </c>
      <c r="DX50" s="56">
        <f t="shared" si="145"/>
        <v>21252.518164435947</v>
      </c>
      <c r="DY50" s="56">
        <f>DD50/DK50</f>
        <v>65827.151984732831</v>
      </c>
      <c r="DZ50" s="56">
        <f t="shared" si="165"/>
        <v>30181.076314984708</v>
      </c>
      <c r="EA50" s="56">
        <f>DF50/DM50</f>
        <v>413099.30449999997</v>
      </c>
      <c r="EB50" s="56"/>
      <c r="EC50" s="56">
        <f>DH50/DO50</f>
        <v>413099.30449999997</v>
      </c>
      <c r="ED50" s="56">
        <f t="shared" si="146"/>
        <v>41543.635014836793</v>
      </c>
      <c r="EE50" s="273"/>
      <c r="EF50" s="274"/>
      <c r="EG50" s="273"/>
      <c r="EH50" s="273"/>
      <c r="EI50" s="273"/>
      <c r="EJ50" s="273"/>
      <c r="EK50" s="274"/>
      <c r="EL50" s="274"/>
      <c r="EM50" s="274"/>
      <c r="EN50" s="231"/>
      <c r="EO50" s="231"/>
      <c r="EP50" s="231"/>
      <c r="EQ50" s="231"/>
      <c r="ER50" s="231"/>
      <c r="ES50" s="231"/>
      <c r="ET50" s="231"/>
      <c r="EU50" s="273">
        <f t="shared" si="100"/>
        <v>21252.518164435947</v>
      </c>
      <c r="EV50" s="273">
        <f t="shared" si="101"/>
        <v>0</v>
      </c>
      <c r="EW50" s="273">
        <f t="shared" si="102"/>
        <v>0</v>
      </c>
      <c r="EX50" s="273">
        <f t="shared" si="147"/>
        <v>0</v>
      </c>
      <c r="EY50" s="273">
        <f t="shared" si="103"/>
        <v>11115067</v>
      </c>
      <c r="EZ50" s="273">
        <f t="shared" si="104"/>
        <v>0</v>
      </c>
      <c r="FA50" s="273">
        <f t="shared" si="105"/>
        <v>0</v>
      </c>
      <c r="FB50" s="273">
        <f t="shared" si="105"/>
        <v>0</v>
      </c>
      <c r="FC50" s="79"/>
      <c r="FD50" s="79"/>
      <c r="FE50" s="79"/>
      <c r="FF50" s="79"/>
      <c r="FG50" s="47"/>
      <c r="FH50" s="47"/>
      <c r="FI50" s="47"/>
      <c r="FJ50" s="47"/>
    </row>
    <row r="51" spans="1:166" x14ac:dyDescent="0.3">
      <c r="A51" s="48" t="s">
        <v>45</v>
      </c>
      <c r="B51" s="258" t="s">
        <v>16</v>
      </c>
      <c r="C51" s="53">
        <v>422794.74</v>
      </c>
      <c r="D51" s="53">
        <v>11365.68</v>
      </c>
      <c r="E51" s="53">
        <f t="shared" si="106"/>
        <v>434160.42</v>
      </c>
      <c r="F51" s="53">
        <v>0</v>
      </c>
      <c r="G51" s="53">
        <v>0</v>
      </c>
      <c r="H51" s="53">
        <f t="shared" si="86"/>
        <v>0</v>
      </c>
      <c r="I51" s="56">
        <f t="shared" si="107"/>
        <v>434160.42</v>
      </c>
      <c r="J51" s="252">
        <v>69</v>
      </c>
      <c r="K51" s="252">
        <v>1</v>
      </c>
      <c r="L51" s="252">
        <f t="shared" si="148"/>
        <v>70</v>
      </c>
      <c r="M51" s="252">
        <v>0</v>
      </c>
      <c r="N51" s="252">
        <v>0</v>
      </c>
      <c r="O51" s="252">
        <f t="shared" si="149"/>
        <v>0</v>
      </c>
      <c r="P51" s="56">
        <f t="shared" si="150"/>
        <v>70</v>
      </c>
      <c r="Q51" s="252">
        <v>849</v>
      </c>
      <c r="R51" s="252">
        <v>18</v>
      </c>
      <c r="S51" s="59">
        <f t="shared" si="151"/>
        <v>867</v>
      </c>
      <c r="T51" s="252">
        <v>0</v>
      </c>
      <c r="U51" s="252">
        <v>0</v>
      </c>
      <c r="V51" s="256">
        <f t="shared" si="152"/>
        <v>0</v>
      </c>
      <c r="W51" s="56">
        <f t="shared" si="153"/>
        <v>867</v>
      </c>
      <c r="X51" s="56">
        <f t="shared" si="163"/>
        <v>6127.46</v>
      </c>
      <c r="Y51" s="56">
        <f>D51/K51</f>
        <v>11365.68</v>
      </c>
      <c r="Z51" s="56">
        <f t="shared" si="164"/>
        <v>6202.2917142857141</v>
      </c>
      <c r="AA51" s="56"/>
      <c r="AB51" s="56"/>
      <c r="AC51" s="56"/>
      <c r="AD51" s="56">
        <f t="shared" si="88"/>
        <v>6202.2917142857141</v>
      </c>
      <c r="AE51" s="269"/>
      <c r="AF51" s="270"/>
      <c r="AG51" s="269"/>
      <c r="AH51" s="269"/>
      <c r="AI51" s="269"/>
      <c r="AJ51" s="269"/>
      <c r="AK51" s="270"/>
      <c r="AL51" s="270"/>
      <c r="AM51" s="270"/>
      <c r="AN51" s="267"/>
      <c r="AO51" s="267"/>
      <c r="AP51" s="267"/>
      <c r="AQ51" s="267"/>
      <c r="AR51" s="267"/>
      <c r="AS51" s="267"/>
      <c r="AT51" s="267"/>
      <c r="AU51" s="269">
        <f t="shared" si="114"/>
        <v>6127.46</v>
      </c>
      <c r="AV51" s="269">
        <f t="shared" si="115"/>
        <v>6202.2917142857141</v>
      </c>
      <c r="AW51" s="269">
        <f t="shared" si="89"/>
        <v>0</v>
      </c>
      <c r="AX51" s="269">
        <f t="shared" si="116"/>
        <v>6202.2917142857141</v>
      </c>
      <c r="AY51" s="269">
        <f t="shared" si="117"/>
        <v>422794.74</v>
      </c>
      <c r="AZ51" s="269">
        <f t="shared" si="118"/>
        <v>434160.42</v>
      </c>
      <c r="BA51" s="269">
        <f t="shared" si="119"/>
        <v>0</v>
      </c>
      <c r="BB51" s="269">
        <f t="shared" si="120"/>
        <v>434160.42</v>
      </c>
      <c r="BC51" s="53">
        <v>233546.4</v>
      </c>
      <c r="BD51" s="53">
        <v>18342.400000000001</v>
      </c>
      <c r="BE51" s="79">
        <f t="shared" si="121"/>
        <v>251888.8</v>
      </c>
      <c r="BF51" s="53">
        <v>0</v>
      </c>
      <c r="BG51" s="53">
        <v>0</v>
      </c>
      <c r="BH51" s="79">
        <f t="shared" si="122"/>
        <v>0</v>
      </c>
      <c r="BI51" s="56">
        <f t="shared" si="123"/>
        <v>251888.8</v>
      </c>
      <c r="BJ51" s="252">
        <v>60</v>
      </c>
      <c r="BK51" s="252">
        <v>4</v>
      </c>
      <c r="BL51" s="252">
        <f t="shared" si="155"/>
        <v>64</v>
      </c>
      <c r="BM51" s="252">
        <v>0</v>
      </c>
      <c r="BN51" s="252">
        <v>0</v>
      </c>
      <c r="BO51" s="252">
        <f t="shared" si="156"/>
        <v>0</v>
      </c>
      <c r="BP51" s="56">
        <f t="shared" si="157"/>
        <v>64</v>
      </c>
      <c r="BQ51" s="252">
        <v>840</v>
      </c>
      <c r="BR51" s="252">
        <v>879</v>
      </c>
      <c r="BS51" s="76">
        <f t="shared" si="158"/>
        <v>1719</v>
      </c>
      <c r="BT51" s="252">
        <v>0</v>
      </c>
      <c r="BU51" s="252">
        <v>0</v>
      </c>
      <c r="BV51" s="59">
        <f t="shared" si="159"/>
        <v>0</v>
      </c>
      <c r="BW51" s="56">
        <f t="shared" si="129"/>
        <v>1719</v>
      </c>
      <c r="BX51" s="56">
        <f t="shared" si="130"/>
        <v>3892.44</v>
      </c>
      <c r="BY51" s="56">
        <f t="shared" si="131"/>
        <v>4585.6000000000004</v>
      </c>
      <c r="BZ51" s="56">
        <f t="shared" si="132"/>
        <v>3935.7624999999998</v>
      </c>
      <c r="CA51" s="56"/>
      <c r="CB51" s="56"/>
      <c r="CC51" s="56"/>
      <c r="CD51" s="56">
        <f t="shared" si="136"/>
        <v>3935.7624999999998</v>
      </c>
      <c r="CE51" s="238"/>
      <c r="CF51" s="241"/>
      <c r="CG51" s="238"/>
      <c r="CH51" s="238"/>
      <c r="CI51" s="238"/>
      <c r="CJ51" s="238"/>
      <c r="CK51" s="241"/>
      <c r="CL51" s="241"/>
      <c r="CM51" s="241"/>
      <c r="CN51" s="233"/>
      <c r="CO51" s="233"/>
      <c r="CP51" s="233"/>
      <c r="CQ51" s="233"/>
      <c r="CR51" s="233"/>
      <c r="CS51" s="233"/>
      <c r="CT51" s="233"/>
      <c r="CU51" s="238">
        <f t="shared" si="91"/>
        <v>3892.44</v>
      </c>
      <c r="CV51" s="238">
        <f t="shared" si="92"/>
        <v>3935.7624999999998</v>
      </c>
      <c r="CW51" s="238">
        <f t="shared" si="93"/>
        <v>0</v>
      </c>
      <c r="CX51" s="238">
        <f t="shared" si="137"/>
        <v>3935.7624999999998</v>
      </c>
      <c r="CY51" s="238">
        <f t="shared" si="94"/>
        <v>233546.4</v>
      </c>
      <c r="CZ51" s="238">
        <f t="shared" si="95"/>
        <v>251888.8</v>
      </c>
      <c r="DA51" s="238">
        <f t="shared" si="96"/>
        <v>0</v>
      </c>
      <c r="DB51" s="238">
        <f t="shared" si="96"/>
        <v>251888.8</v>
      </c>
      <c r="DC51" s="53">
        <v>415513.86</v>
      </c>
      <c r="DD51" s="53">
        <v>32547.25</v>
      </c>
      <c r="DE51" s="56">
        <f t="shared" si="138"/>
        <v>448061.11</v>
      </c>
      <c r="DF51" s="53">
        <v>0</v>
      </c>
      <c r="DG51" s="53">
        <v>0</v>
      </c>
      <c r="DH51" s="56">
        <f t="shared" si="139"/>
        <v>0</v>
      </c>
      <c r="DI51" s="56">
        <f t="shared" si="140"/>
        <v>448061.11</v>
      </c>
      <c r="DJ51" s="252">
        <v>69</v>
      </c>
      <c r="DK51" s="252">
        <v>5</v>
      </c>
      <c r="DL51" s="56">
        <f t="shared" si="160"/>
        <v>74</v>
      </c>
      <c r="DM51" s="252">
        <v>0</v>
      </c>
      <c r="DN51" s="252">
        <v>0</v>
      </c>
      <c r="DO51" s="56">
        <f t="shared" si="161"/>
        <v>0</v>
      </c>
      <c r="DP51" s="56">
        <f t="shared" si="162"/>
        <v>74</v>
      </c>
      <c r="DQ51" s="252">
        <v>926.5</v>
      </c>
      <c r="DR51" s="252">
        <v>751</v>
      </c>
      <c r="DS51" s="56">
        <f t="shared" si="97"/>
        <v>1677.5</v>
      </c>
      <c r="DT51" s="252">
        <v>0</v>
      </c>
      <c r="DU51" s="252">
        <v>0</v>
      </c>
      <c r="DV51" s="56">
        <f t="shared" si="98"/>
        <v>0</v>
      </c>
      <c r="DW51" s="56">
        <f t="shared" si="144"/>
        <v>1677.5</v>
      </c>
      <c r="DX51" s="56">
        <f t="shared" si="145"/>
        <v>6021.94</v>
      </c>
      <c r="DY51" s="56">
        <f>DD51/DK51</f>
        <v>6509.45</v>
      </c>
      <c r="DZ51" s="56">
        <f t="shared" si="165"/>
        <v>6054.8798648648644</v>
      </c>
      <c r="EA51" s="56"/>
      <c r="EB51" s="56"/>
      <c r="EC51" s="56"/>
      <c r="ED51" s="56">
        <f t="shared" si="146"/>
        <v>6054.8798648648644</v>
      </c>
      <c r="EE51" s="273"/>
      <c r="EF51" s="274"/>
      <c r="EG51" s="273"/>
      <c r="EH51" s="273"/>
      <c r="EI51" s="273"/>
      <c r="EJ51" s="273"/>
      <c r="EK51" s="274"/>
      <c r="EL51" s="274"/>
      <c r="EM51" s="274"/>
      <c r="EN51" s="231"/>
      <c r="EO51" s="231"/>
      <c r="EP51" s="231"/>
      <c r="EQ51" s="231"/>
      <c r="ER51" s="231"/>
      <c r="ES51" s="231"/>
      <c r="ET51" s="231"/>
      <c r="EU51" s="273">
        <f t="shared" si="100"/>
        <v>6021.94</v>
      </c>
      <c r="EV51" s="273">
        <f t="shared" si="101"/>
        <v>6054.8798648648644</v>
      </c>
      <c r="EW51" s="273">
        <f t="shared" si="102"/>
        <v>0</v>
      </c>
      <c r="EX51" s="273">
        <f t="shared" si="147"/>
        <v>6054.8798648648644</v>
      </c>
      <c r="EY51" s="273">
        <f t="shared" si="103"/>
        <v>415513.86</v>
      </c>
      <c r="EZ51" s="273">
        <f t="shared" si="104"/>
        <v>448061.11</v>
      </c>
      <c r="FA51" s="273">
        <f t="shared" si="105"/>
        <v>0</v>
      </c>
      <c r="FB51" s="273">
        <f t="shared" si="105"/>
        <v>448061.11</v>
      </c>
      <c r="FC51" s="79"/>
      <c r="FD51" s="79"/>
      <c r="FE51" s="79"/>
      <c r="FF51" s="79"/>
      <c r="FG51" s="47"/>
      <c r="FH51" s="47"/>
      <c r="FI51" s="47"/>
      <c r="FJ51" s="47"/>
    </row>
    <row r="52" spans="1:166" x14ac:dyDescent="0.3">
      <c r="A52" s="48" t="s">
        <v>46</v>
      </c>
      <c r="B52" s="258" t="s">
        <v>17</v>
      </c>
      <c r="C52" s="53">
        <v>75391.360000000001</v>
      </c>
      <c r="D52" s="53"/>
      <c r="E52" s="53">
        <f t="shared" si="106"/>
        <v>75391.360000000001</v>
      </c>
      <c r="F52" s="53"/>
      <c r="G52" s="53"/>
      <c r="H52" s="53">
        <f t="shared" si="86"/>
        <v>0</v>
      </c>
      <c r="I52" s="56">
        <f t="shared" si="107"/>
        <v>75391.360000000001</v>
      </c>
      <c r="J52" s="252">
        <v>22</v>
      </c>
      <c r="K52" s="252"/>
      <c r="L52" s="252">
        <f t="shared" si="148"/>
        <v>22</v>
      </c>
      <c r="M52" s="252"/>
      <c r="N52" s="252"/>
      <c r="O52" s="252">
        <f t="shared" si="149"/>
        <v>0</v>
      </c>
      <c r="P52" s="56">
        <f t="shared" si="150"/>
        <v>22</v>
      </c>
      <c r="Q52" s="252">
        <v>169</v>
      </c>
      <c r="R52" s="252"/>
      <c r="S52" s="59">
        <f t="shared" si="151"/>
        <v>169</v>
      </c>
      <c r="T52" s="252"/>
      <c r="U52" s="252"/>
      <c r="V52" s="256">
        <f t="shared" si="152"/>
        <v>0</v>
      </c>
      <c r="W52" s="56">
        <f t="shared" si="153"/>
        <v>169</v>
      </c>
      <c r="X52" s="56">
        <f t="shared" si="163"/>
        <v>3426.88</v>
      </c>
      <c r="Y52" s="56"/>
      <c r="Z52" s="56">
        <f t="shared" si="164"/>
        <v>3426.88</v>
      </c>
      <c r="AA52" s="56"/>
      <c r="AB52" s="56"/>
      <c r="AC52" s="56"/>
      <c r="AD52" s="56">
        <f t="shared" si="88"/>
        <v>3426.88</v>
      </c>
      <c r="AE52" s="269"/>
      <c r="AF52" s="270"/>
      <c r="AG52" s="269"/>
      <c r="AH52" s="269"/>
      <c r="AI52" s="269"/>
      <c r="AJ52" s="269"/>
      <c r="AK52" s="270"/>
      <c r="AL52" s="270"/>
      <c r="AM52" s="270"/>
      <c r="AN52" s="267"/>
      <c r="AO52" s="267"/>
      <c r="AP52" s="267"/>
      <c r="AQ52" s="267"/>
      <c r="AR52" s="267"/>
      <c r="AS52" s="267"/>
      <c r="AT52" s="267"/>
      <c r="AU52" s="269">
        <f t="shared" si="114"/>
        <v>3426.88</v>
      </c>
      <c r="AV52" s="269">
        <f t="shared" si="115"/>
        <v>3426.88</v>
      </c>
      <c r="AW52" s="269">
        <f t="shared" si="89"/>
        <v>0</v>
      </c>
      <c r="AX52" s="269">
        <f t="shared" si="116"/>
        <v>3426.88</v>
      </c>
      <c r="AY52" s="269">
        <f t="shared" si="117"/>
        <v>75391.360000000001</v>
      </c>
      <c r="AZ52" s="269">
        <f t="shared" si="118"/>
        <v>75391.360000000001</v>
      </c>
      <c r="BA52" s="269">
        <f t="shared" si="119"/>
        <v>0</v>
      </c>
      <c r="BB52" s="269">
        <f t="shared" si="120"/>
        <v>75391.360000000001</v>
      </c>
      <c r="BC52" s="53">
        <v>74432.490000000005</v>
      </c>
      <c r="BD52" s="53"/>
      <c r="BE52" s="79">
        <f t="shared" si="121"/>
        <v>74432.490000000005</v>
      </c>
      <c r="BF52" s="53">
        <v>1583.67</v>
      </c>
      <c r="BG52" s="53"/>
      <c r="BH52" s="79">
        <f t="shared" si="122"/>
        <v>1583.67</v>
      </c>
      <c r="BI52" s="56">
        <f t="shared" si="123"/>
        <v>76016.160000000003</v>
      </c>
      <c r="BJ52" s="252">
        <v>47</v>
      </c>
      <c r="BK52" s="252"/>
      <c r="BL52" s="252">
        <f t="shared" si="155"/>
        <v>47</v>
      </c>
      <c r="BM52" s="252">
        <v>1</v>
      </c>
      <c r="BN52" s="252"/>
      <c r="BO52" s="252">
        <f t="shared" si="156"/>
        <v>1</v>
      </c>
      <c r="BP52" s="56">
        <f t="shared" si="157"/>
        <v>48</v>
      </c>
      <c r="BQ52" s="252">
        <v>513.29999999999995</v>
      </c>
      <c r="BR52" s="252"/>
      <c r="BS52" s="76">
        <f t="shared" si="158"/>
        <v>513.29999999999995</v>
      </c>
      <c r="BT52" s="252">
        <v>500</v>
      </c>
      <c r="BU52" s="252"/>
      <c r="BV52" s="59">
        <f t="shared" si="159"/>
        <v>500</v>
      </c>
      <c r="BW52" s="56">
        <f t="shared" si="129"/>
        <v>1013.3</v>
      </c>
      <c r="BX52" s="56">
        <f t="shared" si="130"/>
        <v>1583.67</v>
      </c>
      <c r="BY52" s="56"/>
      <c r="BZ52" s="56">
        <f t="shared" si="132"/>
        <v>1583.67</v>
      </c>
      <c r="CA52" s="56">
        <f t="shared" si="133"/>
        <v>1583.67</v>
      </c>
      <c r="CB52" s="56"/>
      <c r="CC52" s="56">
        <f t="shared" si="135"/>
        <v>1583.67</v>
      </c>
      <c r="CD52" s="56">
        <f t="shared" si="136"/>
        <v>1583.67</v>
      </c>
      <c r="CE52" s="238"/>
      <c r="CF52" s="241"/>
      <c r="CG52" s="238"/>
      <c r="CH52" s="238"/>
      <c r="CI52" s="238"/>
      <c r="CJ52" s="238"/>
      <c r="CK52" s="241"/>
      <c r="CL52" s="241"/>
      <c r="CM52" s="241"/>
      <c r="CN52" s="233"/>
      <c r="CO52" s="233"/>
      <c r="CP52" s="233"/>
      <c r="CQ52" s="233"/>
      <c r="CR52" s="233"/>
      <c r="CS52" s="233"/>
      <c r="CT52" s="233"/>
      <c r="CU52" s="238">
        <f t="shared" si="91"/>
        <v>1583.67</v>
      </c>
      <c r="CV52" s="238">
        <f t="shared" si="92"/>
        <v>1583.67</v>
      </c>
      <c r="CW52" s="238">
        <f t="shared" si="93"/>
        <v>1583.67</v>
      </c>
      <c r="CX52" s="238">
        <f t="shared" si="137"/>
        <v>1583.67</v>
      </c>
      <c r="CY52" s="238">
        <f t="shared" si="94"/>
        <v>74432.490000000005</v>
      </c>
      <c r="CZ52" s="238">
        <f t="shared" si="95"/>
        <v>74432.490000000005</v>
      </c>
      <c r="DA52" s="238">
        <f t="shared" si="96"/>
        <v>1583.67</v>
      </c>
      <c r="DB52" s="238">
        <f t="shared" si="96"/>
        <v>76016.160000000003</v>
      </c>
      <c r="DC52" s="53">
        <v>60256.35</v>
      </c>
      <c r="DD52" s="53"/>
      <c r="DE52" s="56">
        <f t="shared" si="138"/>
        <v>60256.35</v>
      </c>
      <c r="DF52" s="53"/>
      <c r="DG52" s="53"/>
      <c r="DH52" s="56">
        <f t="shared" si="139"/>
        <v>0</v>
      </c>
      <c r="DI52" s="56">
        <f t="shared" si="140"/>
        <v>60256.35</v>
      </c>
      <c r="DJ52" s="252">
        <v>35</v>
      </c>
      <c r="DK52" s="252"/>
      <c r="DL52" s="56">
        <f t="shared" si="160"/>
        <v>35</v>
      </c>
      <c r="DM52" s="252"/>
      <c r="DN52" s="252"/>
      <c r="DO52" s="56">
        <f t="shared" si="161"/>
        <v>0</v>
      </c>
      <c r="DP52" s="56">
        <f t="shared" si="162"/>
        <v>35</v>
      </c>
      <c r="DQ52" s="252">
        <v>446</v>
      </c>
      <c r="DR52" s="252"/>
      <c r="DS52" s="56">
        <f t="shared" si="97"/>
        <v>446</v>
      </c>
      <c r="DT52" s="252"/>
      <c r="DU52" s="252"/>
      <c r="DV52" s="56">
        <f t="shared" si="98"/>
        <v>0</v>
      </c>
      <c r="DW52" s="56">
        <f t="shared" si="144"/>
        <v>446</v>
      </c>
      <c r="DX52" s="56">
        <f t="shared" si="145"/>
        <v>1721.61</v>
      </c>
      <c r="DY52" s="56"/>
      <c r="DZ52" s="56">
        <f t="shared" si="165"/>
        <v>1721.61</v>
      </c>
      <c r="EA52" s="56"/>
      <c r="EB52" s="56"/>
      <c r="EC52" s="56"/>
      <c r="ED52" s="56">
        <f t="shared" si="146"/>
        <v>1721.61</v>
      </c>
      <c r="EE52" s="273"/>
      <c r="EF52" s="274"/>
      <c r="EG52" s="273"/>
      <c r="EH52" s="273"/>
      <c r="EI52" s="273"/>
      <c r="EJ52" s="273"/>
      <c r="EK52" s="274"/>
      <c r="EL52" s="274"/>
      <c r="EM52" s="274"/>
      <c r="EN52" s="231"/>
      <c r="EO52" s="231"/>
      <c r="EP52" s="231"/>
      <c r="EQ52" s="231"/>
      <c r="ER52" s="231"/>
      <c r="ES52" s="231"/>
      <c r="ET52" s="231"/>
      <c r="EU52" s="273">
        <f t="shared" si="100"/>
        <v>1721.61</v>
      </c>
      <c r="EV52" s="273">
        <f t="shared" si="101"/>
        <v>1721.61</v>
      </c>
      <c r="EW52" s="273">
        <f t="shared" si="102"/>
        <v>0</v>
      </c>
      <c r="EX52" s="273">
        <f t="shared" si="147"/>
        <v>1721.61</v>
      </c>
      <c r="EY52" s="273">
        <f t="shared" si="103"/>
        <v>60256.35</v>
      </c>
      <c r="EZ52" s="273">
        <f t="shared" si="104"/>
        <v>60256.35</v>
      </c>
      <c r="FA52" s="273">
        <f t="shared" si="105"/>
        <v>0</v>
      </c>
      <c r="FB52" s="273">
        <f t="shared" si="105"/>
        <v>60256.35</v>
      </c>
      <c r="FC52" s="79"/>
      <c r="FD52" s="79"/>
      <c r="FE52" s="79"/>
      <c r="FF52" s="79"/>
      <c r="FG52" s="47"/>
      <c r="FH52" s="47"/>
      <c r="FI52" s="47"/>
      <c r="FJ52" s="47"/>
    </row>
    <row r="53" spans="1:166" ht="30" customHeight="1" x14ac:dyDescent="0.3">
      <c r="A53" s="48" t="s">
        <v>47</v>
      </c>
      <c r="B53" s="258" t="s">
        <v>48</v>
      </c>
      <c r="C53" s="53">
        <v>362703.8</v>
      </c>
      <c r="D53" s="53"/>
      <c r="E53" s="53">
        <f t="shared" si="106"/>
        <v>362703.8</v>
      </c>
      <c r="F53" s="53"/>
      <c r="G53" s="53"/>
      <c r="H53" s="53">
        <f t="shared" si="86"/>
        <v>0</v>
      </c>
      <c r="I53" s="56">
        <f t="shared" si="107"/>
        <v>362703.8</v>
      </c>
      <c r="J53" s="252">
        <v>92</v>
      </c>
      <c r="K53" s="252"/>
      <c r="L53" s="252">
        <f t="shared" si="148"/>
        <v>92</v>
      </c>
      <c r="M53" s="252"/>
      <c r="N53" s="252"/>
      <c r="O53" s="252">
        <f t="shared" si="149"/>
        <v>0</v>
      </c>
      <c r="P53" s="56">
        <f t="shared" si="150"/>
        <v>92</v>
      </c>
      <c r="Q53" s="252">
        <v>3226</v>
      </c>
      <c r="R53" s="252"/>
      <c r="S53" s="59">
        <f t="shared" si="151"/>
        <v>3226</v>
      </c>
      <c r="T53" s="252"/>
      <c r="U53" s="252"/>
      <c r="V53" s="256">
        <f t="shared" si="152"/>
        <v>0</v>
      </c>
      <c r="W53" s="56">
        <f t="shared" si="153"/>
        <v>3226</v>
      </c>
      <c r="X53" s="56">
        <f t="shared" si="163"/>
        <v>3942.4326086956521</v>
      </c>
      <c r="Y53" s="56"/>
      <c r="Z53" s="56">
        <f t="shared" si="164"/>
        <v>3942.4326086956521</v>
      </c>
      <c r="AA53" s="56"/>
      <c r="AB53" s="56"/>
      <c r="AC53" s="56"/>
      <c r="AD53" s="56">
        <f t="shared" si="88"/>
        <v>3942.4326086956521</v>
      </c>
      <c r="AE53" s="269"/>
      <c r="AF53" s="270"/>
      <c r="AG53" s="269"/>
      <c r="AH53" s="269"/>
      <c r="AI53" s="269"/>
      <c r="AJ53" s="269"/>
      <c r="AK53" s="270"/>
      <c r="AL53" s="270"/>
      <c r="AM53" s="270"/>
      <c r="AN53" s="267"/>
      <c r="AO53" s="267"/>
      <c r="AP53" s="267"/>
      <c r="AQ53" s="267"/>
      <c r="AR53" s="267"/>
      <c r="AS53" s="267"/>
      <c r="AT53" s="267"/>
      <c r="AU53" s="269">
        <f t="shared" si="114"/>
        <v>3942.4326086956521</v>
      </c>
      <c r="AV53" s="269">
        <f t="shared" si="115"/>
        <v>3942.4326086956521</v>
      </c>
      <c r="AW53" s="269">
        <f t="shared" si="89"/>
        <v>0</v>
      </c>
      <c r="AX53" s="269">
        <f t="shared" si="116"/>
        <v>3942.4326086956521</v>
      </c>
      <c r="AY53" s="269">
        <f t="shared" si="117"/>
        <v>362703.8</v>
      </c>
      <c r="AZ53" s="269">
        <f t="shared" si="118"/>
        <v>362703.8</v>
      </c>
      <c r="BA53" s="269">
        <f t="shared" si="119"/>
        <v>0</v>
      </c>
      <c r="BB53" s="269">
        <f t="shared" si="120"/>
        <v>362703.8</v>
      </c>
      <c r="BC53" s="53">
        <v>350876.5</v>
      </c>
      <c r="BD53" s="53"/>
      <c r="BE53" s="79">
        <f t="shared" si="121"/>
        <v>350876.5</v>
      </c>
      <c r="BF53" s="53"/>
      <c r="BG53" s="53"/>
      <c r="BH53" s="79">
        <f t="shared" si="122"/>
        <v>0</v>
      </c>
      <c r="BI53" s="56">
        <f t="shared" si="123"/>
        <v>350876.5</v>
      </c>
      <c r="BJ53" s="252">
        <v>89</v>
      </c>
      <c r="BK53" s="252"/>
      <c r="BL53" s="252">
        <f t="shared" si="155"/>
        <v>89</v>
      </c>
      <c r="BM53" s="252"/>
      <c r="BN53" s="252"/>
      <c r="BO53" s="252">
        <f t="shared" si="156"/>
        <v>0</v>
      </c>
      <c r="BP53" s="56">
        <f t="shared" si="157"/>
        <v>89</v>
      </c>
      <c r="BQ53" s="252">
        <v>1201</v>
      </c>
      <c r="BR53" s="252"/>
      <c r="BS53" s="76">
        <f t="shared" si="158"/>
        <v>1201</v>
      </c>
      <c r="BT53" s="252"/>
      <c r="BU53" s="252"/>
      <c r="BV53" s="59">
        <f t="shared" si="159"/>
        <v>0</v>
      </c>
      <c r="BW53" s="56">
        <f t="shared" si="129"/>
        <v>1201</v>
      </c>
      <c r="BX53" s="56">
        <f t="shared" si="130"/>
        <v>3942.432584269663</v>
      </c>
      <c r="BY53" s="56"/>
      <c r="BZ53" s="56">
        <f t="shared" si="132"/>
        <v>3942.432584269663</v>
      </c>
      <c r="CA53" s="56"/>
      <c r="CB53" s="56"/>
      <c r="CC53" s="56"/>
      <c r="CD53" s="56">
        <f t="shared" si="136"/>
        <v>3942.432584269663</v>
      </c>
      <c r="CE53" s="238"/>
      <c r="CF53" s="241"/>
      <c r="CG53" s="238"/>
      <c r="CH53" s="238"/>
      <c r="CI53" s="238"/>
      <c r="CJ53" s="238"/>
      <c r="CK53" s="241"/>
      <c r="CL53" s="241"/>
      <c r="CM53" s="241"/>
      <c r="CN53" s="233"/>
      <c r="CO53" s="233"/>
      <c r="CP53" s="233"/>
      <c r="CQ53" s="233"/>
      <c r="CR53" s="233"/>
      <c r="CS53" s="233"/>
      <c r="CT53" s="233"/>
      <c r="CU53" s="238">
        <f t="shared" si="91"/>
        <v>3942.432584269663</v>
      </c>
      <c r="CV53" s="238">
        <f t="shared" si="92"/>
        <v>3942.432584269663</v>
      </c>
      <c r="CW53" s="238">
        <f t="shared" si="93"/>
        <v>0</v>
      </c>
      <c r="CX53" s="238">
        <f t="shared" si="137"/>
        <v>3942.432584269663</v>
      </c>
      <c r="CY53" s="238">
        <f t="shared" si="94"/>
        <v>350876.5</v>
      </c>
      <c r="CZ53" s="238">
        <f t="shared" si="95"/>
        <v>350876.5</v>
      </c>
      <c r="DA53" s="238">
        <f t="shared" si="96"/>
        <v>0</v>
      </c>
      <c r="DB53" s="238">
        <f t="shared" si="96"/>
        <v>350876.5</v>
      </c>
      <c r="DC53" s="53">
        <v>303567.31</v>
      </c>
      <c r="DD53" s="53"/>
      <c r="DE53" s="56">
        <f t="shared" si="138"/>
        <v>303567.31</v>
      </c>
      <c r="DF53" s="53"/>
      <c r="DG53" s="53"/>
      <c r="DH53" s="56">
        <f t="shared" si="139"/>
        <v>0</v>
      </c>
      <c r="DI53" s="56">
        <f t="shared" si="140"/>
        <v>303567.31</v>
      </c>
      <c r="DJ53" s="252">
        <v>77</v>
      </c>
      <c r="DK53" s="252"/>
      <c r="DL53" s="56">
        <f t="shared" si="160"/>
        <v>77</v>
      </c>
      <c r="DM53" s="252"/>
      <c r="DN53" s="252"/>
      <c r="DO53" s="56">
        <f t="shared" si="161"/>
        <v>0</v>
      </c>
      <c r="DP53" s="56">
        <f t="shared" si="162"/>
        <v>77</v>
      </c>
      <c r="DQ53" s="252">
        <v>922</v>
      </c>
      <c r="DR53" s="252"/>
      <c r="DS53" s="56">
        <f t="shared" si="97"/>
        <v>922</v>
      </c>
      <c r="DT53" s="252"/>
      <c r="DU53" s="252"/>
      <c r="DV53" s="56">
        <f t="shared" si="98"/>
        <v>0</v>
      </c>
      <c r="DW53" s="56">
        <f t="shared" si="144"/>
        <v>922</v>
      </c>
      <c r="DX53" s="56">
        <f t="shared" si="145"/>
        <v>3942.4325974025974</v>
      </c>
      <c r="DY53" s="56"/>
      <c r="DZ53" s="56">
        <f t="shared" si="165"/>
        <v>3942.4325974025974</v>
      </c>
      <c r="EA53" s="56"/>
      <c r="EB53" s="56"/>
      <c r="EC53" s="56"/>
      <c r="ED53" s="56">
        <f t="shared" si="146"/>
        <v>3942.4325974025974</v>
      </c>
      <c r="EE53" s="273"/>
      <c r="EF53" s="274"/>
      <c r="EG53" s="273"/>
      <c r="EH53" s="273"/>
      <c r="EI53" s="273"/>
      <c r="EJ53" s="273"/>
      <c r="EK53" s="274"/>
      <c r="EL53" s="274"/>
      <c r="EM53" s="274"/>
      <c r="EN53" s="231"/>
      <c r="EO53" s="231"/>
      <c r="EP53" s="231"/>
      <c r="EQ53" s="231"/>
      <c r="ER53" s="231"/>
      <c r="ES53" s="231"/>
      <c r="ET53" s="231"/>
      <c r="EU53" s="273">
        <f t="shared" si="100"/>
        <v>3942.4325974025974</v>
      </c>
      <c r="EV53" s="273">
        <f t="shared" si="101"/>
        <v>3942.4325974025974</v>
      </c>
      <c r="EW53" s="273">
        <f t="shared" si="102"/>
        <v>0</v>
      </c>
      <c r="EX53" s="273">
        <f t="shared" si="147"/>
        <v>3942.4325974025974</v>
      </c>
      <c r="EY53" s="273">
        <f t="shared" si="103"/>
        <v>303567.31</v>
      </c>
      <c r="EZ53" s="273">
        <f t="shared" si="104"/>
        <v>303567.31</v>
      </c>
      <c r="FA53" s="273">
        <f t="shared" si="105"/>
        <v>0</v>
      </c>
      <c r="FB53" s="273">
        <f t="shared" si="105"/>
        <v>303567.31</v>
      </c>
      <c r="FC53" s="79"/>
      <c r="FD53" s="79"/>
      <c r="FE53" s="79"/>
      <c r="FF53" s="79"/>
      <c r="FG53" s="47"/>
      <c r="FH53" s="47"/>
      <c r="FI53" s="47"/>
      <c r="FJ53" s="47"/>
    </row>
    <row r="54" spans="1:166" x14ac:dyDescent="0.3">
      <c r="A54" s="48" t="s">
        <v>49</v>
      </c>
      <c r="B54" s="258" t="s">
        <v>18</v>
      </c>
      <c r="C54" s="255">
        <v>89669.65</v>
      </c>
      <c r="D54" s="255">
        <v>7525.8</v>
      </c>
      <c r="E54" s="255">
        <f t="shared" si="106"/>
        <v>97195.45</v>
      </c>
      <c r="F54" s="255">
        <v>15514</v>
      </c>
      <c r="G54" s="255"/>
      <c r="H54" s="255">
        <f t="shared" si="86"/>
        <v>15514</v>
      </c>
      <c r="I54" s="56">
        <f t="shared" si="107"/>
        <v>112709.45</v>
      </c>
      <c r="J54" s="256">
        <v>44</v>
      </c>
      <c r="K54" s="256">
        <v>2</v>
      </c>
      <c r="L54" s="256">
        <f t="shared" si="148"/>
        <v>46</v>
      </c>
      <c r="M54" s="256">
        <v>1</v>
      </c>
      <c r="N54" s="256"/>
      <c r="O54" s="256">
        <f t="shared" si="149"/>
        <v>1</v>
      </c>
      <c r="P54" s="56">
        <f t="shared" si="150"/>
        <v>47</v>
      </c>
      <c r="Q54" s="256">
        <v>605</v>
      </c>
      <c r="R54" s="256">
        <v>99</v>
      </c>
      <c r="S54" s="256">
        <f t="shared" si="151"/>
        <v>704</v>
      </c>
      <c r="T54" s="256">
        <v>285</v>
      </c>
      <c r="U54" s="256"/>
      <c r="V54" s="256">
        <f t="shared" si="152"/>
        <v>285</v>
      </c>
      <c r="W54" s="56">
        <f t="shared" si="153"/>
        <v>989</v>
      </c>
      <c r="X54" s="56">
        <f t="shared" si="163"/>
        <v>2037.9465909090907</v>
      </c>
      <c r="Y54" s="56">
        <f t="shared" ref="Y54" si="166">D54/K54</f>
        <v>3762.9</v>
      </c>
      <c r="Z54" s="56">
        <f t="shared" si="164"/>
        <v>2112.9445652173913</v>
      </c>
      <c r="AA54" s="56">
        <f t="shared" ref="AA54" si="167">F54/M54</f>
        <v>15514</v>
      </c>
      <c r="AB54" s="56"/>
      <c r="AC54" s="56">
        <f>H54/O54</f>
        <v>15514</v>
      </c>
      <c r="AD54" s="56">
        <f t="shared" si="88"/>
        <v>2398.073404255319</v>
      </c>
      <c r="AE54" s="269"/>
      <c r="AF54" s="270"/>
      <c r="AG54" s="269"/>
      <c r="AH54" s="269"/>
      <c r="AI54" s="269"/>
      <c r="AJ54" s="269"/>
      <c r="AK54" s="270"/>
      <c r="AL54" s="270"/>
      <c r="AM54" s="270"/>
      <c r="AN54" s="267"/>
      <c r="AO54" s="267"/>
      <c r="AP54" s="267"/>
      <c r="AQ54" s="267"/>
      <c r="AR54" s="267"/>
      <c r="AS54" s="267"/>
      <c r="AT54" s="267"/>
      <c r="AU54" s="269">
        <f t="shared" si="114"/>
        <v>2037.9465909090907</v>
      </c>
      <c r="AV54" s="269">
        <f t="shared" si="115"/>
        <v>2112.9445652173913</v>
      </c>
      <c r="AW54" s="269">
        <f t="shared" si="89"/>
        <v>15514</v>
      </c>
      <c r="AX54" s="269">
        <f t="shared" si="116"/>
        <v>2398.073404255319</v>
      </c>
      <c r="AY54" s="269">
        <f t="shared" si="117"/>
        <v>89669.65</v>
      </c>
      <c r="AZ54" s="269">
        <f t="shared" si="118"/>
        <v>97195.45</v>
      </c>
      <c r="BA54" s="269">
        <f t="shared" si="119"/>
        <v>15514</v>
      </c>
      <c r="BB54" s="269">
        <f t="shared" si="120"/>
        <v>112709.45</v>
      </c>
      <c r="BC54" s="56">
        <v>179191.6</v>
      </c>
      <c r="BD54" s="56">
        <v>109585.83</v>
      </c>
      <c r="BE54" s="56">
        <f>BC54+BD54</f>
        <v>288777.43</v>
      </c>
      <c r="BF54" s="56">
        <v>50017.599999999999</v>
      </c>
      <c r="BG54" s="56"/>
      <c r="BH54" s="56">
        <f t="shared" si="122"/>
        <v>50017.599999999999</v>
      </c>
      <c r="BI54" s="56">
        <f t="shared" si="123"/>
        <v>338795.02999999997</v>
      </c>
      <c r="BJ54" s="59">
        <v>67</v>
      </c>
      <c r="BK54" s="59">
        <v>8</v>
      </c>
      <c r="BL54" s="59">
        <f t="shared" si="155"/>
        <v>75</v>
      </c>
      <c r="BM54" s="59">
        <v>2</v>
      </c>
      <c r="BN54" s="59"/>
      <c r="BO54" s="59">
        <f t="shared" si="156"/>
        <v>2</v>
      </c>
      <c r="BP54" s="56">
        <f t="shared" si="157"/>
        <v>77</v>
      </c>
      <c r="BQ54" s="59">
        <v>935</v>
      </c>
      <c r="BR54" s="59">
        <v>586</v>
      </c>
      <c r="BS54" s="59">
        <f t="shared" si="158"/>
        <v>1521</v>
      </c>
      <c r="BT54" s="59">
        <v>415</v>
      </c>
      <c r="BU54" s="59"/>
      <c r="BV54" s="59">
        <f>BT54+BU54</f>
        <v>415</v>
      </c>
      <c r="BW54" s="56">
        <f t="shared" si="129"/>
        <v>1936</v>
      </c>
      <c r="BX54" s="56">
        <f>BC54/BJ54</f>
        <v>2674.5014925373134</v>
      </c>
      <c r="BY54" s="56">
        <f t="shared" ref="BY54" si="168">BD54/BK54</f>
        <v>13698.22875</v>
      </c>
      <c r="BZ54" s="56">
        <f t="shared" si="132"/>
        <v>3850.3657333333331</v>
      </c>
      <c r="CA54" s="56">
        <f>BF54/BM54</f>
        <v>25008.799999999999</v>
      </c>
      <c r="CB54" s="56"/>
      <c r="CC54" s="56">
        <f>BH54/BO54</f>
        <v>25008.799999999999</v>
      </c>
      <c r="CD54" s="56">
        <f t="shared" si="136"/>
        <v>4399.9354545454544</v>
      </c>
      <c r="CE54" s="238"/>
      <c r="CF54" s="241"/>
      <c r="CG54" s="238"/>
      <c r="CH54" s="238"/>
      <c r="CI54" s="238"/>
      <c r="CJ54" s="238"/>
      <c r="CK54" s="241"/>
      <c r="CL54" s="241"/>
      <c r="CM54" s="241"/>
      <c r="CN54" s="233"/>
      <c r="CO54" s="233"/>
      <c r="CP54" s="233"/>
      <c r="CQ54" s="233"/>
      <c r="CR54" s="233"/>
      <c r="CS54" s="233"/>
      <c r="CT54" s="233"/>
      <c r="CU54" s="238">
        <f t="shared" si="91"/>
        <v>2674.5014925373134</v>
      </c>
      <c r="CV54" s="238">
        <f t="shared" si="92"/>
        <v>3850.3657333333331</v>
      </c>
      <c r="CW54" s="238">
        <f t="shared" si="93"/>
        <v>25008.799999999999</v>
      </c>
      <c r="CX54" s="238">
        <f t="shared" si="137"/>
        <v>4399.9354545454544</v>
      </c>
      <c r="CY54" s="238">
        <f t="shared" si="94"/>
        <v>179191.6</v>
      </c>
      <c r="CZ54" s="238">
        <f t="shared" si="95"/>
        <v>288777.43</v>
      </c>
      <c r="DA54" s="238">
        <f t="shared" si="96"/>
        <v>50017.599999999999</v>
      </c>
      <c r="DB54" s="238">
        <f t="shared" si="96"/>
        <v>338795.02999999997</v>
      </c>
      <c r="DC54" s="56">
        <v>186031.7</v>
      </c>
      <c r="DD54" s="56">
        <v>80925.19</v>
      </c>
      <c r="DE54" s="56">
        <f t="shared" si="138"/>
        <v>266956.89</v>
      </c>
      <c r="DF54" s="56">
        <v>34698.5</v>
      </c>
      <c r="DG54" s="56"/>
      <c r="DH54" s="56">
        <f t="shared" si="139"/>
        <v>34698.5</v>
      </c>
      <c r="DI54" s="56">
        <f t="shared" si="140"/>
        <v>301655.39</v>
      </c>
      <c r="DJ54" s="59">
        <v>68</v>
      </c>
      <c r="DK54" s="59">
        <v>9</v>
      </c>
      <c r="DL54" s="56">
        <f>DJ54+DK54</f>
        <v>77</v>
      </c>
      <c r="DM54" s="59">
        <v>1</v>
      </c>
      <c r="DN54" s="59"/>
      <c r="DO54" s="56">
        <f t="shared" si="161"/>
        <v>1</v>
      </c>
      <c r="DP54" s="56">
        <f t="shared" si="162"/>
        <v>78</v>
      </c>
      <c r="DQ54" s="59">
        <v>961</v>
      </c>
      <c r="DR54" s="59">
        <v>480</v>
      </c>
      <c r="DS54" s="56">
        <f t="shared" si="97"/>
        <v>1441</v>
      </c>
      <c r="DT54" s="59">
        <v>200</v>
      </c>
      <c r="DU54" s="59"/>
      <c r="DV54" s="56">
        <f>DT54+DU54</f>
        <v>200</v>
      </c>
      <c r="DW54" s="56">
        <f t="shared" si="144"/>
        <v>1641</v>
      </c>
      <c r="DX54" s="56">
        <f>DC54/DJ54</f>
        <v>2735.7602941176474</v>
      </c>
      <c r="DY54" s="56">
        <f t="shared" ref="DY54" si="169">DD54/DK54</f>
        <v>8991.6877777777772</v>
      </c>
      <c r="DZ54" s="56">
        <f t="shared" si="165"/>
        <v>3466.9725974025978</v>
      </c>
      <c r="EA54" s="56">
        <f>DF54/DM54</f>
        <v>34698.5</v>
      </c>
      <c r="EB54" s="56"/>
      <c r="EC54" s="56">
        <f>DH54/DO54</f>
        <v>34698.5</v>
      </c>
      <c r="ED54" s="56">
        <f t="shared" si="146"/>
        <v>3867.376794871795</v>
      </c>
      <c r="EE54" s="273"/>
      <c r="EF54" s="274"/>
      <c r="EG54" s="273"/>
      <c r="EH54" s="273"/>
      <c r="EI54" s="273"/>
      <c r="EJ54" s="273"/>
      <c r="EK54" s="274"/>
      <c r="EL54" s="274"/>
      <c r="EM54" s="274"/>
      <c r="EN54" s="231"/>
      <c r="EO54" s="231"/>
      <c r="EP54" s="231"/>
      <c r="EQ54" s="231"/>
      <c r="ER54" s="231"/>
      <c r="ES54" s="231"/>
      <c r="ET54" s="231"/>
      <c r="EU54" s="273">
        <f t="shared" si="100"/>
        <v>2735.7602941176474</v>
      </c>
      <c r="EV54" s="273">
        <f t="shared" si="101"/>
        <v>3466.9725974025978</v>
      </c>
      <c r="EW54" s="273">
        <f t="shared" si="102"/>
        <v>34698.5</v>
      </c>
      <c r="EX54" s="273">
        <f t="shared" si="147"/>
        <v>3867.376794871795</v>
      </c>
      <c r="EY54" s="273">
        <f t="shared" si="103"/>
        <v>186031.7</v>
      </c>
      <c r="EZ54" s="273">
        <f t="shared" si="104"/>
        <v>266956.89</v>
      </c>
      <c r="FA54" s="273">
        <f t="shared" si="105"/>
        <v>34698.5</v>
      </c>
      <c r="FB54" s="273">
        <f t="shared" si="105"/>
        <v>301655.39</v>
      </c>
      <c r="FC54" s="79"/>
      <c r="FD54" s="79"/>
      <c r="FE54" s="79"/>
      <c r="FF54" s="79"/>
      <c r="FG54" s="47"/>
      <c r="FH54" s="47"/>
      <c r="FI54" s="47"/>
      <c r="FJ54" s="47"/>
    </row>
    <row r="55" spans="1:166" x14ac:dyDescent="0.3">
      <c r="A55" s="48" t="s">
        <v>50</v>
      </c>
      <c r="B55" s="258" t="s">
        <v>19</v>
      </c>
      <c r="C55" s="53">
        <v>66575</v>
      </c>
      <c r="D55" s="53">
        <v>1876</v>
      </c>
      <c r="E55" s="53">
        <f t="shared" si="106"/>
        <v>68451</v>
      </c>
      <c r="F55" s="53"/>
      <c r="G55" s="53"/>
      <c r="H55" s="53">
        <f t="shared" si="86"/>
        <v>0</v>
      </c>
      <c r="I55" s="56">
        <f t="shared" si="107"/>
        <v>68451</v>
      </c>
      <c r="J55" s="252">
        <v>71</v>
      </c>
      <c r="K55" s="252">
        <v>2</v>
      </c>
      <c r="L55" s="252">
        <f t="shared" si="148"/>
        <v>73</v>
      </c>
      <c r="M55" s="252"/>
      <c r="N55" s="252"/>
      <c r="O55" s="252">
        <f t="shared" si="149"/>
        <v>0</v>
      </c>
      <c r="P55" s="56">
        <f t="shared" si="150"/>
        <v>73</v>
      </c>
      <c r="Q55" s="252">
        <v>875</v>
      </c>
      <c r="R55" s="252">
        <v>150</v>
      </c>
      <c r="S55" s="59">
        <f t="shared" si="151"/>
        <v>1025</v>
      </c>
      <c r="T55" s="252"/>
      <c r="U55" s="252"/>
      <c r="V55" s="256">
        <f t="shared" si="152"/>
        <v>0</v>
      </c>
      <c r="W55" s="56">
        <f t="shared" si="153"/>
        <v>1025</v>
      </c>
      <c r="X55" s="56">
        <f t="shared" si="163"/>
        <v>937.67605633802816</v>
      </c>
      <c r="Y55" s="56">
        <f>D55/K55</f>
        <v>938</v>
      </c>
      <c r="Z55" s="56">
        <f t="shared" si="164"/>
        <v>937.68493150684935</v>
      </c>
      <c r="AA55" s="56"/>
      <c r="AB55" s="56"/>
      <c r="AC55" s="56"/>
      <c r="AD55" s="56">
        <f t="shared" si="88"/>
        <v>937.68493150684935</v>
      </c>
      <c r="AE55" s="269"/>
      <c r="AF55" s="269"/>
      <c r="AG55" s="269"/>
      <c r="AH55" s="269"/>
      <c r="AI55" s="269"/>
      <c r="AJ55" s="269"/>
      <c r="AK55" s="267"/>
      <c r="AL55" s="267"/>
      <c r="AM55" s="267"/>
      <c r="AN55" s="269"/>
      <c r="AO55" s="267"/>
      <c r="AP55" s="267"/>
      <c r="AQ55" s="267"/>
      <c r="AR55" s="267"/>
      <c r="AS55" s="267"/>
      <c r="AT55" s="267"/>
      <c r="AU55" s="269">
        <f t="shared" si="114"/>
        <v>937.67605633802816</v>
      </c>
      <c r="AV55" s="269">
        <f t="shared" si="115"/>
        <v>937.68493150684935</v>
      </c>
      <c r="AW55" s="269">
        <f t="shared" si="89"/>
        <v>0</v>
      </c>
      <c r="AX55" s="269">
        <f t="shared" si="116"/>
        <v>937.68493150684935</v>
      </c>
      <c r="AY55" s="269">
        <f t="shared" si="117"/>
        <v>66575</v>
      </c>
      <c r="AZ55" s="269">
        <f t="shared" si="118"/>
        <v>68451</v>
      </c>
      <c r="BA55" s="269">
        <f t="shared" si="119"/>
        <v>0</v>
      </c>
      <c r="BB55" s="269">
        <f t="shared" si="120"/>
        <v>68451</v>
      </c>
      <c r="BC55" s="53">
        <v>91585</v>
      </c>
      <c r="BD55" s="53"/>
      <c r="BE55" s="79">
        <f t="shared" si="121"/>
        <v>91585</v>
      </c>
      <c r="BF55" s="53">
        <v>1189</v>
      </c>
      <c r="BG55" s="53"/>
      <c r="BH55" s="79">
        <f t="shared" si="122"/>
        <v>1189</v>
      </c>
      <c r="BI55" s="56">
        <f t="shared" si="123"/>
        <v>92774</v>
      </c>
      <c r="BJ55" s="252">
        <v>77</v>
      </c>
      <c r="BK55" s="252"/>
      <c r="BL55" s="252">
        <f t="shared" si="155"/>
        <v>77</v>
      </c>
      <c r="BM55" s="252">
        <v>1</v>
      </c>
      <c r="BN55" s="252"/>
      <c r="BO55" s="252">
        <f t="shared" si="156"/>
        <v>1</v>
      </c>
      <c r="BP55" s="56">
        <f t="shared" si="157"/>
        <v>78</v>
      </c>
      <c r="BQ55" s="252">
        <v>950</v>
      </c>
      <c r="BR55" s="252"/>
      <c r="BS55" s="76">
        <f t="shared" si="158"/>
        <v>950</v>
      </c>
      <c r="BT55" s="252">
        <v>170</v>
      </c>
      <c r="BU55" s="252"/>
      <c r="BV55" s="59">
        <f t="shared" si="159"/>
        <v>170</v>
      </c>
      <c r="BW55" s="56">
        <f t="shared" si="129"/>
        <v>1120</v>
      </c>
      <c r="BX55" s="56">
        <f t="shared" si="130"/>
        <v>1189.4155844155844</v>
      </c>
      <c r="BY55" s="56"/>
      <c r="BZ55" s="56">
        <f t="shared" si="132"/>
        <v>1189.4155844155844</v>
      </c>
      <c r="CA55" s="56">
        <f t="shared" si="133"/>
        <v>1189</v>
      </c>
      <c r="CB55" s="56"/>
      <c r="CC55" s="56">
        <f t="shared" si="135"/>
        <v>1189</v>
      </c>
      <c r="CD55" s="56">
        <f t="shared" si="136"/>
        <v>1189.4102564102564</v>
      </c>
      <c r="CE55" s="238"/>
      <c r="CF55" s="238"/>
      <c r="CG55" s="238"/>
      <c r="CH55" s="238"/>
      <c r="CI55" s="238"/>
      <c r="CJ55" s="238"/>
      <c r="CK55" s="233"/>
      <c r="CL55" s="233"/>
      <c r="CM55" s="233"/>
      <c r="CN55" s="238"/>
      <c r="CO55" s="233"/>
      <c r="CP55" s="233"/>
      <c r="CQ55" s="233"/>
      <c r="CR55" s="233"/>
      <c r="CS55" s="233"/>
      <c r="CT55" s="233"/>
      <c r="CU55" s="238">
        <f t="shared" si="91"/>
        <v>1189.4155844155844</v>
      </c>
      <c r="CV55" s="238">
        <f t="shared" si="92"/>
        <v>1189.4155844155844</v>
      </c>
      <c r="CW55" s="238">
        <f t="shared" si="93"/>
        <v>1189</v>
      </c>
      <c r="CX55" s="238">
        <f t="shared" si="137"/>
        <v>1189.4102564102564</v>
      </c>
      <c r="CY55" s="238">
        <f t="shared" si="94"/>
        <v>91585</v>
      </c>
      <c r="CZ55" s="238">
        <f t="shared" si="95"/>
        <v>91585</v>
      </c>
      <c r="DA55" s="238">
        <f t="shared" si="96"/>
        <v>1189</v>
      </c>
      <c r="DB55" s="238">
        <f t="shared" si="96"/>
        <v>92774</v>
      </c>
      <c r="DC55" s="53">
        <v>52835</v>
      </c>
      <c r="DD55" s="53"/>
      <c r="DE55" s="56">
        <f t="shared" si="138"/>
        <v>52835</v>
      </c>
      <c r="DF55" s="53"/>
      <c r="DG55" s="53"/>
      <c r="DH55" s="56">
        <f t="shared" si="139"/>
        <v>0</v>
      </c>
      <c r="DI55" s="56">
        <f t="shared" si="140"/>
        <v>52835</v>
      </c>
      <c r="DJ55" s="252">
        <v>73</v>
      </c>
      <c r="DK55" s="252"/>
      <c r="DL55" s="56">
        <f t="shared" si="160"/>
        <v>73</v>
      </c>
      <c r="DM55" s="252"/>
      <c r="DN55" s="252"/>
      <c r="DO55" s="56">
        <f t="shared" si="161"/>
        <v>0</v>
      </c>
      <c r="DP55" s="56">
        <f t="shared" si="162"/>
        <v>73</v>
      </c>
      <c r="DQ55" s="252">
        <v>865</v>
      </c>
      <c r="DR55" s="252"/>
      <c r="DS55" s="56">
        <f t="shared" si="97"/>
        <v>865</v>
      </c>
      <c r="DT55" s="252"/>
      <c r="DU55" s="252"/>
      <c r="DV55" s="56">
        <f t="shared" si="98"/>
        <v>0</v>
      </c>
      <c r="DW55" s="56">
        <f t="shared" si="144"/>
        <v>865</v>
      </c>
      <c r="DX55" s="56">
        <f t="shared" si="145"/>
        <v>723.76712328767121</v>
      </c>
      <c r="DY55" s="56"/>
      <c r="DZ55" s="56">
        <f t="shared" si="165"/>
        <v>723.76712328767121</v>
      </c>
      <c r="EA55" s="56"/>
      <c r="EB55" s="56"/>
      <c r="EC55" s="56"/>
      <c r="ED55" s="56">
        <f t="shared" si="146"/>
        <v>723.76712328767121</v>
      </c>
      <c r="EE55" s="273"/>
      <c r="EF55" s="273"/>
      <c r="EG55" s="273"/>
      <c r="EH55" s="273"/>
      <c r="EI55" s="273"/>
      <c r="EJ55" s="273"/>
      <c r="EK55" s="231"/>
      <c r="EL55" s="231"/>
      <c r="EM55" s="231"/>
      <c r="EN55" s="273"/>
      <c r="EO55" s="231"/>
      <c r="EP55" s="231"/>
      <c r="EQ55" s="231"/>
      <c r="ER55" s="231"/>
      <c r="ES55" s="231"/>
      <c r="ET55" s="231"/>
      <c r="EU55" s="273">
        <f t="shared" si="100"/>
        <v>723.76712328767121</v>
      </c>
      <c r="EV55" s="273">
        <f t="shared" si="101"/>
        <v>723.76712328767121</v>
      </c>
      <c r="EW55" s="273">
        <f t="shared" si="102"/>
        <v>0</v>
      </c>
      <c r="EX55" s="273">
        <f t="shared" si="147"/>
        <v>723.76712328767121</v>
      </c>
      <c r="EY55" s="273">
        <f t="shared" si="103"/>
        <v>52835</v>
      </c>
      <c r="EZ55" s="273">
        <f t="shared" si="104"/>
        <v>52835</v>
      </c>
      <c r="FA55" s="273">
        <f t="shared" si="105"/>
        <v>0</v>
      </c>
      <c r="FB55" s="273">
        <f t="shared" si="105"/>
        <v>52835</v>
      </c>
      <c r="FC55" s="79"/>
      <c r="FD55" s="79"/>
      <c r="FE55" s="79"/>
      <c r="FF55" s="79"/>
      <c r="FG55" s="47"/>
      <c r="FH55" s="47"/>
      <c r="FI55" s="47"/>
      <c r="FJ55" s="47"/>
    </row>
    <row r="56" spans="1:166" ht="28.8" x14ac:dyDescent="0.3">
      <c r="A56" s="48" t="s">
        <v>51</v>
      </c>
      <c r="B56" s="258" t="s">
        <v>20</v>
      </c>
      <c r="C56" s="53">
        <v>6280949.2699999996</v>
      </c>
      <c r="D56" s="53">
        <v>2400362.7799999998</v>
      </c>
      <c r="E56" s="53">
        <f t="shared" si="106"/>
        <v>8681312.0499999989</v>
      </c>
      <c r="F56" s="53">
        <v>360054.42</v>
      </c>
      <c r="G56" s="53"/>
      <c r="H56" s="53">
        <f t="shared" si="86"/>
        <v>360054.42</v>
      </c>
      <c r="I56" s="56">
        <f t="shared" si="107"/>
        <v>9041366.4699999988</v>
      </c>
      <c r="J56" s="252">
        <v>157</v>
      </c>
      <c r="K56" s="252">
        <v>60</v>
      </c>
      <c r="L56" s="252">
        <f t="shared" si="148"/>
        <v>217</v>
      </c>
      <c r="M56" s="252">
        <v>9</v>
      </c>
      <c r="N56" s="252"/>
      <c r="O56" s="252">
        <f t="shared" si="149"/>
        <v>9</v>
      </c>
      <c r="P56" s="56">
        <f t="shared" si="150"/>
        <v>226</v>
      </c>
      <c r="Q56" s="252">
        <v>2017.09</v>
      </c>
      <c r="R56" s="252">
        <v>4985.8999999999996</v>
      </c>
      <c r="S56" s="59">
        <f t="shared" si="151"/>
        <v>7002.99</v>
      </c>
      <c r="T56" s="252">
        <v>3836.84</v>
      </c>
      <c r="U56" s="252"/>
      <c r="V56" s="256">
        <f t="shared" si="152"/>
        <v>3836.84</v>
      </c>
      <c r="W56" s="56">
        <f t="shared" si="153"/>
        <v>10839.83</v>
      </c>
      <c r="X56" s="56">
        <f t="shared" si="163"/>
        <v>40006.046305732481</v>
      </c>
      <c r="Y56" s="56">
        <f>D56/K56</f>
        <v>40006.046333333332</v>
      </c>
      <c r="Z56" s="56">
        <f t="shared" si="164"/>
        <v>40006.046313364051</v>
      </c>
      <c r="AA56" s="56">
        <f>F56/M56</f>
        <v>40006.046666666662</v>
      </c>
      <c r="AB56" s="56"/>
      <c r="AC56" s="56">
        <f>H56/O56</f>
        <v>40006.046666666662</v>
      </c>
      <c r="AD56" s="56">
        <f t="shared" si="88"/>
        <v>40006.046327433622</v>
      </c>
      <c r="AE56" s="269"/>
      <c r="AF56" s="270"/>
      <c r="AG56" s="269"/>
      <c r="AH56" s="269"/>
      <c r="AI56" s="269"/>
      <c r="AJ56" s="269"/>
      <c r="AK56" s="270"/>
      <c r="AL56" s="270"/>
      <c r="AM56" s="270"/>
      <c r="AN56" s="267"/>
      <c r="AO56" s="267"/>
      <c r="AP56" s="267"/>
      <c r="AQ56" s="267"/>
      <c r="AR56" s="267"/>
      <c r="AS56" s="267"/>
      <c r="AT56" s="267"/>
      <c r="AU56" s="269">
        <f t="shared" si="114"/>
        <v>0</v>
      </c>
      <c r="AV56" s="269">
        <f t="shared" si="115"/>
        <v>0</v>
      </c>
      <c r="AW56" s="269">
        <f t="shared" si="89"/>
        <v>40006.046666666662</v>
      </c>
      <c r="AX56" s="269">
        <f t="shared" si="116"/>
        <v>0</v>
      </c>
      <c r="AY56" s="269">
        <f t="shared" si="117"/>
        <v>0</v>
      </c>
      <c r="AZ56" s="269">
        <f t="shared" si="118"/>
        <v>0</v>
      </c>
      <c r="BA56" s="269">
        <f t="shared" si="119"/>
        <v>360054.41999999993</v>
      </c>
      <c r="BB56" s="269">
        <f t="shared" si="120"/>
        <v>0</v>
      </c>
      <c r="BC56" s="53">
        <v>1806505.43</v>
      </c>
      <c r="BD56" s="53">
        <v>711923.32</v>
      </c>
      <c r="BE56" s="79">
        <f t="shared" si="121"/>
        <v>2518428.75</v>
      </c>
      <c r="BF56" s="53">
        <v>169081.79</v>
      </c>
      <c r="BG56" s="53"/>
      <c r="BH56" s="79">
        <f t="shared" si="122"/>
        <v>169081.79</v>
      </c>
      <c r="BI56" s="56">
        <f t="shared" si="123"/>
        <v>2687510.54</v>
      </c>
      <c r="BJ56" s="252">
        <v>203</v>
      </c>
      <c r="BK56" s="252">
        <v>83</v>
      </c>
      <c r="BL56" s="252">
        <f t="shared" si="155"/>
        <v>286</v>
      </c>
      <c r="BM56" s="252">
        <v>19</v>
      </c>
      <c r="BN56" s="252"/>
      <c r="BO56" s="252">
        <f t="shared" si="156"/>
        <v>19</v>
      </c>
      <c r="BP56" s="56">
        <f t="shared" si="157"/>
        <v>305</v>
      </c>
      <c r="BQ56" s="252">
        <v>2463.9499999999998</v>
      </c>
      <c r="BR56" s="252">
        <v>4369.84</v>
      </c>
      <c r="BS56" s="76">
        <f t="shared" si="158"/>
        <v>6833.79</v>
      </c>
      <c r="BT56" s="252">
        <v>8073</v>
      </c>
      <c r="BU56" s="252"/>
      <c r="BV56" s="59">
        <f t="shared" si="159"/>
        <v>8073</v>
      </c>
      <c r="BW56" s="56">
        <f t="shared" si="129"/>
        <v>14906.79</v>
      </c>
      <c r="BX56" s="56">
        <f t="shared" si="130"/>
        <v>8899.0415270935955</v>
      </c>
      <c r="BY56" s="56">
        <f t="shared" si="131"/>
        <v>8577.3893975903611</v>
      </c>
      <c r="BZ56" s="56">
        <f t="shared" si="132"/>
        <v>8805.6949300699307</v>
      </c>
      <c r="CA56" s="56">
        <f t="shared" si="133"/>
        <v>8899.0415789473682</v>
      </c>
      <c r="CB56" s="56"/>
      <c r="CC56" s="56">
        <f t="shared" si="135"/>
        <v>8899.0415789473682</v>
      </c>
      <c r="CD56" s="56">
        <f t="shared" si="136"/>
        <v>8811.5099672131146</v>
      </c>
      <c r="CE56" s="238"/>
      <c r="CF56" s="241"/>
      <c r="CG56" s="238"/>
      <c r="CH56" s="238"/>
      <c r="CI56" s="238"/>
      <c r="CJ56" s="238"/>
      <c r="CK56" s="241"/>
      <c r="CL56" s="241"/>
      <c r="CM56" s="241"/>
      <c r="CN56" s="233"/>
      <c r="CO56" s="233"/>
      <c r="CP56" s="233"/>
      <c r="CQ56" s="233"/>
      <c r="CR56" s="233"/>
      <c r="CS56" s="233"/>
      <c r="CT56" s="233"/>
      <c r="CU56" s="238">
        <f t="shared" si="91"/>
        <v>8899.0415270935955</v>
      </c>
      <c r="CV56" s="238">
        <f t="shared" si="92"/>
        <v>8805.6949300699307</v>
      </c>
      <c r="CW56" s="238">
        <f t="shared" si="93"/>
        <v>8899.0415789473682</v>
      </c>
      <c r="CX56" s="238">
        <f t="shared" si="137"/>
        <v>8811.5099672131146</v>
      </c>
      <c r="CY56" s="238">
        <f t="shared" si="94"/>
        <v>1806505.43</v>
      </c>
      <c r="CZ56" s="238">
        <f t="shared" si="95"/>
        <v>2518428.75</v>
      </c>
      <c r="DA56" s="238">
        <f t="shared" si="96"/>
        <v>169081.79</v>
      </c>
      <c r="DB56" s="238">
        <f t="shared" si="96"/>
        <v>2687510.54</v>
      </c>
      <c r="DC56" s="53">
        <v>2644993.0699999998</v>
      </c>
      <c r="DD56" s="53">
        <v>1080038.8400000001</v>
      </c>
      <c r="DE56" s="56">
        <f t="shared" si="138"/>
        <v>3725031.91</v>
      </c>
      <c r="DF56" s="53">
        <v>176332.87</v>
      </c>
      <c r="DG56" s="53"/>
      <c r="DH56" s="56">
        <f t="shared" si="139"/>
        <v>176332.87</v>
      </c>
      <c r="DI56" s="56">
        <f t="shared" si="140"/>
        <v>3901364.7800000003</v>
      </c>
      <c r="DJ56" s="252">
        <v>120</v>
      </c>
      <c r="DK56" s="252">
        <v>49</v>
      </c>
      <c r="DL56" s="56">
        <f t="shared" si="160"/>
        <v>169</v>
      </c>
      <c r="DM56" s="252">
        <v>8</v>
      </c>
      <c r="DN56" s="252"/>
      <c r="DO56" s="56">
        <f t="shared" si="161"/>
        <v>8</v>
      </c>
      <c r="DP56" s="56">
        <f t="shared" si="162"/>
        <v>177</v>
      </c>
      <c r="DQ56" s="252">
        <v>1570.2</v>
      </c>
      <c r="DR56" s="252">
        <v>3752</v>
      </c>
      <c r="DS56" s="56">
        <f t="shared" si="97"/>
        <v>5322.2</v>
      </c>
      <c r="DT56" s="252">
        <v>3877</v>
      </c>
      <c r="DU56" s="252"/>
      <c r="DV56" s="56">
        <f t="shared" si="98"/>
        <v>3877</v>
      </c>
      <c r="DW56" s="56">
        <f t="shared" si="144"/>
        <v>9199.2000000000007</v>
      </c>
      <c r="DX56" s="56">
        <f t="shared" si="145"/>
        <v>22041.608916666664</v>
      </c>
      <c r="DY56" s="56">
        <f>DD56/DK56</f>
        <v>22041.608979591838</v>
      </c>
      <c r="DZ56" s="56">
        <f t="shared" si="165"/>
        <v>22041.608934911244</v>
      </c>
      <c r="EA56" s="56">
        <f>DF56/DM56</f>
        <v>22041.608749999999</v>
      </c>
      <c r="EB56" s="56"/>
      <c r="EC56" s="56">
        <f>DH56/DO56</f>
        <v>22041.608749999999</v>
      </c>
      <c r="ED56" s="56">
        <f t="shared" si="146"/>
        <v>22041.608926553672</v>
      </c>
      <c r="EE56" s="273"/>
      <c r="EF56" s="274"/>
      <c r="EG56" s="273"/>
      <c r="EH56" s="273"/>
      <c r="EI56" s="273"/>
      <c r="EJ56" s="273"/>
      <c r="EK56" s="274"/>
      <c r="EL56" s="274"/>
      <c r="EM56" s="274"/>
      <c r="EN56" s="231"/>
      <c r="EO56" s="231"/>
      <c r="EP56" s="231"/>
      <c r="EQ56" s="231"/>
      <c r="ER56" s="231"/>
      <c r="ES56" s="231"/>
      <c r="ET56" s="231"/>
      <c r="EU56" s="273">
        <f t="shared" si="100"/>
        <v>22041.608916666664</v>
      </c>
      <c r="EV56" s="273">
        <f t="shared" si="101"/>
        <v>22041.608934911244</v>
      </c>
      <c r="EW56" s="273">
        <f t="shared" si="102"/>
        <v>22041.608749999999</v>
      </c>
      <c r="EX56" s="273">
        <f t="shared" si="147"/>
        <v>22041.608926553672</v>
      </c>
      <c r="EY56" s="273">
        <f t="shared" si="103"/>
        <v>2644993.0699999998</v>
      </c>
      <c r="EZ56" s="273">
        <f t="shared" si="104"/>
        <v>3725031.91</v>
      </c>
      <c r="FA56" s="273">
        <f t="shared" si="105"/>
        <v>176332.87</v>
      </c>
      <c r="FB56" s="273">
        <f t="shared" si="105"/>
        <v>3901364.78</v>
      </c>
      <c r="FC56" s="79"/>
      <c r="FD56" s="79"/>
      <c r="FE56" s="79"/>
      <c r="FF56" s="79"/>
      <c r="FG56" s="47"/>
      <c r="FH56" s="47"/>
      <c r="FI56" s="47"/>
      <c r="FJ56" s="47"/>
    </row>
    <row r="57" spans="1:166" ht="28.8" x14ac:dyDescent="0.3">
      <c r="A57" s="48" t="s">
        <v>52</v>
      </c>
      <c r="B57" s="258" t="s">
        <v>21</v>
      </c>
      <c r="C57" s="53">
        <v>309016</v>
      </c>
      <c r="D57" s="53">
        <v>36594</v>
      </c>
      <c r="E57" s="53">
        <f t="shared" si="106"/>
        <v>345610</v>
      </c>
      <c r="F57" s="53"/>
      <c r="G57" s="53"/>
      <c r="H57" s="53">
        <f t="shared" si="86"/>
        <v>0</v>
      </c>
      <c r="I57" s="56">
        <f t="shared" si="107"/>
        <v>345610</v>
      </c>
      <c r="J57" s="252">
        <v>76</v>
      </c>
      <c r="K57" s="252">
        <v>9</v>
      </c>
      <c r="L57" s="252">
        <f t="shared" si="148"/>
        <v>85</v>
      </c>
      <c r="M57" s="252"/>
      <c r="N57" s="252"/>
      <c r="O57" s="252">
        <f t="shared" si="149"/>
        <v>0</v>
      </c>
      <c r="P57" s="56">
        <f t="shared" si="150"/>
        <v>85</v>
      </c>
      <c r="Q57" s="252">
        <v>851</v>
      </c>
      <c r="R57" s="252">
        <v>449</v>
      </c>
      <c r="S57" s="59">
        <f t="shared" si="151"/>
        <v>1300</v>
      </c>
      <c r="T57" s="252"/>
      <c r="U57" s="252"/>
      <c r="V57" s="256">
        <f t="shared" si="152"/>
        <v>0</v>
      </c>
      <c r="W57" s="56">
        <f t="shared" si="153"/>
        <v>1300</v>
      </c>
      <c r="X57" s="56">
        <f t="shared" si="163"/>
        <v>4066</v>
      </c>
      <c r="Y57" s="56">
        <f>D57/K57</f>
        <v>4066</v>
      </c>
      <c r="Z57" s="56">
        <f t="shared" si="164"/>
        <v>4066</v>
      </c>
      <c r="AA57" s="56"/>
      <c r="AB57" s="56"/>
      <c r="AC57" s="56"/>
      <c r="AD57" s="56">
        <f t="shared" si="88"/>
        <v>4066</v>
      </c>
      <c r="AE57" s="269"/>
      <c r="AF57" s="269"/>
      <c r="AG57" s="269"/>
      <c r="AH57" s="269"/>
      <c r="AI57" s="269"/>
      <c r="AJ57" s="269"/>
      <c r="AK57" s="267"/>
      <c r="AL57" s="267"/>
      <c r="AM57" s="267"/>
      <c r="AN57" s="269"/>
      <c r="AO57" s="267"/>
      <c r="AP57" s="267"/>
      <c r="AQ57" s="267"/>
      <c r="AR57" s="267"/>
      <c r="AS57" s="267"/>
      <c r="AT57" s="267"/>
      <c r="AU57" s="269">
        <f t="shared" si="114"/>
        <v>4066</v>
      </c>
      <c r="AV57" s="269">
        <f t="shared" si="115"/>
        <v>4066</v>
      </c>
      <c r="AW57" s="269">
        <f t="shared" si="89"/>
        <v>0</v>
      </c>
      <c r="AX57" s="269">
        <f t="shared" si="116"/>
        <v>4066</v>
      </c>
      <c r="AY57" s="269">
        <f t="shared" si="117"/>
        <v>309016</v>
      </c>
      <c r="AZ57" s="269">
        <f t="shared" si="118"/>
        <v>345610</v>
      </c>
      <c r="BA57" s="269">
        <f t="shared" si="119"/>
        <v>0</v>
      </c>
      <c r="BB57" s="269">
        <f t="shared" si="120"/>
        <v>345610</v>
      </c>
      <c r="BC57" s="53">
        <v>313082</v>
      </c>
      <c r="BD57" s="53">
        <v>28462</v>
      </c>
      <c r="BE57" s="79">
        <f t="shared" si="121"/>
        <v>341544</v>
      </c>
      <c r="BF57" s="53">
        <v>4066</v>
      </c>
      <c r="BG57" s="53"/>
      <c r="BH57" s="79">
        <f t="shared" si="122"/>
        <v>4066</v>
      </c>
      <c r="BI57" s="56">
        <f t="shared" si="123"/>
        <v>345610</v>
      </c>
      <c r="BJ57" s="252">
        <v>77</v>
      </c>
      <c r="BK57" s="252">
        <v>7</v>
      </c>
      <c r="BL57" s="252">
        <f t="shared" si="155"/>
        <v>84</v>
      </c>
      <c r="BM57" s="252">
        <v>1</v>
      </c>
      <c r="BN57" s="252"/>
      <c r="BO57" s="252">
        <f t="shared" si="156"/>
        <v>1</v>
      </c>
      <c r="BP57" s="56">
        <f t="shared" si="157"/>
        <v>85</v>
      </c>
      <c r="BQ57" s="252">
        <v>720</v>
      </c>
      <c r="BR57" s="252">
        <v>410</v>
      </c>
      <c r="BS57" s="76">
        <f t="shared" si="158"/>
        <v>1130</v>
      </c>
      <c r="BT57" s="252">
        <v>500</v>
      </c>
      <c r="BU57" s="252"/>
      <c r="BV57" s="59">
        <f t="shared" si="159"/>
        <v>500</v>
      </c>
      <c r="BW57" s="56">
        <f t="shared" si="129"/>
        <v>1630</v>
      </c>
      <c r="BX57" s="56">
        <f t="shared" si="130"/>
        <v>4066</v>
      </c>
      <c r="BY57" s="56">
        <f t="shared" si="131"/>
        <v>4066</v>
      </c>
      <c r="BZ57" s="56">
        <f t="shared" si="132"/>
        <v>4066</v>
      </c>
      <c r="CA57" s="56">
        <f t="shared" si="133"/>
        <v>4066</v>
      </c>
      <c r="CB57" s="56"/>
      <c r="CC57" s="56">
        <f t="shared" si="135"/>
        <v>4066</v>
      </c>
      <c r="CD57" s="56">
        <f t="shared" si="136"/>
        <v>4066</v>
      </c>
      <c r="CE57" s="238"/>
      <c r="CF57" s="238"/>
      <c r="CG57" s="238"/>
      <c r="CH57" s="238"/>
      <c r="CI57" s="238"/>
      <c r="CJ57" s="238"/>
      <c r="CK57" s="233"/>
      <c r="CL57" s="233"/>
      <c r="CM57" s="233"/>
      <c r="CN57" s="238"/>
      <c r="CO57" s="233"/>
      <c r="CP57" s="233"/>
      <c r="CQ57" s="233"/>
      <c r="CR57" s="233"/>
      <c r="CS57" s="233"/>
      <c r="CT57" s="233"/>
      <c r="CU57" s="238">
        <f t="shared" si="91"/>
        <v>4066</v>
      </c>
      <c r="CV57" s="238">
        <f t="shared" si="92"/>
        <v>4066</v>
      </c>
      <c r="CW57" s="238">
        <f t="shared" si="93"/>
        <v>4066</v>
      </c>
      <c r="CX57" s="238">
        <f t="shared" si="137"/>
        <v>4066</v>
      </c>
      <c r="CY57" s="238">
        <f t="shared" si="94"/>
        <v>313082</v>
      </c>
      <c r="CZ57" s="238">
        <f t="shared" si="95"/>
        <v>341544</v>
      </c>
      <c r="DA57" s="238">
        <f t="shared" si="96"/>
        <v>4066</v>
      </c>
      <c r="DB57" s="238">
        <f t="shared" si="96"/>
        <v>345610</v>
      </c>
      <c r="DC57" s="53">
        <v>236400</v>
      </c>
      <c r="DD57" s="53"/>
      <c r="DE57" s="56">
        <f t="shared" si="138"/>
        <v>236400</v>
      </c>
      <c r="DF57" s="53"/>
      <c r="DG57" s="53"/>
      <c r="DH57" s="56">
        <f t="shared" si="139"/>
        <v>0</v>
      </c>
      <c r="DI57" s="56">
        <f t="shared" si="140"/>
        <v>236400</v>
      </c>
      <c r="DJ57" s="252">
        <v>48</v>
      </c>
      <c r="DK57" s="252"/>
      <c r="DL57" s="56">
        <f t="shared" si="160"/>
        <v>48</v>
      </c>
      <c r="DM57" s="252"/>
      <c r="DN57" s="252"/>
      <c r="DO57" s="56">
        <f t="shared" si="161"/>
        <v>0</v>
      </c>
      <c r="DP57" s="56">
        <f t="shared" si="162"/>
        <v>48</v>
      </c>
      <c r="DQ57" s="252">
        <v>424</v>
      </c>
      <c r="DR57" s="252"/>
      <c r="DS57" s="56">
        <f t="shared" si="97"/>
        <v>424</v>
      </c>
      <c r="DT57" s="252"/>
      <c r="DU57" s="252"/>
      <c r="DV57" s="56">
        <f t="shared" si="98"/>
        <v>0</v>
      </c>
      <c r="DW57" s="56">
        <f t="shared" si="144"/>
        <v>424</v>
      </c>
      <c r="DX57" s="56">
        <f t="shared" si="145"/>
        <v>4925</v>
      </c>
      <c r="DY57" s="56"/>
      <c r="DZ57" s="56">
        <f t="shared" si="165"/>
        <v>4925</v>
      </c>
      <c r="EA57" s="56"/>
      <c r="EB57" s="56"/>
      <c r="EC57" s="56"/>
      <c r="ED57" s="56">
        <f t="shared" si="146"/>
        <v>4925</v>
      </c>
      <c r="EE57" s="273"/>
      <c r="EF57" s="273"/>
      <c r="EG57" s="273"/>
      <c r="EH57" s="273"/>
      <c r="EI57" s="273"/>
      <c r="EJ57" s="273"/>
      <c r="EK57" s="231"/>
      <c r="EL57" s="231"/>
      <c r="EM57" s="231"/>
      <c r="EN57" s="273"/>
      <c r="EO57" s="231"/>
      <c r="EP57" s="231"/>
      <c r="EQ57" s="231"/>
      <c r="ER57" s="231"/>
      <c r="ES57" s="231"/>
      <c r="ET57" s="231"/>
      <c r="EU57" s="273">
        <f t="shared" si="100"/>
        <v>4925</v>
      </c>
      <c r="EV57" s="273">
        <f t="shared" si="101"/>
        <v>4925</v>
      </c>
      <c r="EW57" s="273">
        <f t="shared" si="102"/>
        <v>0</v>
      </c>
      <c r="EX57" s="273">
        <f t="shared" si="147"/>
        <v>4925</v>
      </c>
      <c r="EY57" s="273">
        <f t="shared" si="103"/>
        <v>236400</v>
      </c>
      <c r="EZ57" s="273">
        <f t="shared" si="104"/>
        <v>236400</v>
      </c>
      <c r="FA57" s="273">
        <f t="shared" si="105"/>
        <v>0</v>
      </c>
      <c r="FB57" s="273">
        <f t="shared" si="105"/>
        <v>236400</v>
      </c>
      <c r="FC57" s="79"/>
      <c r="FD57" s="79"/>
      <c r="FE57" s="79"/>
      <c r="FF57" s="79"/>
      <c r="FG57" s="47"/>
      <c r="FH57" s="47"/>
      <c r="FI57" s="47"/>
      <c r="FJ57" s="47"/>
    </row>
    <row r="58" spans="1:166" x14ac:dyDescent="0.3">
      <c r="A58" s="48" t="s">
        <v>53</v>
      </c>
      <c r="B58" s="258" t="s">
        <v>22</v>
      </c>
      <c r="C58" s="53">
        <v>1409400</v>
      </c>
      <c r="D58" s="53">
        <v>247950</v>
      </c>
      <c r="E58" s="53">
        <f t="shared" si="106"/>
        <v>1657350</v>
      </c>
      <c r="F58" s="53">
        <v>52200</v>
      </c>
      <c r="G58" s="53"/>
      <c r="H58" s="53">
        <f t="shared" si="86"/>
        <v>52200</v>
      </c>
      <c r="I58" s="56">
        <f t="shared" si="107"/>
        <v>1709550</v>
      </c>
      <c r="J58" s="252">
        <v>108</v>
      </c>
      <c r="K58" s="252">
        <v>19</v>
      </c>
      <c r="L58" s="252">
        <f t="shared" si="148"/>
        <v>127</v>
      </c>
      <c r="M58" s="252">
        <v>4</v>
      </c>
      <c r="N58" s="252"/>
      <c r="O58" s="252">
        <f t="shared" si="149"/>
        <v>4</v>
      </c>
      <c r="P58" s="56">
        <f t="shared" si="150"/>
        <v>131</v>
      </c>
      <c r="Q58" s="252">
        <v>1556</v>
      </c>
      <c r="R58" s="252">
        <v>868</v>
      </c>
      <c r="S58" s="59">
        <f t="shared" si="151"/>
        <v>2424</v>
      </c>
      <c r="T58" s="252">
        <v>984</v>
      </c>
      <c r="U58" s="252"/>
      <c r="V58" s="256">
        <f t="shared" si="152"/>
        <v>984</v>
      </c>
      <c r="W58" s="56">
        <f t="shared" si="153"/>
        <v>3408</v>
      </c>
      <c r="X58" s="56">
        <f t="shared" si="163"/>
        <v>13050</v>
      </c>
      <c r="Y58" s="56">
        <f>D58/K58</f>
        <v>13050</v>
      </c>
      <c r="Z58" s="56">
        <f t="shared" si="164"/>
        <v>13050</v>
      </c>
      <c r="AA58" s="56">
        <f>F58/M58</f>
        <v>13050</v>
      </c>
      <c r="AB58" s="56"/>
      <c r="AC58" s="56">
        <f>H58/O58</f>
        <v>13050</v>
      </c>
      <c r="AD58" s="56">
        <f t="shared" si="88"/>
        <v>13050</v>
      </c>
      <c r="AE58" s="269"/>
      <c r="AF58" s="269"/>
      <c r="AG58" s="269"/>
      <c r="AH58" s="269"/>
      <c r="AI58" s="269"/>
      <c r="AJ58" s="269"/>
      <c r="AK58" s="267"/>
      <c r="AL58" s="267"/>
      <c r="AM58" s="267"/>
      <c r="AN58" s="269"/>
      <c r="AO58" s="267"/>
      <c r="AP58" s="267"/>
      <c r="AQ58" s="267"/>
      <c r="AR58" s="267"/>
      <c r="AS58" s="267"/>
      <c r="AT58" s="267"/>
      <c r="AU58" s="269">
        <f t="shared" si="114"/>
        <v>13050</v>
      </c>
      <c r="AV58" s="269">
        <f t="shared" si="115"/>
        <v>13050</v>
      </c>
      <c r="AW58" s="269">
        <f t="shared" si="89"/>
        <v>13050</v>
      </c>
      <c r="AX58" s="269">
        <f t="shared" si="116"/>
        <v>13050</v>
      </c>
      <c r="AY58" s="269">
        <f t="shared" si="117"/>
        <v>1409400</v>
      </c>
      <c r="AZ58" s="269">
        <f t="shared" si="118"/>
        <v>1657350</v>
      </c>
      <c r="BA58" s="269">
        <f t="shared" si="119"/>
        <v>52200</v>
      </c>
      <c r="BB58" s="269">
        <f t="shared" si="120"/>
        <v>1709550</v>
      </c>
      <c r="BC58" s="53">
        <v>1288790.5</v>
      </c>
      <c r="BD58" s="53">
        <v>132865</v>
      </c>
      <c r="BE58" s="79">
        <f t="shared" si="121"/>
        <v>1421655.5</v>
      </c>
      <c r="BF58" s="53">
        <v>26573</v>
      </c>
      <c r="BG58" s="53"/>
      <c r="BH58" s="79">
        <f t="shared" si="122"/>
        <v>26573</v>
      </c>
      <c r="BI58" s="56">
        <f t="shared" si="123"/>
        <v>1448228.5</v>
      </c>
      <c r="BJ58" s="252">
        <v>97</v>
      </c>
      <c r="BK58" s="252">
        <v>10</v>
      </c>
      <c r="BL58" s="252">
        <f t="shared" si="155"/>
        <v>107</v>
      </c>
      <c r="BM58" s="252">
        <v>2</v>
      </c>
      <c r="BN58" s="252"/>
      <c r="BO58" s="252">
        <f t="shared" si="156"/>
        <v>2</v>
      </c>
      <c r="BP58" s="56">
        <f t="shared" si="157"/>
        <v>109</v>
      </c>
      <c r="BQ58" s="252">
        <v>1410</v>
      </c>
      <c r="BR58" s="252">
        <v>721</v>
      </c>
      <c r="BS58" s="76">
        <f t="shared" si="158"/>
        <v>2131</v>
      </c>
      <c r="BT58" s="252">
        <v>440</v>
      </c>
      <c r="BU58" s="252"/>
      <c r="BV58" s="59">
        <f t="shared" si="159"/>
        <v>440</v>
      </c>
      <c r="BW58" s="56">
        <f t="shared" si="129"/>
        <v>2571</v>
      </c>
      <c r="BX58" s="56">
        <f t="shared" si="130"/>
        <v>13286.5</v>
      </c>
      <c r="BY58" s="56">
        <f t="shared" si="131"/>
        <v>13286.5</v>
      </c>
      <c r="BZ58" s="56">
        <f t="shared" si="132"/>
        <v>13286.5</v>
      </c>
      <c r="CA58" s="56">
        <f t="shared" si="133"/>
        <v>13286.5</v>
      </c>
      <c r="CB58" s="56"/>
      <c r="CC58" s="56">
        <f t="shared" si="135"/>
        <v>13286.5</v>
      </c>
      <c r="CD58" s="56">
        <f t="shared" si="136"/>
        <v>13286.5</v>
      </c>
      <c r="CE58" s="238"/>
      <c r="CF58" s="238"/>
      <c r="CG58" s="238"/>
      <c r="CH58" s="238"/>
      <c r="CI58" s="238"/>
      <c r="CJ58" s="238"/>
      <c r="CK58" s="233"/>
      <c r="CL58" s="233"/>
      <c r="CM58" s="233"/>
      <c r="CN58" s="238"/>
      <c r="CO58" s="233"/>
      <c r="CP58" s="233"/>
      <c r="CQ58" s="233"/>
      <c r="CR58" s="233"/>
      <c r="CS58" s="233"/>
      <c r="CT58" s="233"/>
      <c r="CU58" s="238">
        <f t="shared" si="91"/>
        <v>13286.5</v>
      </c>
      <c r="CV58" s="238">
        <f t="shared" si="92"/>
        <v>13286.5</v>
      </c>
      <c r="CW58" s="238">
        <f t="shared" si="93"/>
        <v>13286.5</v>
      </c>
      <c r="CX58" s="238">
        <f t="shared" si="137"/>
        <v>13286.5</v>
      </c>
      <c r="CY58" s="238">
        <f t="shared" si="94"/>
        <v>1288790.5</v>
      </c>
      <c r="CZ58" s="238">
        <f t="shared" si="95"/>
        <v>1421655.5</v>
      </c>
      <c r="DA58" s="238">
        <f t="shared" si="96"/>
        <v>26573</v>
      </c>
      <c r="DB58" s="238">
        <f t="shared" si="96"/>
        <v>1448228.5</v>
      </c>
      <c r="DC58" s="53">
        <v>1692400</v>
      </c>
      <c r="DD58" s="53">
        <v>135392</v>
      </c>
      <c r="DE58" s="56">
        <f t="shared" si="138"/>
        <v>1827792</v>
      </c>
      <c r="DF58" s="53">
        <v>13539.2</v>
      </c>
      <c r="DG58" s="53"/>
      <c r="DH58" s="56">
        <f t="shared" si="139"/>
        <v>13539.2</v>
      </c>
      <c r="DI58" s="56">
        <f t="shared" si="140"/>
        <v>1841331.2</v>
      </c>
      <c r="DJ58" s="252">
        <v>125</v>
      </c>
      <c r="DK58" s="252">
        <v>10</v>
      </c>
      <c r="DL58" s="56">
        <f t="shared" si="160"/>
        <v>135</v>
      </c>
      <c r="DM58" s="252">
        <v>1</v>
      </c>
      <c r="DN58" s="252"/>
      <c r="DO58" s="56">
        <f t="shared" si="161"/>
        <v>1</v>
      </c>
      <c r="DP58" s="56">
        <f t="shared" si="162"/>
        <v>136</v>
      </c>
      <c r="DQ58" s="252">
        <v>1739</v>
      </c>
      <c r="DR58" s="252">
        <v>605</v>
      </c>
      <c r="DS58" s="56">
        <f t="shared" si="97"/>
        <v>2344</v>
      </c>
      <c r="DT58" s="252">
        <v>400</v>
      </c>
      <c r="DU58" s="252"/>
      <c r="DV58" s="56">
        <f t="shared" si="98"/>
        <v>400</v>
      </c>
      <c r="DW58" s="56">
        <f t="shared" si="144"/>
        <v>2744</v>
      </c>
      <c r="DX58" s="56">
        <f t="shared" si="145"/>
        <v>13539.2</v>
      </c>
      <c r="DY58" s="56">
        <f>DD58/DK58</f>
        <v>13539.2</v>
      </c>
      <c r="DZ58" s="56">
        <f t="shared" si="165"/>
        <v>13539.2</v>
      </c>
      <c r="EA58" s="56">
        <f>DF58/DM58</f>
        <v>13539.2</v>
      </c>
      <c r="EB58" s="56"/>
      <c r="EC58" s="56">
        <f>DH58/DO58</f>
        <v>13539.2</v>
      </c>
      <c r="ED58" s="56">
        <f t="shared" si="146"/>
        <v>13539.199999999999</v>
      </c>
      <c r="EE58" s="273"/>
      <c r="EF58" s="273"/>
      <c r="EG58" s="273"/>
      <c r="EH58" s="273"/>
      <c r="EI58" s="273"/>
      <c r="EJ58" s="273"/>
      <c r="EK58" s="231"/>
      <c r="EL58" s="231"/>
      <c r="EM58" s="231"/>
      <c r="EN58" s="273"/>
      <c r="EO58" s="231"/>
      <c r="EP58" s="231"/>
      <c r="EQ58" s="231"/>
      <c r="ER58" s="231"/>
      <c r="ES58" s="231"/>
      <c r="ET58" s="231"/>
      <c r="EU58" s="273">
        <f t="shared" si="100"/>
        <v>13539.2</v>
      </c>
      <c r="EV58" s="273">
        <f t="shared" si="101"/>
        <v>13539.2</v>
      </c>
      <c r="EW58" s="273">
        <f t="shared" si="102"/>
        <v>13539.2</v>
      </c>
      <c r="EX58" s="273">
        <f t="shared" si="147"/>
        <v>13539.199999999999</v>
      </c>
      <c r="EY58" s="273">
        <f t="shared" si="103"/>
        <v>1692400</v>
      </c>
      <c r="EZ58" s="273">
        <f t="shared" si="104"/>
        <v>1827792</v>
      </c>
      <c r="FA58" s="273">
        <f t="shared" si="105"/>
        <v>13539.2</v>
      </c>
      <c r="FB58" s="273">
        <f t="shared" si="105"/>
        <v>1841331.2</v>
      </c>
      <c r="FC58" s="79"/>
      <c r="FD58" s="79"/>
      <c r="FE58" s="79"/>
      <c r="FF58" s="79"/>
      <c r="FG58" s="47"/>
      <c r="FH58" s="47"/>
      <c r="FI58" s="47"/>
      <c r="FJ58" s="47"/>
    </row>
    <row r="59" spans="1:166" x14ac:dyDescent="0.3">
      <c r="A59" s="48" t="s">
        <v>54</v>
      </c>
      <c r="B59" s="258" t="s">
        <v>23</v>
      </c>
      <c r="C59" s="53">
        <v>4803527.3</v>
      </c>
      <c r="D59" s="53">
        <v>0</v>
      </c>
      <c r="E59" s="53">
        <f t="shared" si="106"/>
        <v>4803527.3</v>
      </c>
      <c r="F59" s="53">
        <v>0</v>
      </c>
      <c r="G59" s="53">
        <v>0</v>
      </c>
      <c r="H59" s="53">
        <f t="shared" si="86"/>
        <v>0</v>
      </c>
      <c r="I59" s="56">
        <f t="shared" si="107"/>
        <v>4803527.3</v>
      </c>
      <c r="J59" s="252">
        <v>296</v>
      </c>
      <c r="K59" s="252">
        <v>0</v>
      </c>
      <c r="L59" s="252">
        <f t="shared" si="148"/>
        <v>296</v>
      </c>
      <c r="M59" s="252">
        <v>0</v>
      </c>
      <c r="N59" s="252">
        <v>0</v>
      </c>
      <c r="O59" s="252">
        <f t="shared" si="149"/>
        <v>0</v>
      </c>
      <c r="P59" s="56">
        <f t="shared" si="150"/>
        <v>296</v>
      </c>
      <c r="Q59" s="252">
        <v>6305</v>
      </c>
      <c r="R59" s="252">
        <v>0</v>
      </c>
      <c r="S59" s="59">
        <f t="shared" si="151"/>
        <v>6305</v>
      </c>
      <c r="T59" s="252">
        <v>0</v>
      </c>
      <c r="U59" s="252">
        <v>0</v>
      </c>
      <c r="V59" s="256">
        <f t="shared" si="152"/>
        <v>0</v>
      </c>
      <c r="W59" s="56">
        <f t="shared" si="153"/>
        <v>6305</v>
      </c>
      <c r="X59" s="56">
        <f t="shared" si="163"/>
        <v>16228.132770270269</v>
      </c>
      <c r="Y59" s="56"/>
      <c r="Z59" s="56">
        <f t="shared" si="164"/>
        <v>16228.132770270269</v>
      </c>
      <c r="AA59" s="56"/>
      <c r="AB59" s="56"/>
      <c r="AC59" s="56"/>
      <c r="AD59" s="56">
        <f t="shared" si="88"/>
        <v>16228.132770270269</v>
      </c>
      <c r="AE59" s="269"/>
      <c r="AF59" s="270"/>
      <c r="AG59" s="269"/>
      <c r="AH59" s="269"/>
      <c r="AI59" s="269"/>
      <c r="AJ59" s="269"/>
      <c r="AK59" s="270"/>
      <c r="AL59" s="270"/>
      <c r="AM59" s="270"/>
      <c r="AN59" s="267"/>
      <c r="AO59" s="267"/>
      <c r="AP59" s="267"/>
      <c r="AQ59" s="267"/>
      <c r="AR59" s="267"/>
      <c r="AS59" s="267"/>
      <c r="AT59" s="267"/>
      <c r="AU59" s="269">
        <f t="shared" si="114"/>
        <v>16228.132770270269</v>
      </c>
      <c r="AV59" s="269">
        <f t="shared" si="115"/>
        <v>16228.132770270269</v>
      </c>
      <c r="AW59" s="269">
        <f t="shared" si="89"/>
        <v>0</v>
      </c>
      <c r="AX59" s="269">
        <f t="shared" si="116"/>
        <v>16228.132770270269</v>
      </c>
      <c r="AY59" s="269">
        <f t="shared" si="117"/>
        <v>4803527.3</v>
      </c>
      <c r="AZ59" s="269">
        <f t="shared" si="118"/>
        <v>4803527.3</v>
      </c>
      <c r="BA59" s="269">
        <f t="shared" si="119"/>
        <v>0</v>
      </c>
      <c r="BB59" s="269">
        <f t="shared" si="120"/>
        <v>4803527.3</v>
      </c>
      <c r="BC59" s="53">
        <v>4123498.52</v>
      </c>
      <c r="BD59" s="53">
        <v>0</v>
      </c>
      <c r="BE59" s="79">
        <f t="shared" si="121"/>
        <v>4123498.52</v>
      </c>
      <c r="BF59" s="53">
        <v>0</v>
      </c>
      <c r="BG59" s="53">
        <v>0</v>
      </c>
      <c r="BH59" s="79">
        <f t="shared" si="122"/>
        <v>0</v>
      </c>
      <c r="BI59" s="56">
        <f t="shared" si="123"/>
        <v>4123498.52</v>
      </c>
      <c r="BJ59" s="252">
        <v>305</v>
      </c>
      <c r="BK59" s="252">
        <v>0</v>
      </c>
      <c r="BL59" s="252">
        <f t="shared" si="155"/>
        <v>305</v>
      </c>
      <c r="BM59" s="252">
        <v>0</v>
      </c>
      <c r="BN59" s="252">
        <v>0</v>
      </c>
      <c r="BO59" s="252">
        <f t="shared" si="156"/>
        <v>0</v>
      </c>
      <c r="BP59" s="56">
        <f t="shared" si="157"/>
        <v>305</v>
      </c>
      <c r="BQ59" s="252">
        <v>5878.2</v>
      </c>
      <c r="BR59" s="252">
        <v>0</v>
      </c>
      <c r="BS59" s="76">
        <f t="shared" si="158"/>
        <v>5878.2</v>
      </c>
      <c r="BT59" s="252">
        <v>0</v>
      </c>
      <c r="BU59" s="252">
        <v>0</v>
      </c>
      <c r="BV59" s="59">
        <f t="shared" si="159"/>
        <v>0</v>
      </c>
      <c r="BW59" s="56">
        <f t="shared" si="129"/>
        <v>5878.2</v>
      </c>
      <c r="BX59" s="56">
        <f t="shared" si="130"/>
        <v>13519.667278688525</v>
      </c>
      <c r="BY59" s="56"/>
      <c r="BZ59" s="56">
        <f t="shared" si="132"/>
        <v>13519.667278688525</v>
      </c>
      <c r="CA59" s="56"/>
      <c r="CB59" s="56"/>
      <c r="CC59" s="56"/>
      <c r="CD59" s="56">
        <f t="shared" si="136"/>
        <v>13519.667278688525</v>
      </c>
      <c r="CE59" s="238"/>
      <c r="CF59" s="241"/>
      <c r="CG59" s="238"/>
      <c r="CH59" s="238"/>
      <c r="CI59" s="238"/>
      <c r="CJ59" s="238"/>
      <c r="CK59" s="241"/>
      <c r="CL59" s="241"/>
      <c r="CM59" s="241"/>
      <c r="CN59" s="233"/>
      <c r="CO59" s="233"/>
      <c r="CP59" s="233"/>
      <c r="CQ59" s="233"/>
      <c r="CR59" s="233"/>
      <c r="CS59" s="233"/>
      <c r="CT59" s="233"/>
      <c r="CU59" s="238">
        <f t="shared" si="91"/>
        <v>13519.667278688525</v>
      </c>
      <c r="CV59" s="238">
        <f t="shared" si="92"/>
        <v>13519.667278688525</v>
      </c>
      <c r="CW59" s="238">
        <f t="shared" si="93"/>
        <v>0</v>
      </c>
      <c r="CX59" s="238">
        <f t="shared" si="137"/>
        <v>13519.667278688525</v>
      </c>
      <c r="CY59" s="238">
        <f t="shared" si="94"/>
        <v>4123498.52</v>
      </c>
      <c r="CZ59" s="238">
        <f t="shared" si="95"/>
        <v>4123498.52</v>
      </c>
      <c r="DA59" s="238">
        <f t="shared" si="96"/>
        <v>0</v>
      </c>
      <c r="DB59" s="238">
        <f t="shared" si="96"/>
        <v>4123498.52</v>
      </c>
      <c r="DC59" s="53">
        <v>6981613.5099999998</v>
      </c>
      <c r="DD59" s="53">
        <v>0</v>
      </c>
      <c r="DE59" s="56">
        <f t="shared" si="138"/>
        <v>6981613.5099999998</v>
      </c>
      <c r="DF59" s="53">
        <v>0</v>
      </c>
      <c r="DG59" s="53">
        <v>0</v>
      </c>
      <c r="DH59" s="56">
        <f t="shared" si="139"/>
        <v>0</v>
      </c>
      <c r="DI59" s="56">
        <f t="shared" si="140"/>
        <v>6981613.5099999998</v>
      </c>
      <c r="DJ59" s="252">
        <v>426</v>
      </c>
      <c r="DK59" s="252">
        <v>0</v>
      </c>
      <c r="DL59" s="56">
        <f t="shared" si="160"/>
        <v>426</v>
      </c>
      <c r="DM59" s="252">
        <v>0</v>
      </c>
      <c r="DN59" s="252">
        <v>0</v>
      </c>
      <c r="DO59" s="56">
        <f t="shared" si="161"/>
        <v>0</v>
      </c>
      <c r="DP59" s="56">
        <f t="shared" si="162"/>
        <v>426</v>
      </c>
      <c r="DQ59" s="252">
        <v>9184.4</v>
      </c>
      <c r="DR59" s="252">
        <v>0</v>
      </c>
      <c r="DS59" s="56">
        <f t="shared" si="97"/>
        <v>9184.4</v>
      </c>
      <c r="DT59" s="252">
        <v>0</v>
      </c>
      <c r="DU59" s="252">
        <v>0</v>
      </c>
      <c r="DV59" s="56">
        <f t="shared" si="98"/>
        <v>0</v>
      </c>
      <c r="DW59" s="56">
        <f t="shared" si="144"/>
        <v>9184.4</v>
      </c>
      <c r="DX59" s="56">
        <f t="shared" si="145"/>
        <v>16388.76410798122</v>
      </c>
      <c r="DY59" s="56"/>
      <c r="DZ59" s="56">
        <f t="shared" si="165"/>
        <v>16388.76410798122</v>
      </c>
      <c r="EA59" s="56"/>
      <c r="EB59" s="56"/>
      <c r="EC59" s="56"/>
      <c r="ED59" s="56">
        <f t="shared" si="146"/>
        <v>16388.76410798122</v>
      </c>
      <c r="EE59" s="273"/>
      <c r="EF59" s="274"/>
      <c r="EG59" s="273"/>
      <c r="EH59" s="273"/>
      <c r="EI59" s="273"/>
      <c r="EJ59" s="273"/>
      <c r="EK59" s="274"/>
      <c r="EL59" s="274"/>
      <c r="EM59" s="274"/>
      <c r="EN59" s="231"/>
      <c r="EO59" s="231"/>
      <c r="EP59" s="231"/>
      <c r="EQ59" s="231"/>
      <c r="ER59" s="231"/>
      <c r="ES59" s="231"/>
      <c r="ET59" s="231"/>
      <c r="EU59" s="273">
        <f t="shared" si="100"/>
        <v>16388.76410798122</v>
      </c>
      <c r="EV59" s="273">
        <f t="shared" si="101"/>
        <v>16388.76410798122</v>
      </c>
      <c r="EW59" s="273">
        <f t="shared" si="102"/>
        <v>0</v>
      </c>
      <c r="EX59" s="273">
        <f t="shared" si="147"/>
        <v>16388.76410798122</v>
      </c>
      <c r="EY59" s="273">
        <f t="shared" si="103"/>
        <v>6981613.5099999998</v>
      </c>
      <c r="EZ59" s="273">
        <f t="shared" si="104"/>
        <v>6981613.5099999998</v>
      </c>
      <c r="FA59" s="273">
        <f t="shared" si="105"/>
        <v>0</v>
      </c>
      <c r="FB59" s="273">
        <f t="shared" si="105"/>
        <v>6981613.5099999998</v>
      </c>
      <c r="FC59" s="79"/>
      <c r="FD59" s="79"/>
      <c r="FE59" s="79"/>
      <c r="FF59" s="79"/>
      <c r="FG59" s="47"/>
      <c r="FH59" s="47"/>
      <c r="FI59" s="47"/>
      <c r="FJ59" s="47"/>
    </row>
    <row r="60" spans="1:166" x14ac:dyDescent="0.3">
      <c r="A60" s="48" t="s">
        <v>55</v>
      </c>
      <c r="B60" s="258" t="s">
        <v>135</v>
      </c>
      <c r="C60" s="53">
        <v>16612.900000000001</v>
      </c>
      <c r="D60" s="53">
        <v>7379.55</v>
      </c>
      <c r="E60" s="53">
        <f t="shared" si="106"/>
        <v>23992.45</v>
      </c>
      <c r="F60" s="53"/>
      <c r="G60" s="53"/>
      <c r="H60" s="53">
        <f t="shared" si="86"/>
        <v>0</v>
      </c>
      <c r="I60" s="56">
        <f t="shared" si="107"/>
        <v>23992.45</v>
      </c>
      <c r="J60" s="252">
        <v>35</v>
      </c>
      <c r="K60" s="252">
        <v>2</v>
      </c>
      <c r="L60" s="252">
        <f t="shared" si="148"/>
        <v>37</v>
      </c>
      <c r="M60" s="252"/>
      <c r="N60" s="252"/>
      <c r="O60" s="252">
        <f t="shared" si="149"/>
        <v>0</v>
      </c>
      <c r="P60" s="56">
        <f t="shared" si="150"/>
        <v>37</v>
      </c>
      <c r="Q60" s="252">
        <v>466</v>
      </c>
      <c r="R60" s="252">
        <v>207</v>
      </c>
      <c r="S60" s="59">
        <f t="shared" si="151"/>
        <v>673</v>
      </c>
      <c r="T60" s="252"/>
      <c r="U60" s="252"/>
      <c r="V60" s="256">
        <f t="shared" si="152"/>
        <v>0</v>
      </c>
      <c r="W60" s="56">
        <f t="shared" si="153"/>
        <v>673</v>
      </c>
      <c r="X60" s="56">
        <f t="shared" si="163"/>
        <v>474.65428571428578</v>
      </c>
      <c r="Y60" s="56">
        <f>D60/K60</f>
        <v>3689.7750000000001</v>
      </c>
      <c r="Z60" s="56">
        <f t="shared" si="164"/>
        <v>648.44459459459461</v>
      </c>
      <c r="AA60" s="56"/>
      <c r="AB60" s="56"/>
      <c r="AC60" s="56"/>
      <c r="AD60" s="56">
        <f t="shared" si="88"/>
        <v>648.44459459459461</v>
      </c>
      <c r="AE60" s="269"/>
      <c r="AF60" s="270"/>
      <c r="AG60" s="269"/>
      <c r="AH60" s="269"/>
      <c r="AI60" s="269"/>
      <c r="AJ60" s="269"/>
      <c r="AK60" s="270"/>
      <c r="AL60" s="270"/>
      <c r="AM60" s="270"/>
      <c r="AN60" s="270"/>
      <c r="AO60" s="270"/>
      <c r="AP60" s="270"/>
      <c r="AQ60" s="270"/>
      <c r="AR60" s="270"/>
      <c r="AS60" s="270"/>
      <c r="AT60" s="270"/>
      <c r="AU60" s="269">
        <f t="shared" si="114"/>
        <v>474.65428571428578</v>
      </c>
      <c r="AV60" s="269">
        <f t="shared" si="115"/>
        <v>648.44459459459461</v>
      </c>
      <c r="AW60" s="269">
        <f t="shared" si="89"/>
        <v>0</v>
      </c>
      <c r="AX60" s="269">
        <f t="shared" si="116"/>
        <v>648.44459459459461</v>
      </c>
      <c r="AY60" s="269">
        <f t="shared" si="117"/>
        <v>16612.900000000001</v>
      </c>
      <c r="AZ60" s="269">
        <f t="shared" si="118"/>
        <v>23992.45</v>
      </c>
      <c r="BA60" s="269">
        <f t="shared" si="119"/>
        <v>0</v>
      </c>
      <c r="BB60" s="269">
        <f t="shared" si="120"/>
        <v>23992.45</v>
      </c>
      <c r="BC60" s="56">
        <v>23122.06</v>
      </c>
      <c r="BD60" s="56"/>
      <c r="BE60" s="56">
        <f t="shared" si="121"/>
        <v>23122.06</v>
      </c>
      <c r="BF60" s="56"/>
      <c r="BG60" s="56"/>
      <c r="BH60" s="79">
        <f>BF60+BG60</f>
        <v>0</v>
      </c>
      <c r="BI60" s="56">
        <f t="shared" si="123"/>
        <v>23122.06</v>
      </c>
      <c r="BJ60" s="59">
        <v>57</v>
      </c>
      <c r="BK60" s="59"/>
      <c r="BL60" s="59">
        <f t="shared" si="155"/>
        <v>57</v>
      </c>
      <c r="BM60" s="59"/>
      <c r="BN60" s="59"/>
      <c r="BO60" s="59">
        <f t="shared" si="156"/>
        <v>0</v>
      </c>
      <c r="BP60" s="56">
        <f t="shared" si="157"/>
        <v>57</v>
      </c>
      <c r="BQ60" s="59">
        <v>787</v>
      </c>
      <c r="BR60" s="59"/>
      <c r="BS60" s="59">
        <f t="shared" si="158"/>
        <v>787</v>
      </c>
      <c r="BT60" s="59"/>
      <c r="BU60" s="59"/>
      <c r="BV60" s="59">
        <f t="shared" si="159"/>
        <v>0</v>
      </c>
      <c r="BW60" s="56">
        <f t="shared" si="129"/>
        <v>787</v>
      </c>
      <c r="BX60" s="56">
        <f>BC60/BJ60</f>
        <v>405.65017543859653</v>
      </c>
      <c r="BY60" s="56"/>
      <c r="BZ60" s="56">
        <f t="shared" si="132"/>
        <v>405.65017543859653</v>
      </c>
      <c r="CA60" s="56"/>
      <c r="CB60" s="56"/>
      <c r="CC60" s="56"/>
      <c r="CD60" s="56">
        <f t="shared" si="136"/>
        <v>405.65017543859653</v>
      </c>
      <c r="CE60" s="238"/>
      <c r="CF60" s="241"/>
      <c r="CG60" s="238"/>
      <c r="CH60" s="238"/>
      <c r="CI60" s="238"/>
      <c r="CJ60" s="238"/>
      <c r="CK60" s="241"/>
      <c r="CL60" s="241"/>
      <c r="CM60" s="241"/>
      <c r="CN60" s="241"/>
      <c r="CO60" s="241"/>
      <c r="CP60" s="241"/>
      <c r="CQ60" s="241"/>
      <c r="CR60" s="241"/>
      <c r="CS60" s="241"/>
      <c r="CT60" s="241"/>
      <c r="CU60" s="238">
        <f t="shared" si="91"/>
        <v>405.65017543859653</v>
      </c>
      <c r="CV60" s="238">
        <f t="shared" si="92"/>
        <v>405.65017543859653</v>
      </c>
      <c r="CW60" s="238">
        <f t="shared" si="93"/>
        <v>0</v>
      </c>
      <c r="CX60" s="238">
        <f t="shared" si="137"/>
        <v>405.65017543859653</v>
      </c>
      <c r="CY60" s="238">
        <f t="shared" si="94"/>
        <v>23122.06</v>
      </c>
      <c r="CZ60" s="238">
        <f t="shared" si="95"/>
        <v>23122.06</v>
      </c>
      <c r="DA60" s="238">
        <f t="shared" si="96"/>
        <v>0</v>
      </c>
      <c r="DB60" s="238">
        <f t="shared" si="96"/>
        <v>23122.06</v>
      </c>
      <c r="DC60" s="56">
        <v>20943.8</v>
      </c>
      <c r="DD60" s="56">
        <v>12293.1</v>
      </c>
      <c r="DE60" s="56">
        <f t="shared" si="138"/>
        <v>33236.9</v>
      </c>
      <c r="DF60" s="56"/>
      <c r="DG60" s="56"/>
      <c r="DH60" s="56">
        <f t="shared" si="139"/>
        <v>0</v>
      </c>
      <c r="DI60" s="56">
        <f t="shared" si="140"/>
        <v>33236.9</v>
      </c>
      <c r="DJ60" s="59">
        <v>32</v>
      </c>
      <c r="DK60" s="59">
        <v>3</v>
      </c>
      <c r="DL60" s="56">
        <f t="shared" si="160"/>
        <v>35</v>
      </c>
      <c r="DM60" s="59"/>
      <c r="DN60" s="59"/>
      <c r="DO60" s="56">
        <f t="shared" si="161"/>
        <v>0</v>
      </c>
      <c r="DP60" s="56">
        <f t="shared" si="162"/>
        <v>35</v>
      </c>
      <c r="DQ60" s="59">
        <v>460</v>
      </c>
      <c r="DR60" s="59">
        <v>270</v>
      </c>
      <c r="DS60" s="56">
        <f t="shared" si="97"/>
        <v>730</v>
      </c>
      <c r="DT60" s="59"/>
      <c r="DU60" s="59"/>
      <c r="DV60" s="56">
        <f t="shared" si="98"/>
        <v>0</v>
      </c>
      <c r="DW60" s="56">
        <f t="shared" si="144"/>
        <v>730</v>
      </c>
      <c r="DX60" s="56">
        <f>DC60/DJ60</f>
        <v>654.49374999999998</v>
      </c>
      <c r="DY60" s="56">
        <f>DD60/DK60</f>
        <v>4097.7</v>
      </c>
      <c r="DZ60" s="56">
        <f t="shared" si="165"/>
        <v>949.62571428571437</v>
      </c>
      <c r="EA60" s="56"/>
      <c r="EB60" s="56"/>
      <c r="EC60" s="56"/>
      <c r="ED60" s="56">
        <f t="shared" si="146"/>
        <v>949.62571428571437</v>
      </c>
      <c r="EE60" s="273"/>
      <c r="EF60" s="274"/>
      <c r="EG60" s="273"/>
      <c r="EH60" s="273"/>
      <c r="EI60" s="273"/>
      <c r="EJ60" s="273"/>
      <c r="EK60" s="274"/>
      <c r="EL60" s="274"/>
      <c r="EM60" s="274"/>
      <c r="EN60" s="274"/>
      <c r="EO60" s="274"/>
      <c r="EP60" s="274"/>
      <c r="EQ60" s="274"/>
      <c r="ER60" s="274"/>
      <c r="ES60" s="274"/>
      <c r="ET60" s="274"/>
      <c r="EU60" s="273">
        <f t="shared" si="100"/>
        <v>654.49374999999998</v>
      </c>
      <c r="EV60" s="273">
        <f t="shared" si="101"/>
        <v>949.62571428571437</v>
      </c>
      <c r="EW60" s="273">
        <f t="shared" si="102"/>
        <v>0</v>
      </c>
      <c r="EX60" s="273">
        <f t="shared" si="147"/>
        <v>949.62571428571437</v>
      </c>
      <c r="EY60" s="273">
        <f t="shared" si="103"/>
        <v>20943.8</v>
      </c>
      <c r="EZ60" s="273">
        <f t="shared" si="104"/>
        <v>33236.9</v>
      </c>
      <c r="FA60" s="273">
        <f t="shared" si="105"/>
        <v>0</v>
      </c>
      <c r="FB60" s="273">
        <f t="shared" si="105"/>
        <v>33236.9</v>
      </c>
      <c r="FC60" s="79"/>
      <c r="FD60" s="79"/>
      <c r="FE60" s="79"/>
      <c r="FF60" s="79"/>
      <c r="FG60" s="47"/>
      <c r="FH60" s="47"/>
      <c r="FI60" s="47"/>
      <c r="FJ60" s="47"/>
    </row>
    <row r="61" spans="1:166" s="46" customFormat="1" ht="28.8" x14ac:dyDescent="0.3">
      <c r="A61" s="61" t="s">
        <v>56</v>
      </c>
      <c r="B61" s="258" t="s">
        <v>25</v>
      </c>
      <c r="C61" s="56">
        <v>1039645.48</v>
      </c>
      <c r="D61" s="56">
        <v>469205</v>
      </c>
      <c r="E61" s="56">
        <f t="shared" si="106"/>
        <v>1508850.48</v>
      </c>
      <c r="F61" s="56">
        <v>124740</v>
      </c>
      <c r="G61" s="56"/>
      <c r="H61" s="56">
        <f t="shared" si="86"/>
        <v>124740</v>
      </c>
      <c r="I61" s="56">
        <f t="shared" si="107"/>
        <v>1633590.48</v>
      </c>
      <c r="J61" s="59">
        <v>131</v>
      </c>
      <c r="K61" s="59">
        <v>19</v>
      </c>
      <c r="L61" s="59">
        <f t="shared" si="148"/>
        <v>150</v>
      </c>
      <c r="M61" s="59">
        <v>3</v>
      </c>
      <c r="N61" s="59"/>
      <c r="O61" s="59">
        <f t="shared" si="149"/>
        <v>3</v>
      </c>
      <c r="P61" s="56">
        <f t="shared" si="150"/>
        <v>153</v>
      </c>
      <c r="Q61" s="59">
        <v>1324</v>
      </c>
      <c r="R61" s="59">
        <v>518.5</v>
      </c>
      <c r="S61" s="59">
        <f t="shared" si="151"/>
        <v>1842.5</v>
      </c>
      <c r="T61" s="59">
        <v>865</v>
      </c>
      <c r="U61" s="59"/>
      <c r="V61" s="256">
        <f t="shared" si="152"/>
        <v>865</v>
      </c>
      <c r="W61" s="56">
        <f t="shared" si="153"/>
        <v>2707.5</v>
      </c>
      <c r="X61" s="56">
        <f t="shared" si="163"/>
        <v>7936.2250381679387</v>
      </c>
      <c r="Y61" s="56">
        <f>D61/K61</f>
        <v>24695</v>
      </c>
      <c r="Z61" s="56">
        <f t="shared" si="164"/>
        <v>10059.003199999999</v>
      </c>
      <c r="AA61" s="56">
        <f>F61/M61</f>
        <v>41580</v>
      </c>
      <c r="AB61" s="56"/>
      <c r="AC61" s="56">
        <f>H61/O61</f>
        <v>41580</v>
      </c>
      <c r="AD61" s="56">
        <f t="shared" si="88"/>
        <v>10677.061960784313</v>
      </c>
      <c r="AE61" s="269"/>
      <c r="AF61" s="270"/>
      <c r="AG61" s="269"/>
      <c r="AH61" s="269"/>
      <c r="AI61" s="269"/>
      <c r="AJ61" s="269"/>
      <c r="AK61" s="270"/>
      <c r="AL61" s="270"/>
      <c r="AM61" s="270"/>
      <c r="AN61" s="270"/>
      <c r="AO61" s="270"/>
      <c r="AP61" s="270"/>
      <c r="AQ61" s="270"/>
      <c r="AR61" s="270"/>
      <c r="AS61" s="270"/>
      <c r="AT61" s="270"/>
      <c r="AU61" s="269">
        <f t="shared" si="114"/>
        <v>7936.2250381679387</v>
      </c>
      <c r="AV61" s="269">
        <f t="shared" si="115"/>
        <v>10059.003199999999</v>
      </c>
      <c r="AW61" s="269">
        <f t="shared" si="89"/>
        <v>41580</v>
      </c>
      <c r="AX61" s="269">
        <f t="shared" si="116"/>
        <v>10677.061960784313</v>
      </c>
      <c r="AY61" s="269">
        <f t="shared" si="117"/>
        <v>1039645.48</v>
      </c>
      <c r="AZ61" s="269">
        <f t="shared" si="118"/>
        <v>1508850.48</v>
      </c>
      <c r="BA61" s="269">
        <f t="shared" si="119"/>
        <v>124740</v>
      </c>
      <c r="BB61" s="269">
        <f t="shared" si="120"/>
        <v>1633590.4799999997</v>
      </c>
      <c r="BC61" s="255">
        <v>1970298.74</v>
      </c>
      <c r="BD61" s="255">
        <v>313456.62</v>
      </c>
      <c r="BE61" s="255">
        <f t="shared" si="121"/>
        <v>2283755.36</v>
      </c>
      <c r="BF61" s="255">
        <v>33584.639999999999</v>
      </c>
      <c r="BG61" s="255"/>
      <c r="BH61" s="79">
        <f t="shared" si="122"/>
        <v>33584.639999999999</v>
      </c>
      <c r="BI61" s="56">
        <f t="shared" si="123"/>
        <v>2317340</v>
      </c>
      <c r="BJ61" s="256">
        <v>110</v>
      </c>
      <c r="BK61" s="256">
        <v>14</v>
      </c>
      <c r="BL61" s="256">
        <f t="shared" si="155"/>
        <v>124</v>
      </c>
      <c r="BM61" s="256">
        <v>1</v>
      </c>
      <c r="BN61" s="256"/>
      <c r="BO61" s="256">
        <f t="shared" si="156"/>
        <v>1</v>
      </c>
      <c r="BP61" s="56">
        <f t="shared" si="157"/>
        <v>125</v>
      </c>
      <c r="BQ61" s="256">
        <v>1108</v>
      </c>
      <c r="BR61" s="256">
        <v>698.26</v>
      </c>
      <c r="BS61" s="256">
        <f t="shared" si="158"/>
        <v>1806.26</v>
      </c>
      <c r="BT61" s="256">
        <v>200</v>
      </c>
      <c r="BU61" s="256"/>
      <c r="BV61" s="59">
        <f>BT61+BU61</f>
        <v>200</v>
      </c>
      <c r="BW61" s="56">
        <f t="shared" si="129"/>
        <v>2006.26</v>
      </c>
      <c r="BX61" s="56">
        <f>BC61/BJ61</f>
        <v>17911.806727272728</v>
      </c>
      <c r="BY61" s="56">
        <f t="shared" ref="BY61" si="170">BD61/BK61</f>
        <v>22389.758571428571</v>
      </c>
      <c r="BZ61" s="56">
        <f t="shared" si="132"/>
        <v>18417.381935483871</v>
      </c>
      <c r="CA61" s="56">
        <f t="shared" ref="CA61:CC61" si="171">BF61/BM61</f>
        <v>33584.639999999999</v>
      </c>
      <c r="CB61" s="56"/>
      <c r="CC61" s="56">
        <f t="shared" si="171"/>
        <v>33584.639999999999</v>
      </c>
      <c r="CD61" s="56">
        <f t="shared" si="136"/>
        <v>18538.72</v>
      </c>
      <c r="CE61" s="238"/>
      <c r="CF61" s="241"/>
      <c r="CG61" s="238"/>
      <c r="CH61" s="238"/>
      <c r="CI61" s="238"/>
      <c r="CJ61" s="238"/>
      <c r="CK61" s="241"/>
      <c r="CL61" s="241"/>
      <c r="CM61" s="241"/>
      <c r="CN61" s="241"/>
      <c r="CO61" s="241"/>
      <c r="CP61" s="241"/>
      <c r="CQ61" s="241"/>
      <c r="CR61" s="241"/>
      <c r="CS61" s="241"/>
      <c r="CT61" s="241"/>
      <c r="CU61" s="238">
        <f t="shared" si="91"/>
        <v>17911.806727272728</v>
      </c>
      <c r="CV61" s="238">
        <f t="shared" si="92"/>
        <v>18417.381935483871</v>
      </c>
      <c r="CW61" s="238">
        <f t="shared" si="93"/>
        <v>33584.639999999999</v>
      </c>
      <c r="CX61" s="238">
        <f t="shared" si="137"/>
        <v>18538.72</v>
      </c>
      <c r="CY61" s="238">
        <f t="shared" si="94"/>
        <v>1970298.74</v>
      </c>
      <c r="CZ61" s="238">
        <f t="shared" si="95"/>
        <v>2283755.36</v>
      </c>
      <c r="DA61" s="238">
        <f t="shared" si="96"/>
        <v>33584.639999999999</v>
      </c>
      <c r="DB61" s="238">
        <f t="shared" si="96"/>
        <v>2317340</v>
      </c>
      <c r="DC61" s="255">
        <v>606228.53</v>
      </c>
      <c r="DD61" s="255">
        <v>97536.77</v>
      </c>
      <c r="DE61" s="255">
        <f t="shared" si="138"/>
        <v>703765.3</v>
      </c>
      <c r="DF61" s="255">
        <v>27010.18</v>
      </c>
      <c r="DG61" s="255">
        <v>12004.53</v>
      </c>
      <c r="DH61" s="56">
        <f t="shared" si="139"/>
        <v>39014.71</v>
      </c>
      <c r="DI61" s="56">
        <f t="shared" si="140"/>
        <v>742780.01000000013</v>
      </c>
      <c r="DJ61" s="256">
        <v>101</v>
      </c>
      <c r="DK61" s="256">
        <v>13</v>
      </c>
      <c r="DL61" s="255">
        <f t="shared" si="160"/>
        <v>114</v>
      </c>
      <c r="DM61" s="256">
        <v>3</v>
      </c>
      <c r="DN61" s="256">
        <v>1</v>
      </c>
      <c r="DO61" s="56">
        <f t="shared" si="161"/>
        <v>4</v>
      </c>
      <c r="DP61" s="56">
        <f t="shared" si="162"/>
        <v>118</v>
      </c>
      <c r="DQ61" s="256">
        <v>986.79</v>
      </c>
      <c r="DR61" s="256">
        <v>456.21</v>
      </c>
      <c r="DS61" s="255">
        <f t="shared" si="97"/>
        <v>1443</v>
      </c>
      <c r="DT61" s="256">
        <v>345.04</v>
      </c>
      <c r="DU61" s="256">
        <v>690</v>
      </c>
      <c r="DV61" s="56">
        <f t="shared" si="98"/>
        <v>1035.04</v>
      </c>
      <c r="DW61" s="56">
        <f t="shared" si="144"/>
        <v>2478.04</v>
      </c>
      <c r="DX61" s="56">
        <f t="shared" si="145"/>
        <v>6002.262673267327</v>
      </c>
      <c r="DY61" s="56">
        <f t="shared" ref="DY61:DY64" si="172">DD61/DK61</f>
        <v>7502.8284615384619</v>
      </c>
      <c r="DZ61" s="56">
        <f t="shared" ref="DZ61:DZ69" si="173">DE61/DL61</f>
        <v>6173.3798245614043</v>
      </c>
      <c r="EA61" s="56">
        <f t="shared" ref="EA61" si="174">DF61/DM61</f>
        <v>9003.3933333333334</v>
      </c>
      <c r="EB61" s="56">
        <f t="shared" ref="EB61" si="175">DG61/DN61</f>
        <v>12004.53</v>
      </c>
      <c r="EC61" s="56">
        <f t="shared" ref="EC61" si="176">DH61/DO61</f>
        <v>9753.6774999999998</v>
      </c>
      <c r="ED61" s="56">
        <f t="shared" si="146"/>
        <v>6294.7458474576279</v>
      </c>
      <c r="EE61" s="273"/>
      <c r="EF61" s="274"/>
      <c r="EG61" s="273"/>
      <c r="EH61" s="273"/>
      <c r="EI61" s="273"/>
      <c r="EJ61" s="273"/>
      <c r="EK61" s="274"/>
      <c r="EL61" s="274"/>
      <c r="EM61" s="274"/>
      <c r="EN61" s="274"/>
      <c r="EO61" s="274"/>
      <c r="EP61" s="274"/>
      <c r="EQ61" s="274"/>
      <c r="ER61" s="274"/>
      <c r="ES61" s="274"/>
      <c r="ET61" s="274"/>
      <c r="EU61" s="273">
        <f t="shared" si="100"/>
        <v>6002.262673267327</v>
      </c>
      <c r="EV61" s="273">
        <f t="shared" si="101"/>
        <v>6173.3798245614043</v>
      </c>
      <c r="EW61" s="273">
        <f t="shared" si="102"/>
        <v>9753.6774999999998</v>
      </c>
      <c r="EX61" s="273">
        <f t="shared" si="147"/>
        <v>6294.7458474576279</v>
      </c>
      <c r="EY61" s="273">
        <f t="shared" si="103"/>
        <v>606228.53</v>
      </c>
      <c r="EZ61" s="273">
        <f t="shared" si="104"/>
        <v>703765.3</v>
      </c>
      <c r="FA61" s="273">
        <f t="shared" si="105"/>
        <v>39014.71</v>
      </c>
      <c r="FB61" s="273">
        <f t="shared" si="105"/>
        <v>742780.01000000013</v>
      </c>
      <c r="FC61" s="79"/>
      <c r="FD61" s="79"/>
      <c r="FE61" s="79"/>
      <c r="FF61" s="79"/>
      <c r="FG61" s="230"/>
      <c r="FH61" s="230"/>
      <c r="FI61" s="230"/>
      <c r="FJ61" s="230"/>
    </row>
    <row r="62" spans="1:166" ht="28.8" x14ac:dyDescent="0.3">
      <c r="A62" s="48" t="s">
        <v>57</v>
      </c>
      <c r="B62" s="258" t="s">
        <v>26</v>
      </c>
      <c r="C62" s="53">
        <v>38108.46</v>
      </c>
      <c r="D62" s="53">
        <v>6351.41</v>
      </c>
      <c r="E62" s="53">
        <f t="shared" si="106"/>
        <v>44459.869999999995</v>
      </c>
      <c r="F62" s="53"/>
      <c r="G62" s="53"/>
      <c r="H62" s="53">
        <f t="shared" si="86"/>
        <v>0</v>
      </c>
      <c r="I62" s="56">
        <f t="shared" si="107"/>
        <v>44459.869999999995</v>
      </c>
      <c r="J62" s="252">
        <v>6</v>
      </c>
      <c r="K62" s="252">
        <v>1</v>
      </c>
      <c r="L62" s="252">
        <f t="shared" si="148"/>
        <v>7</v>
      </c>
      <c r="M62" s="252"/>
      <c r="N62" s="252"/>
      <c r="O62" s="252">
        <f t="shared" si="149"/>
        <v>0</v>
      </c>
      <c r="P62" s="56">
        <f t="shared" si="150"/>
        <v>7</v>
      </c>
      <c r="Q62" s="252">
        <v>90</v>
      </c>
      <c r="R62" s="252">
        <v>35</v>
      </c>
      <c r="S62" s="59">
        <f t="shared" si="151"/>
        <v>125</v>
      </c>
      <c r="T62" s="252"/>
      <c r="U62" s="252"/>
      <c r="V62" s="256">
        <f t="shared" si="152"/>
        <v>0</v>
      </c>
      <c r="W62" s="56">
        <f t="shared" si="153"/>
        <v>125</v>
      </c>
      <c r="X62" s="56">
        <f t="shared" si="163"/>
        <v>6351.41</v>
      </c>
      <c r="Y62" s="56">
        <f>D62/K62</f>
        <v>6351.41</v>
      </c>
      <c r="Z62" s="56">
        <f t="shared" si="164"/>
        <v>6351.4099999999989</v>
      </c>
      <c r="AA62" s="56"/>
      <c r="AB62" s="56"/>
      <c r="AC62" s="56"/>
      <c r="AD62" s="56">
        <f t="shared" si="88"/>
        <v>6351.4099999999989</v>
      </c>
      <c r="AE62" s="269"/>
      <c r="AF62" s="270"/>
      <c r="AG62" s="269"/>
      <c r="AH62" s="269"/>
      <c r="AI62" s="269"/>
      <c r="AJ62" s="269"/>
      <c r="AK62" s="270"/>
      <c r="AL62" s="270"/>
      <c r="AM62" s="270"/>
      <c r="AN62" s="267"/>
      <c r="AO62" s="267"/>
      <c r="AP62" s="267"/>
      <c r="AQ62" s="267"/>
      <c r="AR62" s="267"/>
      <c r="AS62" s="267"/>
      <c r="AT62" s="267"/>
      <c r="AU62" s="269">
        <f t="shared" si="114"/>
        <v>6351.41</v>
      </c>
      <c r="AV62" s="269">
        <f t="shared" si="115"/>
        <v>6351.4099999999989</v>
      </c>
      <c r="AW62" s="269">
        <f t="shared" si="89"/>
        <v>0</v>
      </c>
      <c r="AX62" s="269">
        <f t="shared" si="116"/>
        <v>6351.4099999999989</v>
      </c>
      <c r="AY62" s="269">
        <f t="shared" si="117"/>
        <v>38108.46</v>
      </c>
      <c r="AZ62" s="269">
        <f t="shared" si="118"/>
        <v>44459.869999999995</v>
      </c>
      <c r="BA62" s="269">
        <f t="shared" si="119"/>
        <v>0</v>
      </c>
      <c r="BB62" s="269">
        <f t="shared" si="120"/>
        <v>44459.869999999995</v>
      </c>
      <c r="BC62" s="53">
        <v>59202.1</v>
      </c>
      <c r="BD62" s="53">
        <v>5920.21</v>
      </c>
      <c r="BE62" s="79">
        <f t="shared" si="121"/>
        <v>65122.31</v>
      </c>
      <c r="BF62" s="53"/>
      <c r="BG62" s="53"/>
      <c r="BH62" s="79">
        <f t="shared" si="122"/>
        <v>0</v>
      </c>
      <c r="BI62" s="56">
        <f t="shared" si="123"/>
        <v>65122.31</v>
      </c>
      <c r="BJ62" s="252">
        <v>10</v>
      </c>
      <c r="BK62" s="252">
        <v>1</v>
      </c>
      <c r="BL62" s="252">
        <f t="shared" si="155"/>
        <v>11</v>
      </c>
      <c r="BM62" s="252"/>
      <c r="BN62" s="252"/>
      <c r="BO62" s="252">
        <f t="shared" si="156"/>
        <v>0</v>
      </c>
      <c r="BP62" s="56">
        <f t="shared" si="157"/>
        <v>11</v>
      </c>
      <c r="BQ62" s="252">
        <v>112</v>
      </c>
      <c r="BR62" s="252">
        <v>74</v>
      </c>
      <c r="BS62" s="76">
        <f t="shared" si="158"/>
        <v>186</v>
      </c>
      <c r="BT62" s="252"/>
      <c r="BU62" s="252"/>
      <c r="BV62" s="59">
        <f t="shared" si="159"/>
        <v>0</v>
      </c>
      <c r="BW62" s="56">
        <f t="shared" si="129"/>
        <v>186</v>
      </c>
      <c r="BX62" s="56">
        <f t="shared" si="130"/>
        <v>5920.21</v>
      </c>
      <c r="BY62" s="56">
        <f t="shared" si="131"/>
        <v>5920.21</v>
      </c>
      <c r="BZ62" s="56">
        <f t="shared" si="132"/>
        <v>5920.21</v>
      </c>
      <c r="CA62" s="56"/>
      <c r="CB62" s="56"/>
      <c r="CC62" s="56"/>
      <c r="CD62" s="56">
        <f t="shared" si="136"/>
        <v>5920.21</v>
      </c>
      <c r="CE62" s="238"/>
      <c r="CF62" s="241"/>
      <c r="CG62" s="238"/>
      <c r="CH62" s="238"/>
      <c r="CI62" s="238"/>
      <c r="CJ62" s="238"/>
      <c r="CK62" s="241"/>
      <c r="CL62" s="241"/>
      <c r="CM62" s="241"/>
      <c r="CN62" s="233"/>
      <c r="CO62" s="233"/>
      <c r="CP62" s="233"/>
      <c r="CQ62" s="233"/>
      <c r="CR62" s="233"/>
      <c r="CS62" s="233"/>
      <c r="CT62" s="233"/>
      <c r="CU62" s="238">
        <f t="shared" si="91"/>
        <v>5920.21</v>
      </c>
      <c r="CV62" s="238">
        <f t="shared" si="92"/>
        <v>5920.21</v>
      </c>
      <c r="CW62" s="238">
        <f t="shared" si="93"/>
        <v>0</v>
      </c>
      <c r="CX62" s="238">
        <f t="shared" si="137"/>
        <v>5920.21</v>
      </c>
      <c r="CY62" s="238">
        <f t="shared" si="94"/>
        <v>59202.1</v>
      </c>
      <c r="CZ62" s="238">
        <f t="shared" si="95"/>
        <v>65122.31</v>
      </c>
      <c r="DA62" s="238">
        <f t="shared" si="96"/>
        <v>0</v>
      </c>
      <c r="DB62" s="238">
        <f t="shared" si="96"/>
        <v>65122.31</v>
      </c>
      <c r="DC62" s="53">
        <v>76146.600000000006</v>
      </c>
      <c r="DD62" s="53">
        <v>6345.55</v>
      </c>
      <c r="DE62" s="56">
        <f t="shared" si="138"/>
        <v>82492.150000000009</v>
      </c>
      <c r="DF62" s="53"/>
      <c r="DG62" s="53"/>
      <c r="DH62" s="56">
        <f t="shared" si="139"/>
        <v>0</v>
      </c>
      <c r="DI62" s="56">
        <f t="shared" si="140"/>
        <v>82492.150000000009</v>
      </c>
      <c r="DJ62" s="252">
        <v>12</v>
      </c>
      <c r="DK62" s="252">
        <v>1</v>
      </c>
      <c r="DL62" s="56">
        <f t="shared" si="160"/>
        <v>13</v>
      </c>
      <c r="DM62" s="252"/>
      <c r="DN62" s="252"/>
      <c r="DO62" s="56">
        <f t="shared" si="161"/>
        <v>0</v>
      </c>
      <c r="DP62" s="56">
        <f t="shared" si="162"/>
        <v>13</v>
      </c>
      <c r="DQ62" s="252">
        <v>120</v>
      </c>
      <c r="DR62" s="252">
        <v>35</v>
      </c>
      <c r="DS62" s="56">
        <f t="shared" si="97"/>
        <v>155</v>
      </c>
      <c r="DT62" s="252"/>
      <c r="DU62" s="252"/>
      <c r="DV62" s="56">
        <f t="shared" si="98"/>
        <v>0</v>
      </c>
      <c r="DW62" s="56">
        <f t="shared" si="144"/>
        <v>155</v>
      </c>
      <c r="DX62" s="56">
        <f t="shared" si="145"/>
        <v>6345.55</v>
      </c>
      <c r="DY62" s="56">
        <f t="shared" si="172"/>
        <v>6345.55</v>
      </c>
      <c r="DZ62" s="56">
        <f t="shared" si="173"/>
        <v>6345.5500000000011</v>
      </c>
      <c r="EA62" s="56"/>
      <c r="EB62" s="56"/>
      <c r="EC62" s="56"/>
      <c r="ED62" s="56">
        <f t="shared" si="146"/>
        <v>6345.5500000000011</v>
      </c>
      <c r="EE62" s="273"/>
      <c r="EF62" s="274"/>
      <c r="EG62" s="273"/>
      <c r="EH62" s="273"/>
      <c r="EI62" s="273"/>
      <c r="EJ62" s="273"/>
      <c r="EK62" s="274"/>
      <c r="EL62" s="274"/>
      <c r="EM62" s="274"/>
      <c r="EN62" s="231"/>
      <c r="EO62" s="231"/>
      <c r="EP62" s="231"/>
      <c r="EQ62" s="231"/>
      <c r="ER62" s="231"/>
      <c r="ES62" s="231"/>
      <c r="ET62" s="231"/>
      <c r="EU62" s="273">
        <f t="shared" si="100"/>
        <v>6345.55</v>
      </c>
      <c r="EV62" s="273">
        <f t="shared" si="101"/>
        <v>6345.5500000000011</v>
      </c>
      <c r="EW62" s="273">
        <f t="shared" si="102"/>
        <v>0</v>
      </c>
      <c r="EX62" s="273">
        <f t="shared" si="147"/>
        <v>6345.5500000000011</v>
      </c>
      <c r="EY62" s="273">
        <f t="shared" si="103"/>
        <v>76146.600000000006</v>
      </c>
      <c r="EZ62" s="273">
        <f t="shared" si="104"/>
        <v>82492.150000000009</v>
      </c>
      <c r="FA62" s="273">
        <f t="shared" si="105"/>
        <v>0</v>
      </c>
      <c r="FB62" s="273">
        <f t="shared" si="105"/>
        <v>82492.150000000009</v>
      </c>
      <c r="FC62" s="79"/>
      <c r="FD62" s="79"/>
      <c r="FE62" s="79"/>
      <c r="FF62" s="79"/>
      <c r="FG62" s="47"/>
      <c r="FH62" s="47"/>
      <c r="FI62" s="47"/>
      <c r="FJ62" s="47"/>
    </row>
    <row r="63" spans="1:166" x14ac:dyDescent="0.3">
      <c r="A63" s="48" t="s">
        <v>58</v>
      </c>
      <c r="B63" s="258" t="s">
        <v>27</v>
      </c>
      <c r="C63" s="53"/>
      <c r="D63" s="53"/>
      <c r="E63" s="53">
        <f t="shared" si="106"/>
        <v>0</v>
      </c>
      <c r="F63" s="53"/>
      <c r="G63" s="53"/>
      <c r="H63" s="53">
        <f t="shared" si="86"/>
        <v>0</v>
      </c>
      <c r="I63" s="56">
        <f t="shared" si="107"/>
        <v>0</v>
      </c>
      <c r="J63" s="252"/>
      <c r="K63" s="252"/>
      <c r="L63" s="252">
        <f t="shared" si="148"/>
        <v>0</v>
      </c>
      <c r="M63" s="252"/>
      <c r="N63" s="252"/>
      <c r="O63" s="252">
        <f t="shared" si="149"/>
        <v>0</v>
      </c>
      <c r="P63" s="56">
        <f t="shared" si="150"/>
        <v>0</v>
      </c>
      <c r="Q63" s="252"/>
      <c r="R63" s="252"/>
      <c r="S63" s="59">
        <f t="shared" si="151"/>
        <v>0</v>
      </c>
      <c r="T63" s="252"/>
      <c r="U63" s="252"/>
      <c r="V63" s="256">
        <f t="shared" si="152"/>
        <v>0</v>
      </c>
      <c r="W63" s="56">
        <f t="shared" si="153"/>
        <v>0</v>
      </c>
      <c r="X63" s="56"/>
      <c r="Y63" s="56"/>
      <c r="Z63" s="56"/>
      <c r="AA63" s="56"/>
      <c r="AB63" s="56"/>
      <c r="AC63" s="56"/>
      <c r="AD63" s="56"/>
      <c r="AE63" s="269"/>
      <c r="AF63" s="270"/>
      <c r="AG63" s="269"/>
      <c r="AH63" s="269"/>
      <c r="AI63" s="269"/>
      <c r="AJ63" s="269"/>
      <c r="AK63" s="270"/>
      <c r="AL63" s="270"/>
      <c r="AM63" s="270"/>
      <c r="AN63" s="267"/>
      <c r="AO63" s="267"/>
      <c r="AP63" s="267"/>
      <c r="AQ63" s="267"/>
      <c r="AR63" s="267"/>
      <c r="AS63" s="267"/>
      <c r="AT63" s="267"/>
      <c r="AU63" s="269">
        <f t="shared" si="114"/>
        <v>0</v>
      </c>
      <c r="AV63" s="269">
        <f t="shared" si="115"/>
        <v>0</v>
      </c>
      <c r="AW63" s="269">
        <f t="shared" si="89"/>
        <v>0</v>
      </c>
      <c r="AX63" s="269">
        <f t="shared" si="116"/>
        <v>0</v>
      </c>
      <c r="AY63" s="269">
        <f t="shared" si="117"/>
        <v>0</v>
      </c>
      <c r="AZ63" s="269">
        <f t="shared" si="118"/>
        <v>0</v>
      </c>
      <c r="BA63" s="269">
        <f t="shared" si="119"/>
        <v>0</v>
      </c>
      <c r="BB63" s="269">
        <f t="shared" si="120"/>
        <v>0</v>
      </c>
      <c r="BC63" s="53"/>
      <c r="BD63" s="53"/>
      <c r="BE63" s="79">
        <f t="shared" si="121"/>
        <v>0</v>
      </c>
      <c r="BF63" s="53"/>
      <c r="BG63" s="53"/>
      <c r="BH63" s="79">
        <f t="shared" si="122"/>
        <v>0</v>
      </c>
      <c r="BI63" s="56">
        <f t="shared" si="123"/>
        <v>0</v>
      </c>
      <c r="BJ63" s="252"/>
      <c r="BK63" s="252"/>
      <c r="BL63" s="252">
        <f t="shared" si="155"/>
        <v>0</v>
      </c>
      <c r="BM63" s="252"/>
      <c r="BN63" s="252"/>
      <c r="BO63" s="252">
        <f t="shared" si="156"/>
        <v>0</v>
      </c>
      <c r="BP63" s="56">
        <f t="shared" si="157"/>
        <v>0</v>
      </c>
      <c r="BQ63" s="252"/>
      <c r="BR63" s="252"/>
      <c r="BS63" s="76">
        <f t="shared" si="158"/>
        <v>0</v>
      </c>
      <c r="BT63" s="252"/>
      <c r="BU63" s="252"/>
      <c r="BV63" s="59">
        <f t="shared" si="159"/>
        <v>0</v>
      </c>
      <c r="BW63" s="56">
        <f t="shared" si="129"/>
        <v>0</v>
      </c>
      <c r="BX63" s="56"/>
      <c r="BY63" s="56"/>
      <c r="BZ63" s="56"/>
      <c r="CA63" s="56"/>
      <c r="CB63" s="56"/>
      <c r="CC63" s="56"/>
      <c r="CD63" s="56"/>
      <c r="CE63" s="238"/>
      <c r="CF63" s="241"/>
      <c r="CG63" s="238"/>
      <c r="CH63" s="238"/>
      <c r="CI63" s="238"/>
      <c r="CJ63" s="238"/>
      <c r="CK63" s="241"/>
      <c r="CL63" s="241"/>
      <c r="CM63" s="241"/>
      <c r="CN63" s="233"/>
      <c r="CO63" s="233"/>
      <c r="CP63" s="233"/>
      <c r="CQ63" s="233"/>
      <c r="CR63" s="233"/>
      <c r="CS63" s="233"/>
      <c r="CT63" s="233"/>
      <c r="CU63" s="238">
        <f t="shared" si="91"/>
        <v>0</v>
      </c>
      <c r="CV63" s="238">
        <f t="shared" si="92"/>
        <v>0</v>
      </c>
      <c r="CW63" s="238">
        <f t="shared" si="93"/>
        <v>0</v>
      </c>
      <c r="CX63" s="238">
        <f t="shared" si="137"/>
        <v>0</v>
      </c>
      <c r="CY63" s="238">
        <f t="shared" si="94"/>
        <v>0</v>
      </c>
      <c r="CZ63" s="238">
        <f t="shared" si="95"/>
        <v>0</v>
      </c>
      <c r="DA63" s="238">
        <f t="shared" si="96"/>
        <v>0</v>
      </c>
      <c r="DB63" s="238">
        <f t="shared" si="96"/>
        <v>0</v>
      </c>
      <c r="DC63" s="53">
        <v>39172.800000000003</v>
      </c>
      <c r="DD63" s="53"/>
      <c r="DE63" s="56">
        <f t="shared" si="138"/>
        <v>39172.800000000003</v>
      </c>
      <c r="DF63" s="53"/>
      <c r="DG63" s="53"/>
      <c r="DH63" s="56">
        <f t="shared" si="139"/>
        <v>0</v>
      </c>
      <c r="DI63" s="56">
        <f t="shared" si="140"/>
        <v>39172.800000000003</v>
      </c>
      <c r="DJ63" s="252">
        <v>9</v>
      </c>
      <c r="DK63" s="252"/>
      <c r="DL63" s="56">
        <f t="shared" si="160"/>
        <v>9</v>
      </c>
      <c r="DM63" s="252"/>
      <c r="DN63" s="252"/>
      <c r="DO63" s="56">
        <f t="shared" si="161"/>
        <v>0</v>
      </c>
      <c r="DP63" s="56">
        <f t="shared" si="162"/>
        <v>9</v>
      </c>
      <c r="DQ63" s="252">
        <v>120</v>
      </c>
      <c r="DR63" s="252"/>
      <c r="DS63" s="56">
        <f t="shared" si="97"/>
        <v>120</v>
      </c>
      <c r="DT63" s="252"/>
      <c r="DU63" s="252"/>
      <c r="DV63" s="56">
        <f t="shared" si="98"/>
        <v>0</v>
      </c>
      <c r="DW63" s="56">
        <f t="shared" si="144"/>
        <v>120</v>
      </c>
      <c r="DX63" s="56">
        <f t="shared" si="145"/>
        <v>4352.5333333333338</v>
      </c>
      <c r="DY63" s="56"/>
      <c r="DZ63" s="56">
        <f t="shared" si="173"/>
        <v>4352.5333333333338</v>
      </c>
      <c r="EA63" s="56"/>
      <c r="EB63" s="56"/>
      <c r="EC63" s="56"/>
      <c r="ED63" s="56">
        <f t="shared" si="146"/>
        <v>4352.5333333333338</v>
      </c>
      <c r="EE63" s="273"/>
      <c r="EF63" s="274"/>
      <c r="EG63" s="273"/>
      <c r="EH63" s="273"/>
      <c r="EI63" s="273"/>
      <c r="EJ63" s="273"/>
      <c r="EK63" s="274"/>
      <c r="EL63" s="274"/>
      <c r="EM63" s="274"/>
      <c r="EN63" s="231"/>
      <c r="EO63" s="231"/>
      <c r="EP63" s="231"/>
      <c r="EQ63" s="231"/>
      <c r="ER63" s="231"/>
      <c r="ES63" s="231"/>
      <c r="ET63" s="231"/>
      <c r="EU63" s="273">
        <f t="shared" si="100"/>
        <v>4352.5333333333338</v>
      </c>
      <c r="EV63" s="273">
        <f t="shared" si="101"/>
        <v>4352.5333333333338</v>
      </c>
      <c r="EW63" s="273">
        <f t="shared" si="102"/>
        <v>0</v>
      </c>
      <c r="EX63" s="273">
        <f t="shared" si="147"/>
        <v>4352.5333333333338</v>
      </c>
      <c r="EY63" s="273">
        <f t="shared" si="103"/>
        <v>39172.800000000003</v>
      </c>
      <c r="EZ63" s="273">
        <f t="shared" si="104"/>
        <v>39172.800000000003</v>
      </c>
      <c r="FA63" s="273">
        <f t="shared" si="105"/>
        <v>0</v>
      </c>
      <c r="FB63" s="273">
        <f t="shared" si="105"/>
        <v>39172.800000000003</v>
      </c>
      <c r="FC63" s="79"/>
      <c r="FD63" s="79"/>
      <c r="FE63" s="79"/>
      <c r="FF63" s="79"/>
      <c r="FG63" s="47"/>
      <c r="FH63" s="47"/>
      <c r="FI63" s="47"/>
      <c r="FJ63" s="47"/>
    </row>
    <row r="64" spans="1:166" x14ac:dyDescent="0.3">
      <c r="A64" s="48" t="s">
        <v>59</v>
      </c>
      <c r="B64" s="258" t="s">
        <v>28</v>
      </c>
      <c r="C64" s="56">
        <v>16797</v>
      </c>
      <c r="D64" s="56"/>
      <c r="E64" s="56">
        <f t="shared" si="106"/>
        <v>16797</v>
      </c>
      <c r="F64" s="56">
        <v>34911</v>
      </c>
      <c r="G64" s="56"/>
      <c r="H64" s="56">
        <f t="shared" si="86"/>
        <v>34911</v>
      </c>
      <c r="I64" s="56">
        <f t="shared" si="107"/>
        <v>51708</v>
      </c>
      <c r="J64" s="59">
        <v>3</v>
      </c>
      <c r="K64" s="59"/>
      <c r="L64" s="59">
        <f t="shared" si="148"/>
        <v>3</v>
      </c>
      <c r="M64" s="59">
        <v>2</v>
      </c>
      <c r="N64" s="59"/>
      <c r="O64" s="59">
        <f t="shared" si="149"/>
        <v>2</v>
      </c>
      <c r="P64" s="56">
        <f t="shared" si="150"/>
        <v>5</v>
      </c>
      <c r="Q64" s="59">
        <v>26</v>
      </c>
      <c r="R64" s="59"/>
      <c r="S64" s="59">
        <f t="shared" si="151"/>
        <v>26</v>
      </c>
      <c r="T64" s="59">
        <v>800</v>
      </c>
      <c r="U64" s="59"/>
      <c r="V64" s="256">
        <f t="shared" si="152"/>
        <v>800</v>
      </c>
      <c r="W64" s="56">
        <f t="shared" si="153"/>
        <v>826</v>
      </c>
      <c r="X64" s="56">
        <f>C64/J64</f>
        <v>5599</v>
      </c>
      <c r="Y64" s="56"/>
      <c r="Z64" s="56">
        <f>E64/L64</f>
        <v>5599</v>
      </c>
      <c r="AA64" s="56">
        <f>F64/M64</f>
        <v>17455.5</v>
      </c>
      <c r="AB64" s="56"/>
      <c r="AC64" s="56">
        <f>H64/O64</f>
        <v>17455.5</v>
      </c>
      <c r="AD64" s="56">
        <f t="shared" si="88"/>
        <v>10341.6</v>
      </c>
      <c r="AE64" s="269"/>
      <c r="AF64" s="269"/>
      <c r="AG64" s="269"/>
      <c r="AH64" s="269"/>
      <c r="AI64" s="269"/>
      <c r="AJ64" s="269"/>
      <c r="AK64" s="269"/>
      <c r="AL64" s="269"/>
      <c r="AM64" s="269"/>
      <c r="AN64" s="269"/>
      <c r="AO64" s="269"/>
      <c r="AP64" s="269"/>
      <c r="AQ64" s="269"/>
      <c r="AR64" s="269"/>
      <c r="AS64" s="269"/>
      <c r="AT64" s="269"/>
      <c r="AU64" s="269">
        <f t="shared" si="114"/>
        <v>5599</v>
      </c>
      <c r="AV64" s="269">
        <f t="shared" si="115"/>
        <v>5599</v>
      </c>
      <c r="AW64" s="269">
        <f t="shared" si="89"/>
        <v>17455.5</v>
      </c>
      <c r="AX64" s="269">
        <f t="shared" si="116"/>
        <v>10341.6</v>
      </c>
      <c r="AY64" s="269">
        <f t="shared" si="117"/>
        <v>16797</v>
      </c>
      <c r="AZ64" s="269">
        <f t="shared" si="118"/>
        <v>16797</v>
      </c>
      <c r="BA64" s="269">
        <f t="shared" si="119"/>
        <v>34911</v>
      </c>
      <c r="BB64" s="269">
        <f t="shared" si="120"/>
        <v>51708</v>
      </c>
      <c r="BC64" s="56"/>
      <c r="BD64" s="56">
        <v>67414</v>
      </c>
      <c r="BE64" s="56">
        <f t="shared" si="121"/>
        <v>67414</v>
      </c>
      <c r="BF64" s="56">
        <v>9658</v>
      </c>
      <c r="BG64" s="56"/>
      <c r="BH64" s="56">
        <f t="shared" si="122"/>
        <v>9658</v>
      </c>
      <c r="BI64" s="56">
        <f t="shared" si="123"/>
        <v>77072</v>
      </c>
      <c r="BJ64" s="59"/>
      <c r="BK64" s="59">
        <v>7</v>
      </c>
      <c r="BL64" s="59">
        <f t="shared" si="155"/>
        <v>7</v>
      </c>
      <c r="BM64" s="59">
        <v>1</v>
      </c>
      <c r="BN64" s="59"/>
      <c r="BO64" s="59">
        <f t="shared" si="156"/>
        <v>1</v>
      </c>
      <c r="BP64" s="56">
        <f t="shared" si="157"/>
        <v>8</v>
      </c>
      <c r="BQ64" s="59"/>
      <c r="BR64" s="59">
        <v>220.65</v>
      </c>
      <c r="BS64" s="59">
        <f t="shared" si="158"/>
        <v>220.65</v>
      </c>
      <c r="BT64" s="59">
        <v>200</v>
      </c>
      <c r="BU64" s="59"/>
      <c r="BV64" s="59">
        <f t="shared" si="159"/>
        <v>200</v>
      </c>
      <c r="BW64" s="56">
        <f t="shared" si="129"/>
        <v>420.65</v>
      </c>
      <c r="BX64" s="56"/>
      <c r="BY64" s="56">
        <f t="shared" si="131"/>
        <v>9630.5714285714294</v>
      </c>
      <c r="BZ64" s="56">
        <f t="shared" si="132"/>
        <v>9630.5714285714294</v>
      </c>
      <c r="CA64" s="56">
        <f t="shared" si="133"/>
        <v>9658</v>
      </c>
      <c r="CB64" s="56"/>
      <c r="CC64" s="56">
        <f t="shared" si="135"/>
        <v>9658</v>
      </c>
      <c r="CD64" s="56">
        <f t="shared" si="136"/>
        <v>9634</v>
      </c>
      <c r="CE64" s="238"/>
      <c r="CF64" s="238"/>
      <c r="CG64" s="238"/>
      <c r="CH64" s="238"/>
      <c r="CI64" s="238"/>
      <c r="CJ64" s="238"/>
      <c r="CK64" s="238"/>
      <c r="CL64" s="238"/>
      <c r="CM64" s="238"/>
      <c r="CN64" s="238"/>
      <c r="CO64" s="238"/>
      <c r="CP64" s="238"/>
      <c r="CQ64" s="238"/>
      <c r="CR64" s="238"/>
      <c r="CS64" s="238"/>
      <c r="CT64" s="238"/>
      <c r="CU64" s="238">
        <f t="shared" si="91"/>
        <v>0</v>
      </c>
      <c r="CV64" s="238">
        <f t="shared" si="92"/>
        <v>9630.5714285714294</v>
      </c>
      <c r="CW64" s="238">
        <f t="shared" si="93"/>
        <v>9658</v>
      </c>
      <c r="CX64" s="238">
        <f t="shared" si="137"/>
        <v>9634</v>
      </c>
      <c r="CY64" s="238">
        <f t="shared" si="94"/>
        <v>0</v>
      </c>
      <c r="CZ64" s="238">
        <f t="shared" si="95"/>
        <v>67414</v>
      </c>
      <c r="DA64" s="238">
        <f t="shared" si="96"/>
        <v>9658</v>
      </c>
      <c r="DB64" s="238">
        <f t="shared" si="96"/>
        <v>77072</v>
      </c>
      <c r="DC64" s="56">
        <v>31091</v>
      </c>
      <c r="DD64" s="56">
        <v>51668</v>
      </c>
      <c r="DE64" s="56">
        <f>DC64+DD64</f>
        <v>82759</v>
      </c>
      <c r="DF64" s="56"/>
      <c r="DG64" s="56"/>
      <c r="DH64" s="56">
        <f t="shared" si="139"/>
        <v>0</v>
      </c>
      <c r="DI64" s="56">
        <f t="shared" si="140"/>
        <v>82759</v>
      </c>
      <c r="DJ64" s="59">
        <v>3</v>
      </c>
      <c r="DK64" s="59">
        <v>5</v>
      </c>
      <c r="DL64" s="56">
        <f t="shared" si="160"/>
        <v>8</v>
      </c>
      <c r="DM64" s="59"/>
      <c r="DN64" s="59"/>
      <c r="DO64" s="56">
        <f t="shared" si="161"/>
        <v>0</v>
      </c>
      <c r="DP64" s="56">
        <f t="shared" si="162"/>
        <v>8</v>
      </c>
      <c r="DQ64" s="59">
        <v>25</v>
      </c>
      <c r="DR64" s="59">
        <v>120</v>
      </c>
      <c r="DS64" s="56">
        <f t="shared" si="97"/>
        <v>145</v>
      </c>
      <c r="DT64" s="59"/>
      <c r="DU64" s="59"/>
      <c r="DV64" s="56">
        <f t="shared" si="98"/>
        <v>0</v>
      </c>
      <c r="DW64" s="56">
        <f t="shared" si="144"/>
        <v>145</v>
      </c>
      <c r="DX64" s="56">
        <f t="shared" si="145"/>
        <v>10363.666666666666</v>
      </c>
      <c r="DY64" s="56">
        <f t="shared" si="172"/>
        <v>10333.6</v>
      </c>
      <c r="DZ64" s="56">
        <f t="shared" si="173"/>
        <v>10344.875</v>
      </c>
      <c r="EA64" s="56"/>
      <c r="EB64" s="56"/>
      <c r="EC64" s="56"/>
      <c r="ED64" s="56">
        <f t="shared" si="146"/>
        <v>10344.875</v>
      </c>
      <c r="EE64" s="273"/>
      <c r="EF64" s="273"/>
      <c r="EG64" s="273"/>
      <c r="EH64" s="273"/>
      <c r="EI64" s="273"/>
      <c r="EJ64" s="273"/>
      <c r="EK64" s="273"/>
      <c r="EL64" s="273"/>
      <c r="EM64" s="273"/>
      <c r="EN64" s="273"/>
      <c r="EO64" s="273"/>
      <c r="EP64" s="273"/>
      <c r="EQ64" s="273"/>
      <c r="ER64" s="273"/>
      <c r="ES64" s="273"/>
      <c r="ET64" s="273"/>
      <c r="EU64" s="273">
        <f t="shared" si="100"/>
        <v>10363.666666666666</v>
      </c>
      <c r="EV64" s="273">
        <f t="shared" si="101"/>
        <v>10344.875</v>
      </c>
      <c r="EW64" s="273">
        <f t="shared" si="102"/>
        <v>0</v>
      </c>
      <c r="EX64" s="273">
        <f t="shared" si="147"/>
        <v>10344.875</v>
      </c>
      <c r="EY64" s="273">
        <f t="shared" si="103"/>
        <v>31091</v>
      </c>
      <c r="EZ64" s="273">
        <f t="shared" si="104"/>
        <v>82759</v>
      </c>
      <c r="FA64" s="273">
        <f t="shared" si="105"/>
        <v>0</v>
      </c>
      <c r="FB64" s="273">
        <f t="shared" si="105"/>
        <v>82759</v>
      </c>
      <c r="FC64" s="79"/>
      <c r="FD64" s="79"/>
      <c r="FE64" s="79"/>
      <c r="FF64" s="79"/>
      <c r="FG64" s="47"/>
      <c r="FH64" s="47"/>
      <c r="FI64" s="47"/>
      <c r="FJ64" s="47"/>
    </row>
    <row r="65" spans="1:166" x14ac:dyDescent="0.3">
      <c r="A65" s="48" t="s">
        <v>60</v>
      </c>
      <c r="B65" s="258" t="s">
        <v>29</v>
      </c>
      <c r="C65" s="53"/>
      <c r="D65" s="53"/>
      <c r="E65" s="53">
        <f t="shared" si="106"/>
        <v>0</v>
      </c>
      <c r="F65" s="53"/>
      <c r="G65" s="53"/>
      <c r="H65" s="53">
        <f t="shared" si="86"/>
        <v>0</v>
      </c>
      <c r="I65" s="56">
        <f t="shared" si="107"/>
        <v>0</v>
      </c>
      <c r="J65" s="252"/>
      <c r="K65" s="252"/>
      <c r="L65" s="252">
        <f t="shared" si="148"/>
        <v>0</v>
      </c>
      <c r="M65" s="252"/>
      <c r="N65" s="252"/>
      <c r="O65" s="252">
        <f t="shared" si="149"/>
        <v>0</v>
      </c>
      <c r="P65" s="56">
        <f t="shared" si="150"/>
        <v>0</v>
      </c>
      <c r="Q65" s="252"/>
      <c r="R65" s="252"/>
      <c r="S65" s="59">
        <f t="shared" si="151"/>
        <v>0</v>
      </c>
      <c r="T65" s="252"/>
      <c r="U65" s="252"/>
      <c r="V65" s="256">
        <f t="shared" si="152"/>
        <v>0</v>
      </c>
      <c r="W65" s="56">
        <f t="shared" si="153"/>
        <v>0</v>
      </c>
      <c r="X65" s="56"/>
      <c r="Y65" s="56"/>
      <c r="Z65" s="56"/>
      <c r="AA65" s="56"/>
      <c r="AB65" s="56"/>
      <c r="AC65" s="56"/>
      <c r="AD65" s="56"/>
      <c r="AE65" s="269"/>
      <c r="AF65" s="270"/>
      <c r="AG65" s="269"/>
      <c r="AH65" s="269"/>
      <c r="AI65" s="269"/>
      <c r="AJ65" s="269"/>
      <c r="AK65" s="270"/>
      <c r="AL65" s="270"/>
      <c r="AM65" s="270"/>
      <c r="AN65" s="267"/>
      <c r="AO65" s="267"/>
      <c r="AP65" s="267"/>
      <c r="AQ65" s="267"/>
      <c r="AR65" s="267"/>
      <c r="AS65" s="267"/>
      <c r="AT65" s="267"/>
      <c r="AU65" s="269">
        <f t="shared" si="114"/>
        <v>0</v>
      </c>
      <c r="AV65" s="269">
        <f t="shared" si="115"/>
        <v>0</v>
      </c>
      <c r="AW65" s="269">
        <f t="shared" si="89"/>
        <v>0</v>
      </c>
      <c r="AX65" s="269">
        <f t="shared" si="116"/>
        <v>0</v>
      </c>
      <c r="AY65" s="269">
        <f t="shared" si="117"/>
        <v>0</v>
      </c>
      <c r="AZ65" s="269">
        <f t="shared" si="118"/>
        <v>0</v>
      </c>
      <c r="BA65" s="269">
        <f t="shared" si="119"/>
        <v>0</v>
      </c>
      <c r="BB65" s="269">
        <f t="shared" si="120"/>
        <v>0</v>
      </c>
      <c r="BC65" s="53"/>
      <c r="BD65" s="53"/>
      <c r="BE65" s="79">
        <f t="shared" si="121"/>
        <v>0</v>
      </c>
      <c r="BF65" s="53"/>
      <c r="BG65" s="53"/>
      <c r="BH65" s="79">
        <f t="shared" si="122"/>
        <v>0</v>
      </c>
      <c r="BI65" s="56">
        <f t="shared" si="123"/>
        <v>0</v>
      </c>
      <c r="BJ65" s="252"/>
      <c r="BK65" s="252"/>
      <c r="BL65" s="252">
        <f t="shared" si="155"/>
        <v>0</v>
      </c>
      <c r="BM65" s="252"/>
      <c r="BN65" s="252"/>
      <c r="BO65" s="252">
        <f t="shared" si="156"/>
        <v>0</v>
      </c>
      <c r="BP65" s="56">
        <f t="shared" si="157"/>
        <v>0</v>
      </c>
      <c r="BQ65" s="252"/>
      <c r="BR65" s="252"/>
      <c r="BS65" s="76">
        <f t="shared" si="158"/>
        <v>0</v>
      </c>
      <c r="BT65" s="252"/>
      <c r="BU65" s="252"/>
      <c r="BV65" s="59">
        <f t="shared" si="159"/>
        <v>0</v>
      </c>
      <c r="BW65" s="56">
        <f t="shared" si="129"/>
        <v>0</v>
      </c>
      <c r="BX65" s="56"/>
      <c r="BY65" s="56"/>
      <c r="BZ65" s="56"/>
      <c r="CA65" s="56"/>
      <c r="CB65" s="56"/>
      <c r="CC65" s="56"/>
      <c r="CD65" s="56"/>
      <c r="CE65" s="238"/>
      <c r="CF65" s="241"/>
      <c r="CG65" s="238"/>
      <c r="CH65" s="238"/>
      <c r="CI65" s="238"/>
      <c r="CJ65" s="238"/>
      <c r="CK65" s="241"/>
      <c r="CL65" s="241"/>
      <c r="CM65" s="241"/>
      <c r="CN65" s="233"/>
      <c r="CO65" s="233"/>
      <c r="CP65" s="233"/>
      <c r="CQ65" s="233"/>
      <c r="CR65" s="233"/>
      <c r="CS65" s="233"/>
      <c r="CT65" s="233"/>
      <c r="CU65" s="238">
        <f t="shared" si="91"/>
        <v>0</v>
      </c>
      <c r="CV65" s="238">
        <f t="shared" si="92"/>
        <v>0</v>
      </c>
      <c r="CW65" s="238">
        <f t="shared" si="93"/>
        <v>0</v>
      </c>
      <c r="CX65" s="238">
        <f t="shared" si="137"/>
        <v>0</v>
      </c>
      <c r="CY65" s="238">
        <f t="shared" si="94"/>
        <v>0</v>
      </c>
      <c r="CZ65" s="238">
        <f t="shared" si="95"/>
        <v>0</v>
      </c>
      <c r="DA65" s="238">
        <f t="shared" si="96"/>
        <v>0</v>
      </c>
      <c r="DB65" s="238">
        <f t="shared" si="96"/>
        <v>0</v>
      </c>
      <c r="DC65" s="53"/>
      <c r="DD65" s="53"/>
      <c r="DE65" s="56">
        <f t="shared" si="138"/>
        <v>0</v>
      </c>
      <c r="DF65" s="53"/>
      <c r="DG65" s="53"/>
      <c r="DH65" s="56">
        <f t="shared" si="139"/>
        <v>0</v>
      </c>
      <c r="DI65" s="56">
        <f t="shared" si="140"/>
        <v>0</v>
      </c>
      <c r="DJ65" s="252"/>
      <c r="DK65" s="252"/>
      <c r="DL65" s="56">
        <f t="shared" si="160"/>
        <v>0</v>
      </c>
      <c r="DM65" s="252"/>
      <c r="DN65" s="252"/>
      <c r="DO65" s="56">
        <f t="shared" si="161"/>
        <v>0</v>
      </c>
      <c r="DP65" s="56">
        <f t="shared" si="162"/>
        <v>0</v>
      </c>
      <c r="DQ65" s="252"/>
      <c r="DR65" s="252"/>
      <c r="DS65" s="59">
        <f t="shared" ref="DS65:DS69" si="177">DQ65+DR65</f>
        <v>0</v>
      </c>
      <c r="DT65" s="252"/>
      <c r="DU65" s="252"/>
      <c r="DV65" s="59">
        <f t="shared" ref="DV65:DV69" si="178">DT65+DU65</f>
        <v>0</v>
      </c>
      <c r="DW65" s="56">
        <f t="shared" si="144"/>
        <v>0</v>
      </c>
      <c r="DX65" s="56"/>
      <c r="DY65" s="56"/>
      <c r="DZ65" s="56"/>
      <c r="EA65" s="56"/>
      <c r="EB65" s="56"/>
      <c r="EC65" s="56"/>
      <c r="ED65" s="56"/>
      <c r="EE65" s="273"/>
      <c r="EF65" s="274"/>
      <c r="EG65" s="273"/>
      <c r="EH65" s="273"/>
      <c r="EI65" s="273"/>
      <c r="EJ65" s="273"/>
      <c r="EK65" s="274"/>
      <c r="EL65" s="274"/>
      <c r="EM65" s="274"/>
      <c r="EN65" s="231"/>
      <c r="EO65" s="231"/>
      <c r="EP65" s="231"/>
      <c r="EQ65" s="231"/>
      <c r="ER65" s="231"/>
      <c r="ES65" s="231"/>
      <c r="ET65" s="231"/>
      <c r="EU65" s="273">
        <f t="shared" si="100"/>
        <v>0</v>
      </c>
      <c r="EV65" s="273">
        <f t="shared" si="101"/>
        <v>0</v>
      </c>
      <c r="EW65" s="273">
        <f t="shared" si="102"/>
        <v>0</v>
      </c>
      <c r="EX65" s="273">
        <f t="shared" si="147"/>
        <v>0</v>
      </c>
      <c r="EY65" s="273">
        <f t="shared" si="103"/>
        <v>0</v>
      </c>
      <c r="EZ65" s="273">
        <f t="shared" si="104"/>
        <v>0</v>
      </c>
      <c r="FA65" s="273">
        <f t="shared" si="105"/>
        <v>0</v>
      </c>
      <c r="FB65" s="273">
        <f t="shared" si="105"/>
        <v>0</v>
      </c>
      <c r="FC65" s="79"/>
      <c r="FD65" s="79"/>
      <c r="FE65" s="79"/>
      <c r="FF65" s="79"/>
      <c r="FG65" s="47"/>
      <c r="FH65" s="47"/>
      <c r="FI65" s="47"/>
      <c r="FJ65" s="47"/>
    </row>
    <row r="66" spans="1:166" ht="28.8" x14ac:dyDescent="0.3">
      <c r="A66" s="48" t="s">
        <v>61</v>
      </c>
      <c r="B66" s="258" t="s">
        <v>67</v>
      </c>
      <c r="C66" s="53">
        <v>0</v>
      </c>
      <c r="D66" s="53">
        <v>0</v>
      </c>
      <c r="E66" s="53">
        <f>C66+D66</f>
        <v>0</v>
      </c>
      <c r="F66" s="53">
        <v>0</v>
      </c>
      <c r="G66" s="53">
        <v>0</v>
      </c>
      <c r="H66" s="53">
        <f t="shared" si="86"/>
        <v>0</v>
      </c>
      <c r="I66" s="56">
        <f t="shared" si="107"/>
        <v>0</v>
      </c>
      <c r="J66" s="252">
        <v>0</v>
      </c>
      <c r="K66" s="252">
        <v>0</v>
      </c>
      <c r="L66" s="252">
        <f t="shared" si="148"/>
        <v>0</v>
      </c>
      <c r="M66" s="252">
        <v>0</v>
      </c>
      <c r="N66" s="252">
        <v>0</v>
      </c>
      <c r="O66" s="252">
        <f t="shared" si="149"/>
        <v>0</v>
      </c>
      <c r="P66" s="56">
        <f t="shared" si="150"/>
        <v>0</v>
      </c>
      <c r="Q66" s="252">
        <v>0</v>
      </c>
      <c r="R66" s="252">
        <v>0</v>
      </c>
      <c r="S66" s="59">
        <f t="shared" si="151"/>
        <v>0</v>
      </c>
      <c r="T66" s="252">
        <v>0</v>
      </c>
      <c r="U66" s="252">
        <v>0</v>
      </c>
      <c r="V66" s="256">
        <f t="shared" si="152"/>
        <v>0</v>
      </c>
      <c r="W66" s="56">
        <f t="shared" si="153"/>
        <v>0</v>
      </c>
      <c r="X66" s="56"/>
      <c r="Y66" s="56"/>
      <c r="Z66" s="56"/>
      <c r="AA66" s="56"/>
      <c r="AB66" s="56"/>
      <c r="AC66" s="56"/>
      <c r="AD66" s="56"/>
      <c r="AE66" s="269"/>
      <c r="AF66" s="270"/>
      <c r="AG66" s="269"/>
      <c r="AH66" s="269"/>
      <c r="AI66" s="269"/>
      <c r="AJ66" s="269"/>
      <c r="AK66" s="270"/>
      <c r="AL66" s="270"/>
      <c r="AM66" s="270"/>
      <c r="AN66" s="267"/>
      <c r="AO66" s="267"/>
      <c r="AP66" s="267"/>
      <c r="AQ66" s="267"/>
      <c r="AR66" s="267"/>
      <c r="AS66" s="267"/>
      <c r="AT66" s="267"/>
      <c r="AU66" s="269">
        <f t="shared" si="114"/>
        <v>0</v>
      </c>
      <c r="AV66" s="269">
        <f t="shared" si="115"/>
        <v>0</v>
      </c>
      <c r="AW66" s="269">
        <f t="shared" si="89"/>
        <v>0</v>
      </c>
      <c r="AX66" s="269">
        <f t="shared" si="116"/>
        <v>0</v>
      </c>
      <c r="AY66" s="269">
        <f t="shared" si="117"/>
        <v>0</v>
      </c>
      <c r="AZ66" s="269">
        <f t="shared" si="118"/>
        <v>0</v>
      </c>
      <c r="BA66" s="269">
        <f t="shared" si="119"/>
        <v>0</v>
      </c>
      <c r="BB66" s="269">
        <f t="shared" si="120"/>
        <v>0</v>
      </c>
      <c r="BC66" s="53">
        <v>86484.63</v>
      </c>
      <c r="BD66" s="53">
        <v>0</v>
      </c>
      <c r="BE66" s="79">
        <f t="shared" si="121"/>
        <v>86484.63</v>
      </c>
      <c r="BF66" s="53">
        <v>0</v>
      </c>
      <c r="BG66" s="53">
        <v>0</v>
      </c>
      <c r="BH66" s="79">
        <f t="shared" si="122"/>
        <v>0</v>
      </c>
      <c r="BI66" s="56">
        <f t="shared" si="123"/>
        <v>86484.63</v>
      </c>
      <c r="BJ66" s="252">
        <v>21</v>
      </c>
      <c r="BK66" s="252">
        <v>0</v>
      </c>
      <c r="BL66" s="252">
        <f t="shared" si="155"/>
        <v>21</v>
      </c>
      <c r="BM66" s="252">
        <v>0</v>
      </c>
      <c r="BN66" s="252">
        <v>0</v>
      </c>
      <c r="BO66" s="252">
        <f t="shared" si="156"/>
        <v>0</v>
      </c>
      <c r="BP66" s="56">
        <f t="shared" si="157"/>
        <v>21</v>
      </c>
      <c r="BQ66" s="252">
        <v>1299</v>
      </c>
      <c r="BR66" s="252">
        <v>0</v>
      </c>
      <c r="BS66" s="76">
        <f t="shared" si="158"/>
        <v>1299</v>
      </c>
      <c r="BT66" s="252">
        <v>0</v>
      </c>
      <c r="BU66" s="252">
        <v>0</v>
      </c>
      <c r="BV66" s="59">
        <f t="shared" si="159"/>
        <v>0</v>
      </c>
      <c r="BW66" s="56">
        <f t="shared" si="129"/>
        <v>1299</v>
      </c>
      <c r="BX66" s="56">
        <f t="shared" si="130"/>
        <v>4118.3157142857144</v>
      </c>
      <c r="BY66" s="56"/>
      <c r="BZ66" s="56">
        <f t="shared" si="132"/>
        <v>4118.3157142857144</v>
      </c>
      <c r="CA66" s="56"/>
      <c r="CB66" s="56"/>
      <c r="CC66" s="56"/>
      <c r="CD66" s="56">
        <f t="shared" si="136"/>
        <v>4118.3157142857144</v>
      </c>
      <c r="CE66" s="238"/>
      <c r="CF66" s="241"/>
      <c r="CG66" s="238"/>
      <c r="CH66" s="238"/>
      <c r="CI66" s="238"/>
      <c r="CJ66" s="238"/>
      <c r="CK66" s="241"/>
      <c r="CL66" s="241"/>
      <c r="CM66" s="241"/>
      <c r="CN66" s="233"/>
      <c r="CO66" s="233"/>
      <c r="CP66" s="233"/>
      <c r="CQ66" s="233"/>
      <c r="CR66" s="233"/>
      <c r="CS66" s="233"/>
      <c r="CT66" s="233"/>
      <c r="CU66" s="238">
        <f t="shared" si="91"/>
        <v>4118.3157142857144</v>
      </c>
      <c r="CV66" s="238">
        <f t="shared" si="92"/>
        <v>4118.3157142857144</v>
      </c>
      <c r="CW66" s="238">
        <f t="shared" si="93"/>
        <v>0</v>
      </c>
      <c r="CX66" s="238">
        <f t="shared" si="137"/>
        <v>4118.3157142857144</v>
      </c>
      <c r="CY66" s="238">
        <f t="shared" si="94"/>
        <v>86484.63</v>
      </c>
      <c r="CZ66" s="238">
        <f t="shared" si="95"/>
        <v>86484.63</v>
      </c>
      <c r="DA66" s="238">
        <f t="shared" si="96"/>
        <v>0</v>
      </c>
      <c r="DB66" s="238">
        <f t="shared" si="96"/>
        <v>86484.63</v>
      </c>
      <c r="DC66" s="53">
        <v>118922.97</v>
      </c>
      <c r="DD66" s="53">
        <v>0</v>
      </c>
      <c r="DE66" s="56">
        <f t="shared" si="138"/>
        <v>118922.97</v>
      </c>
      <c r="DF66" s="53">
        <v>0</v>
      </c>
      <c r="DG66" s="53">
        <v>0</v>
      </c>
      <c r="DH66" s="56">
        <f t="shared" si="139"/>
        <v>0</v>
      </c>
      <c r="DI66" s="56">
        <f t="shared" si="140"/>
        <v>118922.97</v>
      </c>
      <c r="DJ66" s="252">
        <v>37</v>
      </c>
      <c r="DK66" s="252">
        <v>0</v>
      </c>
      <c r="DL66" s="56">
        <f t="shared" si="160"/>
        <v>37</v>
      </c>
      <c r="DM66" s="252">
        <v>0</v>
      </c>
      <c r="DN66" s="252">
        <v>0</v>
      </c>
      <c r="DO66" s="56">
        <f t="shared" si="161"/>
        <v>0</v>
      </c>
      <c r="DP66" s="56">
        <f t="shared" si="162"/>
        <v>37</v>
      </c>
      <c r="DQ66" s="252">
        <v>5213</v>
      </c>
      <c r="DR66" s="252">
        <v>0</v>
      </c>
      <c r="DS66" s="59">
        <f t="shared" si="177"/>
        <v>5213</v>
      </c>
      <c r="DT66" s="252">
        <v>0</v>
      </c>
      <c r="DU66" s="252">
        <v>0</v>
      </c>
      <c r="DV66" s="59">
        <f t="shared" si="178"/>
        <v>0</v>
      </c>
      <c r="DW66" s="56">
        <f t="shared" si="144"/>
        <v>5213</v>
      </c>
      <c r="DX66" s="56">
        <f>DC66/DJ66</f>
        <v>3214.1343243243246</v>
      </c>
      <c r="DY66" s="56"/>
      <c r="DZ66" s="56">
        <f t="shared" si="173"/>
        <v>3214.1343243243246</v>
      </c>
      <c r="EA66" s="56"/>
      <c r="EB66" s="56"/>
      <c r="EC66" s="56"/>
      <c r="ED66" s="56">
        <f t="shared" si="146"/>
        <v>3214.1343243243246</v>
      </c>
      <c r="EE66" s="273"/>
      <c r="EF66" s="274"/>
      <c r="EG66" s="273"/>
      <c r="EH66" s="273"/>
      <c r="EI66" s="273"/>
      <c r="EJ66" s="273"/>
      <c r="EK66" s="274"/>
      <c r="EL66" s="274"/>
      <c r="EM66" s="274"/>
      <c r="EN66" s="231"/>
      <c r="EO66" s="231"/>
      <c r="EP66" s="231"/>
      <c r="EQ66" s="231"/>
      <c r="ER66" s="231"/>
      <c r="ES66" s="231"/>
      <c r="ET66" s="231"/>
      <c r="EU66" s="273">
        <f t="shared" si="100"/>
        <v>3214.1343243243246</v>
      </c>
      <c r="EV66" s="273">
        <f t="shared" si="101"/>
        <v>3214.1343243243246</v>
      </c>
      <c r="EW66" s="273">
        <f t="shared" si="102"/>
        <v>0</v>
      </c>
      <c r="EX66" s="273">
        <f t="shared" si="147"/>
        <v>3214.1343243243246</v>
      </c>
      <c r="EY66" s="273">
        <f t="shared" si="103"/>
        <v>118922.97</v>
      </c>
      <c r="EZ66" s="273">
        <f t="shared" si="104"/>
        <v>118922.97</v>
      </c>
      <c r="FA66" s="273">
        <f t="shared" si="105"/>
        <v>0</v>
      </c>
      <c r="FB66" s="273">
        <f t="shared" si="105"/>
        <v>118922.97</v>
      </c>
      <c r="FC66" s="79"/>
      <c r="FD66" s="79"/>
      <c r="FE66" s="79"/>
      <c r="FF66" s="79"/>
      <c r="FG66" s="47"/>
      <c r="FH66" s="47"/>
      <c r="FI66" s="47"/>
      <c r="FJ66" s="47"/>
    </row>
    <row r="67" spans="1:166" x14ac:dyDescent="0.3">
      <c r="A67" s="291">
        <v>24</v>
      </c>
      <c r="B67" s="258" t="s">
        <v>133</v>
      </c>
      <c r="C67" s="56"/>
      <c r="D67" s="56"/>
      <c r="E67" s="56">
        <f>C67+D67</f>
        <v>0</v>
      </c>
      <c r="F67" s="56">
        <v>10617.38</v>
      </c>
      <c r="G67" s="56"/>
      <c r="H67" s="56">
        <f t="shared" si="86"/>
        <v>10617.38</v>
      </c>
      <c r="I67" s="56">
        <f t="shared" si="107"/>
        <v>10617.38</v>
      </c>
      <c r="J67" s="59"/>
      <c r="K67" s="59"/>
      <c r="L67" s="59"/>
      <c r="M67" s="59">
        <v>2</v>
      </c>
      <c r="N67" s="59"/>
      <c r="O67" s="59">
        <f t="shared" si="149"/>
        <v>2</v>
      </c>
      <c r="P67" s="56">
        <f t="shared" si="150"/>
        <v>2</v>
      </c>
      <c r="Q67" s="59"/>
      <c r="R67" s="59"/>
      <c r="S67" s="59"/>
      <c r="T67" s="59">
        <v>550</v>
      </c>
      <c r="U67" s="59"/>
      <c r="V67" s="256">
        <f t="shared" si="152"/>
        <v>550</v>
      </c>
      <c r="W67" s="56">
        <f t="shared" si="153"/>
        <v>550</v>
      </c>
      <c r="X67" s="56"/>
      <c r="Y67" s="56"/>
      <c r="Z67" s="56"/>
      <c r="AA67" s="56">
        <f>F67/M67</f>
        <v>5308.69</v>
      </c>
      <c r="AB67" s="56"/>
      <c r="AC67" s="56">
        <f>H67/O67</f>
        <v>5308.69</v>
      </c>
      <c r="AD67" s="56">
        <f t="shared" si="88"/>
        <v>5308.69</v>
      </c>
      <c r="AE67" s="269"/>
      <c r="AF67" s="270"/>
      <c r="AG67" s="269"/>
      <c r="AH67" s="269"/>
      <c r="AI67" s="269"/>
      <c r="AJ67" s="269"/>
      <c r="AK67" s="270"/>
      <c r="AL67" s="270"/>
      <c r="AM67" s="270"/>
      <c r="AN67" s="267"/>
      <c r="AO67" s="267"/>
      <c r="AP67" s="267"/>
      <c r="AQ67" s="267"/>
      <c r="AR67" s="267"/>
      <c r="AS67" s="267"/>
      <c r="AT67" s="267"/>
      <c r="AU67" s="269"/>
      <c r="AV67" s="269"/>
      <c r="AW67" s="269"/>
      <c r="AX67" s="269">
        <f t="shared" si="116"/>
        <v>5308.69</v>
      </c>
      <c r="AY67" s="269"/>
      <c r="AZ67" s="269"/>
      <c r="BA67" s="269"/>
      <c r="BB67" s="269">
        <f t="shared" si="120"/>
        <v>10617.38</v>
      </c>
      <c r="BC67" s="56"/>
      <c r="BD67" s="56"/>
      <c r="BE67" s="56"/>
      <c r="BF67" s="56"/>
      <c r="BG67" s="56"/>
      <c r="BH67" s="56"/>
      <c r="BI67" s="56">
        <f t="shared" si="123"/>
        <v>0</v>
      </c>
      <c r="BJ67" s="59"/>
      <c r="BK67" s="59"/>
      <c r="BL67" s="59"/>
      <c r="BM67" s="59"/>
      <c r="BN67" s="59"/>
      <c r="BO67" s="59"/>
      <c r="BP67" s="56">
        <f t="shared" si="157"/>
        <v>0</v>
      </c>
      <c r="BQ67" s="59"/>
      <c r="BR67" s="59"/>
      <c r="BS67" s="59"/>
      <c r="BT67" s="59"/>
      <c r="BU67" s="59"/>
      <c r="BV67" s="59"/>
      <c r="BW67" s="56">
        <f t="shared" si="129"/>
        <v>0</v>
      </c>
      <c r="BX67" s="56"/>
      <c r="BY67" s="56"/>
      <c r="BZ67" s="56"/>
      <c r="CA67" s="56"/>
      <c r="CB67" s="56"/>
      <c r="CC67" s="56"/>
      <c r="CD67" s="56"/>
      <c r="CE67" s="238"/>
      <c r="CF67" s="241"/>
      <c r="CG67" s="238"/>
      <c r="CH67" s="238"/>
      <c r="CI67" s="238"/>
      <c r="CJ67" s="238"/>
      <c r="CK67" s="241"/>
      <c r="CL67" s="241"/>
      <c r="CM67" s="241"/>
      <c r="CN67" s="233"/>
      <c r="CO67" s="233"/>
      <c r="CP67" s="233"/>
      <c r="CQ67" s="233"/>
      <c r="CR67" s="233"/>
      <c r="CS67" s="233"/>
      <c r="CT67" s="233"/>
      <c r="CU67" s="238"/>
      <c r="CV67" s="238"/>
      <c r="CW67" s="238"/>
      <c r="CX67" s="238">
        <f t="shared" si="137"/>
        <v>0</v>
      </c>
      <c r="CY67" s="238"/>
      <c r="CZ67" s="238"/>
      <c r="DA67" s="238"/>
      <c r="DB67" s="238">
        <f t="shared" si="96"/>
        <v>0</v>
      </c>
      <c r="DC67" s="56"/>
      <c r="DD67" s="56"/>
      <c r="DE67" s="56"/>
      <c r="DF67" s="56"/>
      <c r="DG67" s="56"/>
      <c r="DH67" s="56"/>
      <c r="DI67" s="56">
        <f t="shared" si="140"/>
        <v>0</v>
      </c>
      <c r="DJ67" s="59"/>
      <c r="DK67" s="59"/>
      <c r="DL67" s="56"/>
      <c r="DM67" s="59"/>
      <c r="DN67" s="59"/>
      <c r="DO67" s="56"/>
      <c r="DP67" s="56">
        <f t="shared" si="162"/>
        <v>0</v>
      </c>
      <c r="DQ67" s="59"/>
      <c r="DR67" s="59"/>
      <c r="DS67" s="59"/>
      <c r="DT67" s="59"/>
      <c r="DU67" s="59"/>
      <c r="DV67" s="59"/>
      <c r="DW67" s="56">
        <f t="shared" si="144"/>
        <v>0</v>
      </c>
      <c r="DX67" s="56"/>
      <c r="DY67" s="56"/>
      <c r="DZ67" s="56"/>
      <c r="EA67" s="56"/>
      <c r="EB67" s="56"/>
      <c r="EC67" s="56"/>
      <c r="ED67" s="56"/>
      <c r="EE67" s="273"/>
      <c r="EF67" s="274"/>
      <c r="EG67" s="273"/>
      <c r="EH67" s="273"/>
      <c r="EI67" s="273"/>
      <c r="EJ67" s="273"/>
      <c r="EK67" s="274"/>
      <c r="EL67" s="274"/>
      <c r="EM67" s="274"/>
      <c r="EN67" s="231"/>
      <c r="EO67" s="231"/>
      <c r="EP67" s="231"/>
      <c r="EQ67" s="231"/>
      <c r="ER67" s="231"/>
      <c r="ES67" s="231"/>
      <c r="ET67" s="231"/>
      <c r="EU67" s="273"/>
      <c r="EV67" s="273"/>
      <c r="EW67" s="273"/>
      <c r="EX67" s="273">
        <f t="shared" si="147"/>
        <v>0</v>
      </c>
      <c r="EY67" s="273"/>
      <c r="EZ67" s="273"/>
      <c r="FA67" s="273"/>
      <c r="FB67" s="273">
        <f t="shared" si="105"/>
        <v>0</v>
      </c>
      <c r="FC67" s="79"/>
      <c r="FD67" s="79"/>
      <c r="FE67" s="79"/>
      <c r="FF67" s="79"/>
      <c r="FG67" s="47"/>
      <c r="FH67" s="47"/>
      <c r="FI67" s="47"/>
      <c r="FJ67" s="47"/>
    </row>
    <row r="68" spans="1:166" x14ac:dyDescent="0.3">
      <c r="A68" s="291">
        <v>25</v>
      </c>
      <c r="B68" s="258" t="s">
        <v>134</v>
      </c>
      <c r="C68" s="53"/>
      <c r="D68" s="53"/>
      <c r="E68" s="53"/>
      <c r="F68" s="53"/>
      <c r="G68" s="53"/>
      <c r="H68" s="53"/>
      <c r="I68" s="56">
        <f t="shared" si="107"/>
        <v>0</v>
      </c>
      <c r="J68" s="252"/>
      <c r="K68" s="252"/>
      <c r="L68" s="252"/>
      <c r="M68" s="252"/>
      <c r="N68" s="252"/>
      <c r="O68" s="252"/>
      <c r="P68" s="56">
        <f t="shared" si="150"/>
        <v>0</v>
      </c>
      <c r="Q68" s="252"/>
      <c r="R68" s="252"/>
      <c r="S68" s="59"/>
      <c r="T68" s="59"/>
      <c r="U68" s="59"/>
      <c r="V68" s="256"/>
      <c r="W68" s="56">
        <f t="shared" si="153"/>
        <v>0</v>
      </c>
      <c r="X68" s="56"/>
      <c r="Y68" s="56"/>
      <c r="Z68" s="56"/>
      <c r="AA68" s="56"/>
      <c r="AB68" s="56"/>
      <c r="AC68" s="56"/>
      <c r="AD68" s="56"/>
      <c r="AE68" s="269"/>
      <c r="AF68" s="270"/>
      <c r="AG68" s="269"/>
      <c r="AH68" s="269"/>
      <c r="AI68" s="269"/>
      <c r="AJ68" s="269"/>
      <c r="AK68" s="270"/>
      <c r="AL68" s="270"/>
      <c r="AM68" s="270"/>
      <c r="AN68" s="267"/>
      <c r="AO68" s="267"/>
      <c r="AP68" s="267"/>
      <c r="AQ68" s="267"/>
      <c r="AR68" s="267"/>
      <c r="AS68" s="267"/>
      <c r="AT68" s="267"/>
      <c r="AU68" s="269"/>
      <c r="AV68" s="269"/>
      <c r="AW68" s="269"/>
      <c r="AX68" s="269">
        <f t="shared" si="116"/>
        <v>0</v>
      </c>
      <c r="AY68" s="269"/>
      <c r="AZ68" s="269"/>
      <c r="BA68" s="269"/>
      <c r="BB68" s="269">
        <f t="shared" si="120"/>
        <v>0</v>
      </c>
      <c r="BC68" s="56"/>
      <c r="BD68" s="56"/>
      <c r="BE68" s="56"/>
      <c r="BF68" s="56"/>
      <c r="BG68" s="56"/>
      <c r="BH68" s="56"/>
      <c r="BI68" s="56">
        <f t="shared" si="123"/>
        <v>0</v>
      </c>
      <c r="BJ68" s="59"/>
      <c r="BK68" s="59"/>
      <c r="BL68" s="59"/>
      <c r="BM68" s="59"/>
      <c r="BN68" s="59"/>
      <c r="BO68" s="59"/>
      <c r="BP68" s="56">
        <f t="shared" si="157"/>
        <v>0</v>
      </c>
      <c r="BQ68" s="59"/>
      <c r="BR68" s="59"/>
      <c r="BS68" s="59"/>
      <c r="BT68" s="59"/>
      <c r="BU68" s="59"/>
      <c r="BV68" s="59"/>
      <c r="BW68" s="56">
        <f t="shared" si="129"/>
        <v>0</v>
      </c>
      <c r="BX68" s="56"/>
      <c r="BY68" s="56"/>
      <c r="BZ68" s="56"/>
      <c r="CA68" s="56"/>
      <c r="CB68" s="56"/>
      <c r="CC68" s="56"/>
      <c r="CD68" s="56"/>
      <c r="CE68" s="238"/>
      <c r="CF68" s="241"/>
      <c r="CG68" s="238"/>
      <c r="CH68" s="238"/>
      <c r="CI68" s="238"/>
      <c r="CJ68" s="238"/>
      <c r="CK68" s="241"/>
      <c r="CL68" s="241"/>
      <c r="CM68" s="241"/>
      <c r="CN68" s="233"/>
      <c r="CO68" s="233"/>
      <c r="CP68" s="233"/>
      <c r="CQ68" s="233"/>
      <c r="CR68" s="233"/>
      <c r="CS68" s="233"/>
      <c r="CT68" s="233"/>
      <c r="CU68" s="238"/>
      <c r="CV68" s="238"/>
      <c r="CW68" s="238"/>
      <c r="CX68" s="238">
        <f t="shared" si="137"/>
        <v>0</v>
      </c>
      <c r="CY68" s="238"/>
      <c r="CZ68" s="238"/>
      <c r="DA68" s="238"/>
      <c r="DB68" s="238">
        <f t="shared" si="96"/>
        <v>0</v>
      </c>
      <c r="DC68" s="56"/>
      <c r="DD68" s="56"/>
      <c r="DE68" s="56"/>
      <c r="DF68" s="56"/>
      <c r="DG68" s="56"/>
      <c r="DH68" s="56"/>
      <c r="DI68" s="56">
        <f t="shared" si="140"/>
        <v>0</v>
      </c>
      <c r="DJ68" s="59"/>
      <c r="DK68" s="59"/>
      <c r="DL68" s="56"/>
      <c r="DM68" s="59"/>
      <c r="DN68" s="59"/>
      <c r="DO68" s="56"/>
      <c r="DP68" s="56">
        <f t="shared" si="162"/>
        <v>0</v>
      </c>
      <c r="DQ68" s="59"/>
      <c r="DR68" s="59"/>
      <c r="DS68" s="59"/>
      <c r="DT68" s="59"/>
      <c r="DU68" s="59"/>
      <c r="DV68" s="59"/>
      <c r="DW68" s="56">
        <f t="shared" si="144"/>
        <v>0</v>
      </c>
      <c r="DX68" s="56"/>
      <c r="DY68" s="56"/>
      <c r="DZ68" s="56"/>
      <c r="EA68" s="56"/>
      <c r="EB68" s="56"/>
      <c r="EC68" s="56"/>
      <c r="ED68" s="56"/>
      <c r="EE68" s="273"/>
      <c r="EF68" s="274"/>
      <c r="EG68" s="273"/>
      <c r="EH68" s="273"/>
      <c r="EI68" s="273"/>
      <c r="EJ68" s="273"/>
      <c r="EK68" s="274"/>
      <c r="EL68" s="274"/>
      <c r="EM68" s="274"/>
      <c r="EN68" s="231"/>
      <c r="EO68" s="231"/>
      <c r="EP68" s="231"/>
      <c r="EQ68" s="231"/>
      <c r="ER68" s="231"/>
      <c r="ES68" s="231"/>
      <c r="ET68" s="231"/>
      <c r="EU68" s="273"/>
      <c r="EV68" s="273"/>
      <c r="EW68" s="273"/>
      <c r="EX68" s="273">
        <f t="shared" si="147"/>
        <v>0</v>
      </c>
      <c r="EY68" s="273"/>
      <c r="EZ68" s="273"/>
      <c r="FA68" s="273"/>
      <c r="FB68" s="273">
        <f t="shared" si="105"/>
        <v>0</v>
      </c>
      <c r="FC68" s="79"/>
      <c r="FD68" s="79"/>
      <c r="FE68" s="79"/>
      <c r="FF68" s="79"/>
      <c r="FG68" s="47"/>
      <c r="FH68" s="47"/>
      <c r="FI68" s="47"/>
      <c r="FJ68" s="47"/>
    </row>
    <row r="69" spans="1:166" ht="28.8" x14ac:dyDescent="0.3">
      <c r="A69" s="48">
        <v>26</v>
      </c>
      <c r="B69" s="258" t="s">
        <v>30</v>
      </c>
      <c r="C69" s="53">
        <v>930.83999999999992</v>
      </c>
      <c r="D69" s="53"/>
      <c r="E69" s="53">
        <f t="shared" si="106"/>
        <v>930.83999999999992</v>
      </c>
      <c r="F69" s="53"/>
      <c r="G69" s="53"/>
      <c r="H69" s="53">
        <f>F69+G69</f>
        <v>0</v>
      </c>
      <c r="I69" s="56">
        <f t="shared" si="107"/>
        <v>930.83999999999992</v>
      </c>
      <c r="J69" s="252">
        <v>6</v>
      </c>
      <c r="K69" s="252"/>
      <c r="L69" s="252">
        <f t="shared" si="148"/>
        <v>6</v>
      </c>
      <c r="M69" s="252"/>
      <c r="N69" s="252"/>
      <c r="O69" s="252">
        <f t="shared" si="149"/>
        <v>0</v>
      </c>
      <c r="P69" s="56">
        <f t="shared" si="150"/>
        <v>6</v>
      </c>
      <c r="Q69" s="252">
        <v>90</v>
      </c>
      <c r="R69" s="252"/>
      <c r="S69" s="59">
        <f t="shared" si="151"/>
        <v>90</v>
      </c>
      <c r="T69" s="252"/>
      <c r="U69" s="252"/>
      <c r="V69" s="256">
        <f t="shared" si="152"/>
        <v>0</v>
      </c>
      <c r="W69" s="56">
        <f t="shared" si="153"/>
        <v>90</v>
      </c>
      <c r="X69" s="56">
        <f>C69/J69</f>
        <v>155.13999999999999</v>
      </c>
      <c r="Y69" s="56"/>
      <c r="Z69" s="56">
        <f>E69/L69</f>
        <v>155.13999999999999</v>
      </c>
      <c r="AA69" s="56"/>
      <c r="AB69" s="56"/>
      <c r="AC69" s="56"/>
      <c r="AD69" s="56">
        <f t="shared" si="88"/>
        <v>155.13999999999999</v>
      </c>
      <c r="AE69" s="269"/>
      <c r="AF69" s="270"/>
      <c r="AG69" s="269"/>
      <c r="AH69" s="269"/>
      <c r="AI69" s="269"/>
      <c r="AJ69" s="269"/>
      <c r="AK69" s="270"/>
      <c r="AL69" s="270"/>
      <c r="AM69" s="270"/>
      <c r="AN69" s="267"/>
      <c r="AO69" s="267"/>
      <c r="AP69" s="267"/>
      <c r="AQ69" s="267"/>
      <c r="AR69" s="267"/>
      <c r="AS69" s="267"/>
      <c r="AT69" s="267"/>
      <c r="AU69" s="269">
        <f t="shared" si="114"/>
        <v>155.13999999999999</v>
      </c>
      <c r="AV69" s="269">
        <f t="shared" si="115"/>
        <v>155.13999999999999</v>
      </c>
      <c r="AW69" s="269">
        <f t="shared" si="89"/>
        <v>0</v>
      </c>
      <c r="AX69" s="269">
        <f t="shared" si="116"/>
        <v>155.13999999999999</v>
      </c>
      <c r="AY69" s="269">
        <f t="shared" si="117"/>
        <v>930.83999999999992</v>
      </c>
      <c r="AZ69" s="269">
        <f t="shared" si="118"/>
        <v>930.83999999999992</v>
      </c>
      <c r="BA69" s="269">
        <f t="shared" si="119"/>
        <v>0</v>
      </c>
      <c r="BB69" s="269">
        <f t="shared" si="120"/>
        <v>930.83999999999992</v>
      </c>
      <c r="BC69" s="53"/>
      <c r="BD69" s="53"/>
      <c r="BE69" s="79">
        <f t="shared" si="121"/>
        <v>0</v>
      </c>
      <c r="BF69" s="53"/>
      <c r="BG69" s="53"/>
      <c r="BH69" s="79">
        <f t="shared" si="122"/>
        <v>0</v>
      </c>
      <c r="BI69" s="56">
        <f t="shared" si="123"/>
        <v>0</v>
      </c>
      <c r="BJ69" s="252"/>
      <c r="BK69" s="252"/>
      <c r="BL69" s="252">
        <f t="shared" si="155"/>
        <v>0</v>
      </c>
      <c r="BM69" s="252"/>
      <c r="BN69" s="252"/>
      <c r="BO69" s="252">
        <f t="shared" si="156"/>
        <v>0</v>
      </c>
      <c r="BP69" s="56">
        <f t="shared" si="157"/>
        <v>0</v>
      </c>
      <c r="BQ69" s="252"/>
      <c r="BR69" s="252"/>
      <c r="BS69" s="76">
        <f t="shared" si="158"/>
        <v>0</v>
      </c>
      <c r="BT69" s="252"/>
      <c r="BU69" s="252"/>
      <c r="BV69" s="59">
        <f t="shared" si="159"/>
        <v>0</v>
      </c>
      <c r="BW69" s="56">
        <f t="shared" si="129"/>
        <v>0</v>
      </c>
      <c r="BX69" s="56"/>
      <c r="BY69" s="56"/>
      <c r="BZ69" s="56"/>
      <c r="CA69" s="56"/>
      <c r="CB69" s="56"/>
      <c r="CC69" s="56"/>
      <c r="CD69" s="56"/>
      <c r="CE69" s="238"/>
      <c r="CF69" s="241"/>
      <c r="CG69" s="238"/>
      <c r="CH69" s="238"/>
      <c r="CI69" s="238"/>
      <c r="CJ69" s="238"/>
      <c r="CK69" s="241"/>
      <c r="CL69" s="241"/>
      <c r="CM69" s="241"/>
      <c r="CN69" s="233"/>
      <c r="CO69" s="233"/>
      <c r="CP69" s="233"/>
      <c r="CQ69" s="233"/>
      <c r="CR69" s="233"/>
      <c r="CS69" s="233"/>
      <c r="CT69" s="233"/>
      <c r="CU69" s="238">
        <f t="shared" si="91"/>
        <v>0</v>
      </c>
      <c r="CV69" s="238">
        <f t="shared" si="92"/>
        <v>0</v>
      </c>
      <c r="CW69" s="238">
        <f t="shared" si="93"/>
        <v>0</v>
      </c>
      <c r="CX69" s="238">
        <f t="shared" si="137"/>
        <v>0</v>
      </c>
      <c r="CY69" s="238">
        <f t="shared" si="94"/>
        <v>0</v>
      </c>
      <c r="CZ69" s="238">
        <f t="shared" si="95"/>
        <v>0</v>
      </c>
      <c r="DA69" s="238">
        <f t="shared" si="96"/>
        <v>0</v>
      </c>
      <c r="DB69" s="238">
        <f t="shared" si="96"/>
        <v>0</v>
      </c>
      <c r="DC69" s="53">
        <v>270.83999999999997</v>
      </c>
      <c r="DD69" s="53">
        <v>0</v>
      </c>
      <c r="DE69" s="56">
        <f t="shared" si="138"/>
        <v>270.83999999999997</v>
      </c>
      <c r="DF69" s="53">
        <v>0</v>
      </c>
      <c r="DG69" s="53">
        <v>0</v>
      </c>
      <c r="DH69" s="56">
        <f t="shared" si="139"/>
        <v>0</v>
      </c>
      <c r="DI69" s="56">
        <f t="shared" si="140"/>
        <v>270.83999999999997</v>
      </c>
      <c r="DJ69" s="252">
        <v>6</v>
      </c>
      <c r="DK69" s="252">
        <v>0</v>
      </c>
      <c r="DL69" s="56">
        <f t="shared" si="160"/>
        <v>6</v>
      </c>
      <c r="DM69" s="252">
        <v>0</v>
      </c>
      <c r="DN69" s="252">
        <v>0</v>
      </c>
      <c r="DO69" s="56">
        <f t="shared" si="161"/>
        <v>0</v>
      </c>
      <c r="DP69" s="56">
        <f t="shared" si="162"/>
        <v>6</v>
      </c>
      <c r="DQ69" s="252">
        <v>75</v>
      </c>
      <c r="DR69" s="252">
        <v>0</v>
      </c>
      <c r="DS69" s="59">
        <f t="shared" si="177"/>
        <v>75</v>
      </c>
      <c r="DT69" s="252">
        <v>0</v>
      </c>
      <c r="DU69" s="252">
        <v>0</v>
      </c>
      <c r="DV69" s="59">
        <f t="shared" si="178"/>
        <v>0</v>
      </c>
      <c r="DW69" s="56">
        <f t="shared" si="144"/>
        <v>75</v>
      </c>
      <c r="DX69" s="56">
        <f t="shared" si="145"/>
        <v>45.139999999999993</v>
      </c>
      <c r="DY69" s="56"/>
      <c r="DZ69" s="56">
        <f t="shared" si="173"/>
        <v>45.139999999999993</v>
      </c>
      <c r="EA69" s="56"/>
      <c r="EB69" s="56"/>
      <c r="EC69" s="56"/>
      <c r="ED69" s="56">
        <f t="shared" si="146"/>
        <v>45.139999999999993</v>
      </c>
      <c r="EE69" s="273"/>
      <c r="EF69" s="274"/>
      <c r="EG69" s="273"/>
      <c r="EH69" s="273"/>
      <c r="EI69" s="273"/>
      <c r="EJ69" s="273"/>
      <c r="EK69" s="274"/>
      <c r="EL69" s="274"/>
      <c r="EM69" s="274"/>
      <c r="EN69" s="231"/>
      <c r="EO69" s="231"/>
      <c r="EP69" s="231"/>
      <c r="EQ69" s="231"/>
      <c r="ER69" s="231"/>
      <c r="ES69" s="231"/>
      <c r="ET69" s="231"/>
      <c r="EU69" s="273">
        <f t="shared" si="100"/>
        <v>45.139999999999993</v>
      </c>
      <c r="EV69" s="273">
        <f t="shared" si="101"/>
        <v>45.139999999999993</v>
      </c>
      <c r="EW69" s="273">
        <f t="shared" si="102"/>
        <v>0</v>
      </c>
      <c r="EX69" s="273">
        <f t="shared" si="147"/>
        <v>45.139999999999993</v>
      </c>
      <c r="EY69" s="273">
        <f t="shared" si="103"/>
        <v>270.83999999999997</v>
      </c>
      <c r="EZ69" s="273">
        <f t="shared" si="104"/>
        <v>270.83999999999997</v>
      </c>
      <c r="FA69" s="273">
        <f t="shared" si="105"/>
        <v>0</v>
      </c>
      <c r="FB69" s="273">
        <f t="shared" si="105"/>
        <v>270.83999999999997</v>
      </c>
      <c r="FC69" s="79"/>
      <c r="FD69" s="79"/>
      <c r="FE69" s="79"/>
      <c r="FF69" s="79"/>
      <c r="FG69" s="47"/>
      <c r="FH69" s="47"/>
      <c r="FI69" s="47"/>
      <c r="FJ69" s="47"/>
    </row>
    <row r="70" spans="1:166" s="260" customFormat="1" ht="57.6" x14ac:dyDescent="0.3">
      <c r="A70" s="230"/>
      <c r="B70" s="286" t="s">
        <v>116</v>
      </c>
      <c r="C70" s="255">
        <f>C44+C46+C48+C49+C50+C51+C52+C53+C54+C55+C57+C58+C59+C60+C61+C62+C69</f>
        <v>55771602.899999999</v>
      </c>
      <c r="D70" s="230"/>
      <c r="E70" s="295">
        <f>E44+E46+E48+E49+E50+E51+E52+E53+E54+E55+E57+E58+E59+E60+E61+E62+E64+E69</f>
        <v>67465834.800000012</v>
      </c>
      <c r="F70" s="230"/>
      <c r="G70" s="230"/>
      <c r="H70" s="295">
        <f>H44+H45+H50+H54+H56+H58+H61</f>
        <v>8842265.4399999995</v>
      </c>
      <c r="I70" s="285">
        <f>I44+I46+I48+I49+I50+I51+I52+I53+I54+I55+I57+I58+I59+I60+I61+I62+I64+I67+I69</f>
        <v>73803139.800000012</v>
      </c>
      <c r="J70" s="287">
        <f>J44+J46+J48+J49+J50+J51+J52+J53+J54+J55+J57+J58+J59+J60+J61+J62+J69</f>
        <v>4784</v>
      </c>
      <c r="K70" s="230"/>
      <c r="L70" s="288">
        <f>L44+L46+L48+L49+L50+L51+L52+L53+L54+L55+L57+L58+L59+L60+L61+L62+L64+L69</f>
        <v>5170</v>
      </c>
      <c r="M70" s="230"/>
      <c r="N70" s="230"/>
      <c r="O70" s="288">
        <f>O44+O45+O50+O54+O56+O58+O61</f>
        <v>239</v>
      </c>
      <c r="P70" s="288">
        <f>P44+P46+P48+P49+P50+P51+P52+P53+P54+P55+P57+P58+P59+P60+P61+P62+P64+P67+P69</f>
        <v>5364</v>
      </c>
      <c r="Q70" s="287">
        <f>Q44+Q46+Q48+Q49+Q50+Q51+Q52+Q53+Q54+Q55+Q57+Q58+Q59+Q60+Q61+Q62+Q69</f>
        <v>64648.468000000001</v>
      </c>
      <c r="R70" s="230"/>
      <c r="S70" s="288">
        <f>S44+S46+S48+S49+S50+S51+S52+S53+S54+S55+S57+S58+S59+S60+S61+S62+S64+S69</f>
        <v>82992.967999999993</v>
      </c>
      <c r="T70" s="230"/>
      <c r="U70" s="230"/>
      <c r="V70" s="288">
        <f>V44+V45+V50+V54+V56+V58+V61</f>
        <v>119757.04</v>
      </c>
      <c r="W70" s="288">
        <f>W44+W46+W48+W49+W50+W51+W52+W53+W54+W55+W57+W58+W59+W60+W61+W62+W64+W67+W69</f>
        <v>184883.96799999999</v>
      </c>
      <c r="X70" s="613" t="s">
        <v>115</v>
      </c>
      <c r="Y70" s="614"/>
      <c r="Z70" s="614"/>
      <c r="AA70" s="614"/>
      <c r="AB70" s="614"/>
      <c r="AC70" s="614"/>
      <c r="AD70" s="615"/>
      <c r="AE70" s="269"/>
      <c r="AF70" s="270"/>
      <c r="AG70" s="269"/>
      <c r="AH70" s="269"/>
      <c r="AI70" s="269"/>
      <c r="AJ70" s="269"/>
      <c r="AK70" s="270"/>
      <c r="AL70" s="270"/>
      <c r="AM70" s="270"/>
      <c r="AN70" s="267"/>
      <c r="AO70" s="267"/>
      <c r="AP70" s="267"/>
      <c r="AQ70" s="267"/>
      <c r="AR70" s="267"/>
      <c r="AS70" s="267"/>
      <c r="AT70" s="267"/>
      <c r="AU70" s="267"/>
      <c r="AV70" s="269"/>
      <c r="AW70" s="269"/>
      <c r="AX70" s="269"/>
      <c r="AY70" s="287">
        <f>AY44+AY46+AY48+AY49+AY50+AY51+AY52+AY53+AY54+AY55+AY57+AY58+AY59+AY60+AY61+AY62+AY69</f>
        <v>55771602.899999999</v>
      </c>
      <c r="AZ70" s="288">
        <f>AZ44+AZ46+AZ48+AZ49+AZ50+AZ51+AZ52+AZ53+AZ54+AZ55+AZ57+AZ58+AZ59+AZ60+AZ61+AZ62+AZ64+AZ69</f>
        <v>67465834.800000012</v>
      </c>
      <c r="BA70" s="288">
        <f>BA44+BA45+BA50+BA54+BA56+BA58+BA61</f>
        <v>5173573.5</v>
      </c>
      <c r="BB70" s="288">
        <f>BB44+BB46+BB48+BB49+BB50+BB51+BB52+BB53+BB54+BB55+BB57+BB58+BB59+BB60+BB61+BB62+BB64+BB67+BB69</f>
        <v>73803139.800000012</v>
      </c>
      <c r="BC70" s="56">
        <f>BC44+BC48+BC49+BC50+BC51+BC52+BC53+BC54+BC55+BC56+BC57+BC58+BC59+BC60+BC61+BC62+BC66</f>
        <v>56198341.210000016</v>
      </c>
      <c r="BD70" s="230"/>
      <c r="BE70" s="285">
        <f>BE44+BE48+BE49+BE51+BE52+BE53+BE54+BE55+BE56+BE57+BE58+BE59+BE60+BE61+BE62+BE64+BE66</f>
        <v>50205810.95000001</v>
      </c>
      <c r="BF70" s="230"/>
      <c r="BG70" s="230"/>
      <c r="BH70" s="285">
        <f>BH44+BH45+BH46+BH47+BH52+BH54+BH55+BH56+BH57+BH58+BH61+BH64</f>
        <v>6910505.4399999985</v>
      </c>
      <c r="BI70" s="285">
        <f>BI44+BI48+BI49+BI51+BI52+BI53+BI54+BI55+BI56+BI57+BI58+BI59+BI60+BI61+BI62+BI64+BI66</f>
        <v>54204483.990000002</v>
      </c>
      <c r="BJ70" s="287">
        <f>BJ44+BJ48+BJ49+BJ50+BJ51+BJ52+BJ53+BJ54+BJ55+BJ56+BJ57+BJ58+BJ59+BJ60+BJ61+BJ62+BJ66</f>
        <v>4581</v>
      </c>
      <c r="BK70" s="230"/>
      <c r="BL70" s="288">
        <f>BL44+BL48+BL49+BL51+BL52+BL53+BL54+BL55+BL56+BL57+BL58+BL59+BL60+BL61+BL62+BL64+BL66</f>
        <v>4460</v>
      </c>
      <c r="BM70" s="230"/>
      <c r="BN70" s="230"/>
      <c r="BO70" s="288">
        <f>BO44+BO45+BO46+BO47+BO52+BO54+BO55+BO56+BO57+BO58+BO61+BO64</f>
        <v>378</v>
      </c>
      <c r="BP70" s="288">
        <f>BP44+BP48+BP49+BP51+BP52+BP53+BP54+BP55+BP56+BP57+BP58+BP59+BP60+BP61+BP62+BP64+BP66</f>
        <v>4774</v>
      </c>
      <c r="BQ70" s="287">
        <f>BQ44+BQ48+BQ49+BQ50+BQ51+BQ52+BQ53+BQ54+BQ55+BQ56+BQ57+BQ58+BQ59+BQ60+BQ61+BQ62+BQ66</f>
        <v>59557.75</v>
      </c>
      <c r="BR70" s="230"/>
      <c r="BS70" s="288">
        <f>BS44+BS48+BS49+BS51+BS52+BS53+BS54+BS55+BS56+BS57+BS58+BS59+BS60+BS61+BS62+BS64+BS66</f>
        <v>73587.5</v>
      </c>
      <c r="BT70" s="230"/>
      <c r="BU70" s="230"/>
      <c r="BV70" s="288">
        <f>BV44+BV45+BV46+BV47+BV52+BV54+BV55+BV56+BV57+BV58+BV61+BV64</f>
        <v>189153.2</v>
      </c>
      <c r="BW70" s="288">
        <f>BW44+BW48+BW49+BW51+BW52+BW53+BW54+BW55+BW56+BW57+BW58+BW59+BW60+BW61+BW62+BW64+BW66</f>
        <v>198683.5</v>
      </c>
      <c r="BX70" s="613" t="s">
        <v>115</v>
      </c>
      <c r="BY70" s="614"/>
      <c r="BZ70" s="614"/>
      <c r="CA70" s="614"/>
      <c r="CB70" s="614"/>
      <c r="CC70" s="614"/>
      <c r="CD70" s="615"/>
      <c r="CE70" s="238"/>
      <c r="CF70" s="241"/>
      <c r="CG70" s="238"/>
      <c r="CH70" s="238"/>
      <c r="CI70" s="238"/>
      <c r="CJ70" s="238"/>
      <c r="CK70" s="241"/>
      <c r="CL70" s="241"/>
      <c r="CM70" s="241"/>
      <c r="CN70" s="233"/>
      <c r="CO70" s="233"/>
      <c r="CP70" s="233"/>
      <c r="CQ70" s="233"/>
      <c r="CR70" s="233"/>
      <c r="CS70" s="233"/>
      <c r="CT70" s="233"/>
      <c r="CU70" s="233"/>
      <c r="CV70" s="238"/>
      <c r="CW70" s="238"/>
      <c r="CX70" s="238"/>
      <c r="CY70" s="287">
        <f>CY44+CY48+CY49+CY50+CY51+CY52+CY53+CY54+CY55+CY56+CY57+CY58+CY59+CY60+CY61+CY62+CY66</f>
        <v>56198341.210000016</v>
      </c>
      <c r="CZ70" s="288">
        <f>CZ44+CZ48+CZ49+CZ51+CZ52+CZ53+CZ54+CZ55+CZ56+CZ57+CZ58+CZ59+CZ60+CZ61+CZ62+CZ64+CZ66</f>
        <v>50205810.95000001</v>
      </c>
      <c r="DA70" s="288">
        <f>DA44+DA45+DA46+DA47+DA52+DA54+DA55+DA56+DA57+DA58+DA61+DA64</f>
        <v>6910505.4399999995</v>
      </c>
      <c r="DB70" s="288">
        <f>DB44+DB48+DB49+DB51+DB52+DB53+DB54+DB55+DB56+DB57+DB58+DB59+DB60+DB61+DB62+DB64+DB66</f>
        <v>54204483.990000002</v>
      </c>
      <c r="DC70" s="56">
        <f>DC44+DC48+DC49+DC50+DC51+DC52+DC53+DC54+DC55+DC56+DC57+DC58+DC59+DC60+DC61+DC62+DC63+DC64+DC66+DC69</f>
        <v>59454738.720000006</v>
      </c>
      <c r="DD70" s="230"/>
      <c r="DE70" s="285">
        <f>DE44+DE48+DE49+DE51+DE52+DE53+DE54+DE55+DE56+DE57+DE58+DE59+DE60+DE61+DE62+DE63+DE64+DE66+DE69</f>
        <v>52021915.710000001</v>
      </c>
      <c r="DF70" s="230"/>
      <c r="DG70" s="230"/>
      <c r="DH70" s="285">
        <f>DH44+DH45+DH47+DH54+DH56+DH58+DH61</f>
        <v>6567279.6700000009</v>
      </c>
      <c r="DI70" s="285">
        <f>DI44+DI48+DI49+DI51+DI52+DI53+DI54+DI55+DI56+DI57+DI58+DI59+DI60+DI61+DI62+DI63+DI64+DI66+DI69</f>
        <v>54435365.180000007</v>
      </c>
      <c r="DJ70" s="287">
        <f>DJ44+DJ48+DJ49+DJ50+DJ51+DJ52+DJ53+DJ54+DJ55+DJ56+DJ57+DJ58+DJ59+DJ60+DJ61+DJ62+DJ63+DJ64+DJ66+DJ69</f>
        <v>4849</v>
      </c>
      <c r="DK70" s="230"/>
      <c r="DL70" s="288">
        <f>DL44+DL48+DL49+DL51+DL52+DL53+DL54+DL55+DL56+DL57+DL58+DL59+DL60+DL61+DL62+DL63+DL64+DL66+DL69</f>
        <v>4605</v>
      </c>
      <c r="DM70" s="230"/>
      <c r="DN70" s="230"/>
      <c r="DO70" s="288">
        <f>DO44+DO45+DO47+DO54+DO56+DO58+DO61</f>
        <v>270</v>
      </c>
      <c r="DP70" s="288">
        <f>DP44+DP48+DP49+DP51+DP52+DP53+DP54+DP55+DP56+DP57+DP58+DP59+DP60+DP61+DP62+DP63+DP64+DP66+DP69</f>
        <v>4800</v>
      </c>
      <c r="DQ70" s="287">
        <f>DQ44+DQ48+DQ49+DQ50+DQ51+DQ52+DQ53+DQ54+DQ55+DQ56+DQ57+DQ58+DQ59+DQ60+DQ61+DQ62+DQ63+DQ64+DQ66+DQ69</f>
        <v>68803.475000000006</v>
      </c>
      <c r="DR70" s="230"/>
      <c r="DS70" s="288">
        <f>DS44+DS48+DS49+DS51+DS52+DS53+DS54+DS55+DS56+DS57+DS58+DS59+DS60+DS61+DS62+DS63+DS64+DS66+DS69</f>
        <v>75562.684999999998</v>
      </c>
      <c r="DT70" s="230"/>
      <c r="DU70" s="230"/>
      <c r="DV70" s="288">
        <f>DV44+DV45+DV47+DV54+DV56+DV58+DV61</f>
        <v>106446.04</v>
      </c>
      <c r="DW70" s="288">
        <f>DW44+DW48+DW49+DW51+DW52+DW53+DW54+DW55+DW56+DW57+DW58+DW59+DW60+DW61+DW62+DW63+DW64+DW66+DW69</f>
        <v>155733.72500000001</v>
      </c>
      <c r="DX70" s="613" t="s">
        <v>115</v>
      </c>
      <c r="DY70" s="614"/>
      <c r="DZ70" s="614"/>
      <c r="EA70" s="614"/>
      <c r="EB70" s="614"/>
      <c r="EC70" s="614"/>
      <c r="ED70" s="615"/>
      <c r="EE70" s="273"/>
      <c r="EF70" s="274"/>
      <c r="EG70" s="273"/>
      <c r="EH70" s="273"/>
      <c r="EI70" s="273"/>
      <c r="EJ70" s="273"/>
      <c r="EK70" s="274"/>
      <c r="EL70" s="274"/>
      <c r="EM70" s="274"/>
      <c r="EN70" s="231"/>
      <c r="EO70" s="231"/>
      <c r="EP70" s="231"/>
      <c r="EQ70" s="231"/>
      <c r="ER70" s="231"/>
      <c r="ES70" s="231"/>
      <c r="ET70" s="231"/>
      <c r="EU70" s="231"/>
      <c r="EV70" s="273"/>
      <c r="EW70" s="273"/>
      <c r="EX70" s="273"/>
      <c r="EY70" s="287">
        <f>EY44+EY48+EY49+EY50+EY51+EY52+EY53+EY54+EY55+EY56+EY57+EY58+EY59+EY60+EY61+EY62+EY63+EY64+EY66+EY69</f>
        <v>59454738.720000006</v>
      </c>
      <c r="EZ70" s="288">
        <f>EZ44+EZ48+EZ49+EZ51+EZ52+EZ53+EZ54+EZ55+EZ56+EZ57+EZ58+EZ59+EZ60+EZ61+EZ62+EZ63+EZ64+EZ66+EZ69</f>
        <v>52021915.710000001</v>
      </c>
      <c r="FA70" s="288">
        <f>FA44+FA45+FA47+FA54+FA56+FA58+FA61</f>
        <v>6567279.6700000009</v>
      </c>
      <c r="FB70" s="288">
        <f>FB44+FB48+FB49+FB51+FB52+FB53+FB54+FB55+FB56+FB57+FB58+FB59+FB60+FB61+FB62+FB63+FB64+FB66+FB69</f>
        <v>54435365.180000007</v>
      </c>
      <c r="FC70" s="56"/>
      <c r="FD70" s="230"/>
      <c r="FE70" s="230"/>
      <c r="FF70" s="230"/>
      <c r="FG70" s="230"/>
      <c r="FH70" s="230"/>
      <c r="FI70" s="230"/>
      <c r="FJ70" s="230"/>
    </row>
    <row r="71" spans="1:166" s="260" customFormat="1" ht="115.2" x14ac:dyDescent="0.3">
      <c r="C71" s="147" t="s">
        <v>118</v>
      </c>
      <c r="D71" s="147"/>
      <c r="E71" s="147" t="s">
        <v>118</v>
      </c>
      <c r="F71" s="147"/>
      <c r="G71" s="147"/>
      <c r="H71" s="147" t="s">
        <v>118</v>
      </c>
      <c r="I71" s="147" t="s">
        <v>118</v>
      </c>
      <c r="J71" s="296" t="s">
        <v>116</v>
      </c>
      <c r="L71" s="296" t="s">
        <v>116</v>
      </c>
      <c r="O71" s="296" t="s">
        <v>116</v>
      </c>
      <c r="P71" s="296" t="s">
        <v>116</v>
      </c>
      <c r="Q71" s="296" t="s">
        <v>116</v>
      </c>
      <c r="S71" s="296" t="s">
        <v>116</v>
      </c>
      <c r="V71" s="296" t="s">
        <v>116</v>
      </c>
      <c r="W71" s="296" t="s">
        <v>116</v>
      </c>
      <c r="AE71" s="280"/>
      <c r="AF71" s="281"/>
      <c r="AG71" s="280"/>
      <c r="AH71" s="280"/>
      <c r="AI71" s="280"/>
      <c r="AJ71" s="280"/>
      <c r="AK71" s="281"/>
      <c r="AL71" s="281"/>
      <c r="AM71" s="281"/>
      <c r="AN71" s="282"/>
      <c r="AO71" s="282"/>
      <c r="AP71" s="282"/>
      <c r="AQ71" s="282"/>
      <c r="AR71" s="282"/>
      <c r="AS71" s="282"/>
      <c r="AT71" s="282"/>
      <c r="AU71" s="282"/>
      <c r="AV71" s="280"/>
      <c r="AW71" s="280"/>
      <c r="AX71" s="280"/>
      <c r="AY71" s="631" t="s">
        <v>117</v>
      </c>
      <c r="AZ71" s="614"/>
      <c r="BA71" s="614"/>
      <c r="BB71" s="619"/>
      <c r="BC71" s="147" t="s">
        <v>118</v>
      </c>
      <c r="BD71" s="147"/>
      <c r="BE71" s="147" t="s">
        <v>118</v>
      </c>
      <c r="BF71" s="147"/>
      <c r="BG71" s="147"/>
      <c r="BH71" s="147" t="s">
        <v>118</v>
      </c>
      <c r="BI71" s="147" t="s">
        <v>118</v>
      </c>
      <c r="BJ71" s="296" t="s">
        <v>116</v>
      </c>
      <c r="BL71" s="296" t="s">
        <v>116</v>
      </c>
      <c r="BO71" s="296" t="s">
        <v>116</v>
      </c>
      <c r="BP71" s="296" t="s">
        <v>116</v>
      </c>
      <c r="BQ71" s="296" t="s">
        <v>116</v>
      </c>
      <c r="BS71" s="296" t="s">
        <v>116</v>
      </c>
      <c r="BV71" s="296" t="s">
        <v>116</v>
      </c>
      <c r="BW71" s="296" t="s">
        <v>116</v>
      </c>
      <c r="CE71" s="262"/>
      <c r="CF71" s="278"/>
      <c r="CG71" s="262"/>
      <c r="CH71" s="262"/>
      <c r="CI71" s="262"/>
      <c r="CJ71" s="262"/>
      <c r="CK71" s="278"/>
      <c r="CL71" s="278"/>
      <c r="CM71" s="278"/>
      <c r="CN71" s="292"/>
      <c r="CO71" s="292"/>
      <c r="CP71" s="292"/>
      <c r="CQ71" s="292"/>
      <c r="CR71" s="292"/>
      <c r="CS71" s="292"/>
      <c r="CT71" s="292"/>
      <c r="CU71" s="292"/>
      <c r="CV71" s="262"/>
      <c r="CW71" s="262"/>
      <c r="CX71" s="262"/>
      <c r="CY71" s="651" t="s">
        <v>117</v>
      </c>
      <c r="CZ71" s="647"/>
      <c r="DA71" s="647"/>
      <c r="DB71" s="648"/>
      <c r="DC71" s="147" t="s">
        <v>118</v>
      </c>
      <c r="DD71" s="147"/>
      <c r="DE71" s="147" t="s">
        <v>118</v>
      </c>
      <c r="DF71" s="147"/>
      <c r="DG71" s="147"/>
      <c r="DH71" s="147" t="s">
        <v>118</v>
      </c>
      <c r="DI71" s="147" t="s">
        <v>118</v>
      </c>
      <c r="DJ71" s="296" t="s">
        <v>116</v>
      </c>
      <c r="DL71" s="296" t="s">
        <v>116</v>
      </c>
      <c r="DO71" s="296" t="s">
        <v>116</v>
      </c>
      <c r="DP71" s="296" t="s">
        <v>116</v>
      </c>
      <c r="DQ71" s="296" t="s">
        <v>116</v>
      </c>
      <c r="DS71" s="296" t="s">
        <v>116</v>
      </c>
      <c r="DV71" s="296" t="s">
        <v>116</v>
      </c>
      <c r="DW71" s="296" t="s">
        <v>116</v>
      </c>
      <c r="EE71" s="275"/>
      <c r="EF71" s="276"/>
      <c r="EG71" s="275"/>
      <c r="EH71" s="275"/>
      <c r="EI71" s="275"/>
      <c r="EJ71" s="275"/>
      <c r="EK71" s="276"/>
      <c r="EL71" s="276"/>
      <c r="EM71" s="276"/>
      <c r="EN71" s="297"/>
      <c r="EO71" s="297"/>
      <c r="EP71" s="297"/>
      <c r="EQ71" s="297"/>
      <c r="ER71" s="297"/>
      <c r="ES71" s="297"/>
      <c r="ET71" s="297"/>
      <c r="EU71" s="297"/>
      <c r="EV71" s="275"/>
      <c r="EW71" s="275"/>
      <c r="EX71" s="275"/>
      <c r="EY71" s="631" t="s">
        <v>117</v>
      </c>
      <c r="EZ71" s="614"/>
      <c r="FA71" s="614"/>
      <c r="FB71" s="619"/>
      <c r="FC71" s="629" t="s">
        <v>128</v>
      </c>
      <c r="FD71" s="630"/>
      <c r="FE71" s="630"/>
      <c r="FF71" s="630"/>
      <c r="FG71" s="629" t="s">
        <v>130</v>
      </c>
      <c r="FH71" s="630"/>
      <c r="FI71" s="630"/>
      <c r="FJ71" s="630"/>
    </row>
    <row r="72" spans="1:166" s="260" customFormat="1" ht="57.6" x14ac:dyDescent="0.3">
      <c r="I72" s="56" t="s">
        <v>132</v>
      </c>
      <c r="J72" s="59">
        <f>SUM(J44:J69)</f>
        <v>5593</v>
      </c>
      <c r="K72" s="59"/>
      <c r="L72" s="59">
        <f>SUM(L44:L69)</f>
        <v>6321</v>
      </c>
      <c r="M72" s="59"/>
      <c r="N72" s="59"/>
      <c r="O72" s="59">
        <f>SUM(O44:O69)</f>
        <v>248</v>
      </c>
      <c r="P72" s="59">
        <f>SUM(P44:P69)</f>
        <v>6569</v>
      </c>
      <c r="Q72" s="59">
        <f>SUM(Q44:Q69)</f>
        <v>75763.097999999998</v>
      </c>
      <c r="R72" s="59"/>
      <c r="S72" s="59">
        <f>SUM(S44:S69)</f>
        <v>113738.16800000001</v>
      </c>
      <c r="T72" s="59"/>
      <c r="U72" s="59"/>
      <c r="V72" s="59">
        <f>SUM(V44:V69)</f>
        <v>122991.03999999999</v>
      </c>
      <c r="W72" s="59">
        <f>SUM(W44:W69)</f>
        <v>236729.20799999998</v>
      </c>
      <c r="AE72" s="294"/>
      <c r="AF72" s="294"/>
      <c r="AG72" s="294"/>
      <c r="AH72" s="294"/>
      <c r="AI72" s="294"/>
      <c r="AJ72" s="294"/>
      <c r="AK72" s="294"/>
      <c r="AL72" s="294"/>
      <c r="AM72" s="294"/>
      <c r="AN72" s="294"/>
      <c r="AO72" s="294"/>
      <c r="AP72" s="294"/>
      <c r="AQ72" s="294"/>
      <c r="AR72" s="294"/>
      <c r="AS72" s="294"/>
      <c r="AT72" s="294"/>
      <c r="AU72" s="294"/>
      <c r="AV72" s="294"/>
      <c r="AW72" s="294"/>
      <c r="AX72" s="269" t="s">
        <v>119</v>
      </c>
      <c r="AY72" s="269">
        <f>AY70/J70</f>
        <v>11657.94375</v>
      </c>
      <c r="AZ72" s="269">
        <f>AZ70/L70</f>
        <v>13049.484487427468</v>
      </c>
      <c r="BA72" s="269">
        <f>BA70/O70</f>
        <v>21646.751046025103</v>
      </c>
      <c r="BB72" s="269">
        <f>BB70/P70</f>
        <v>13758.974608501121</v>
      </c>
      <c r="BI72" s="56" t="s">
        <v>132</v>
      </c>
      <c r="BJ72" s="59">
        <f>SUM(BJ44:BJ69)</f>
        <v>5800</v>
      </c>
      <c r="BK72" s="59"/>
      <c r="BL72" s="59">
        <f>SUM(BL44:BL69)</f>
        <v>6642</v>
      </c>
      <c r="BM72" s="59"/>
      <c r="BN72" s="59"/>
      <c r="BO72" s="59">
        <f>SUM(BO44:BO69)</f>
        <v>394</v>
      </c>
      <c r="BP72" s="59">
        <f>SUM(BP44:BP69)</f>
        <v>7036</v>
      </c>
      <c r="BQ72" s="59">
        <f>SUM(BQ44:BQ69)</f>
        <v>78105.350000000006</v>
      </c>
      <c r="BR72" s="59"/>
      <c r="BS72" s="59">
        <f>SUM(BS44:BS69)</f>
        <v>125919.49999999999</v>
      </c>
      <c r="BT72" s="59"/>
      <c r="BU72" s="59"/>
      <c r="BV72" s="59">
        <f>SUM(BV44:BV69)</f>
        <v>194085.2</v>
      </c>
      <c r="BW72" s="56">
        <f>SUM(BW44:BW69)</f>
        <v>320004.7</v>
      </c>
      <c r="CE72" s="293"/>
      <c r="CF72" s="293"/>
      <c r="CG72" s="293"/>
      <c r="CH72" s="293"/>
      <c r="CI72" s="293"/>
      <c r="CJ72" s="293"/>
      <c r="CK72" s="293"/>
      <c r="CL72" s="293"/>
      <c r="CM72" s="293"/>
      <c r="CN72" s="293"/>
      <c r="CO72" s="293"/>
      <c r="CP72" s="293"/>
      <c r="CQ72" s="293"/>
      <c r="CR72" s="293"/>
      <c r="CS72" s="293"/>
      <c r="CT72" s="293"/>
      <c r="CU72" s="293"/>
      <c r="CV72" s="293"/>
      <c r="CW72" s="293"/>
      <c r="CX72" s="238" t="s">
        <v>119</v>
      </c>
      <c r="CY72" s="238">
        <f>CY70/BJ70</f>
        <v>12267.701639380051</v>
      </c>
      <c r="CZ72" s="238">
        <f>CZ70/BL70</f>
        <v>11256.908284753366</v>
      </c>
      <c r="DA72" s="238">
        <f>DA70/BO70</f>
        <v>18281.760423280422</v>
      </c>
      <c r="DB72" s="238">
        <f>DB70/BP70</f>
        <v>11354.102218265605</v>
      </c>
      <c r="DI72" s="56" t="s">
        <v>132</v>
      </c>
      <c r="DJ72" s="59">
        <f>SUM(DJ44:DJ69)</f>
        <v>5879</v>
      </c>
      <c r="DK72" s="59"/>
      <c r="DL72" s="59">
        <f>SUM(DL44:DL69)</f>
        <v>6548</v>
      </c>
      <c r="DM72" s="59"/>
      <c r="DN72" s="59"/>
      <c r="DO72" s="59">
        <f>SUM(DO44:DO69)</f>
        <v>290</v>
      </c>
      <c r="DP72" s="59">
        <f>SUM(DP44:DP69)</f>
        <v>6838</v>
      </c>
      <c r="DQ72" s="59">
        <f>SUM(DQ44:DQ69)</f>
        <v>78845.464999999997</v>
      </c>
      <c r="DR72" s="59"/>
      <c r="DS72" s="59">
        <f>SUM(DS44:DS69)</f>
        <v>118003.97499999998</v>
      </c>
      <c r="DT72" s="59"/>
      <c r="DU72" s="59"/>
      <c r="DV72" s="59">
        <f>SUM(DV44:DV69)</f>
        <v>112116.04</v>
      </c>
      <c r="DW72" s="59">
        <f>SUM(DW44:DW69)</f>
        <v>230120.01500000001</v>
      </c>
      <c r="EE72" s="298"/>
      <c r="EF72" s="298"/>
      <c r="EG72" s="298"/>
      <c r="EH72" s="298"/>
      <c r="EI72" s="298"/>
      <c r="EJ72" s="298"/>
      <c r="EK72" s="298"/>
      <c r="EL72" s="298"/>
      <c r="EM72" s="298"/>
      <c r="EN72" s="298"/>
      <c r="EO72" s="298"/>
      <c r="EP72" s="298"/>
      <c r="EQ72" s="298"/>
      <c r="ER72" s="298"/>
      <c r="ES72" s="298"/>
      <c r="ET72" s="298"/>
      <c r="EU72" s="298"/>
      <c r="EV72" s="298"/>
      <c r="EW72" s="298"/>
      <c r="EX72" s="273" t="s">
        <v>119</v>
      </c>
      <c r="EY72" s="273">
        <f>EY70/DJ70</f>
        <v>12261.237104557642</v>
      </c>
      <c r="EZ72" s="273">
        <f>EZ70/DL70</f>
        <v>11296.832944625407</v>
      </c>
      <c r="FA72" s="273">
        <f>FA70/DO70</f>
        <v>24323.258037037042</v>
      </c>
      <c r="FB72" s="273">
        <f>FB70/DP70</f>
        <v>11340.701079166669</v>
      </c>
      <c r="FC72" s="301">
        <f>(CY72*$FE$6*$FF$6+EY72*$FF$6+AY72)/3*$FG$6*$FH$6</f>
        <v>13606.23719876685</v>
      </c>
      <c r="FD72" s="301">
        <f t="shared" ref="FD72" si="179">(CZ72*$FE$6*$FF$6+EZ72*$FF$6+AZ72)/3*$FG$6*$FH$6</f>
        <v>13344.422663703079</v>
      </c>
      <c r="FE72" s="301">
        <f t="shared" ref="FE72" si="180">(DA72*$FE$6*$FF$6+FA72*$FF$6+BA72)/3*$FG$6*$FH$6</f>
        <v>24053.777436033219</v>
      </c>
      <c r="FF72" s="301">
        <f t="shared" ref="FF72" si="181">(DB72*$FE$6*$FF$6+FB72*$FF$6+BB72)/3*$FG$6*$FH$6</f>
        <v>13653.420348047652</v>
      </c>
      <c r="FG72" s="308">
        <f>FC72*(J72+BJ72+DJ72)/(Q72+BQ72+DQ72)</f>
        <v>1009.8533683162341</v>
      </c>
      <c r="FH72" s="308">
        <f>FD72*(L72+BL72+DL72)/(S72+BS72+DS72)</f>
        <v>727.95905204604446</v>
      </c>
      <c r="FI72" s="308">
        <f>FE72*(O72+BO72+DO72)/(V72+BV72+DV72)</f>
        <v>52.233280082258148</v>
      </c>
      <c r="FJ72" s="308">
        <f>FF72*(P72+BP72+DP72)/(W72+BW72+DW72)</f>
        <v>354.72514531154991</v>
      </c>
    </row>
    <row r="73" spans="1:166" s="260" customFormat="1" ht="43.2" x14ac:dyDescent="0.3">
      <c r="AE73" s="294"/>
      <c r="AF73" s="294"/>
      <c r="AG73" s="294"/>
      <c r="AH73" s="294"/>
      <c r="AI73" s="294"/>
      <c r="AJ73" s="294"/>
      <c r="AK73" s="294"/>
      <c r="AL73" s="294"/>
      <c r="AM73" s="294"/>
      <c r="AN73" s="294"/>
      <c r="AO73" s="294"/>
      <c r="AP73" s="294"/>
      <c r="AQ73" s="294"/>
      <c r="AR73" s="294"/>
      <c r="AS73" s="294"/>
      <c r="AT73" s="294"/>
      <c r="AU73" s="294"/>
      <c r="AV73" s="294"/>
      <c r="AW73" s="294"/>
      <c r="AX73" s="269" t="s">
        <v>120</v>
      </c>
      <c r="AY73" s="269">
        <f>AY70/Q70</f>
        <v>862.69024812776684</v>
      </c>
      <c r="AZ73" s="269">
        <f>AZ70/S70</f>
        <v>812.91025523993812</v>
      </c>
      <c r="BA73" s="269">
        <f>BA70/V70</f>
        <v>43.200579272834403</v>
      </c>
      <c r="BB73" s="269">
        <f>BB70/W70</f>
        <v>399.18626043335468</v>
      </c>
      <c r="CE73" s="293"/>
      <c r="CF73" s="293"/>
      <c r="CG73" s="293"/>
      <c r="CH73" s="293"/>
      <c r="CI73" s="293"/>
      <c r="CJ73" s="293"/>
      <c r="CK73" s="293"/>
      <c r="CL73" s="293"/>
      <c r="CM73" s="293"/>
      <c r="CN73" s="293"/>
      <c r="CO73" s="293"/>
      <c r="CP73" s="293"/>
      <c r="CQ73" s="293"/>
      <c r="CR73" s="293"/>
      <c r="CS73" s="293"/>
      <c r="CT73" s="293"/>
      <c r="CU73" s="293"/>
      <c r="CV73" s="293"/>
      <c r="CW73" s="293"/>
      <c r="CX73" s="238" t="s">
        <v>120</v>
      </c>
      <c r="CY73" s="238">
        <f>CY70/BQ70</f>
        <v>943.59409497504555</v>
      </c>
      <c r="CZ73" s="238">
        <f>CZ70/BS70</f>
        <v>682.26004348564652</v>
      </c>
      <c r="DA73" s="238">
        <f>DA70/BV70</f>
        <v>36.533907118674172</v>
      </c>
      <c r="DB73" s="238">
        <f>DB70/BW70</f>
        <v>272.81824605465476</v>
      </c>
      <c r="EE73" s="298"/>
      <c r="EF73" s="298"/>
      <c r="EG73" s="298"/>
      <c r="EH73" s="298"/>
      <c r="EI73" s="298"/>
      <c r="EJ73" s="298"/>
      <c r="EK73" s="298"/>
      <c r="EL73" s="298"/>
      <c r="EM73" s="298"/>
      <c r="EN73" s="298"/>
      <c r="EO73" s="298"/>
      <c r="EP73" s="298"/>
      <c r="EQ73" s="298"/>
      <c r="ER73" s="298"/>
      <c r="ES73" s="298"/>
      <c r="ET73" s="298"/>
      <c r="EU73" s="298"/>
      <c r="EV73" s="298"/>
      <c r="EW73" s="298"/>
      <c r="EX73" s="273" t="s">
        <v>120</v>
      </c>
      <c r="EY73" s="273">
        <f>EY70/DQ70</f>
        <v>864.12406815208101</v>
      </c>
      <c r="EZ73" s="273">
        <f>EZ70/DS70</f>
        <v>688.46039166024877</v>
      </c>
      <c r="FA73" s="273">
        <f>FA70/DV70</f>
        <v>61.695857074626744</v>
      </c>
      <c r="FB73" s="273">
        <f>FB70/DW70</f>
        <v>349.54127745933005</v>
      </c>
      <c r="FC73" s="632" t="s">
        <v>126</v>
      </c>
      <c r="FD73" s="630"/>
      <c r="FE73" s="630"/>
      <c r="FF73" s="630"/>
      <c r="FG73" s="629" t="s">
        <v>131</v>
      </c>
      <c r="FH73" s="630"/>
      <c r="FI73" s="630"/>
      <c r="FJ73" s="630"/>
    </row>
    <row r="74" spans="1:166" s="46" customFormat="1" ht="49.5" customHeight="1" x14ac:dyDescent="0.3">
      <c r="FC74" s="300">
        <f>FC41+FC72</f>
        <v>25406.43610288321</v>
      </c>
      <c r="FD74" s="300">
        <f t="shared" ref="FD74:FF74" si="182">FD41+FD72</f>
        <v>26074.460761826122</v>
      </c>
      <c r="FE74" s="300">
        <f t="shared" si="182"/>
        <v>44260.601284984281</v>
      </c>
      <c r="FF74" s="300">
        <f t="shared" si="182"/>
        <v>26511.874718117608</v>
      </c>
      <c r="FG74" s="309">
        <f>FG41+FG72</f>
        <v>1885.7607304117798</v>
      </c>
      <c r="FH74" s="309">
        <f t="shared" ref="FH74:FJ74" si="183">FH41+FH72</f>
        <v>1422.3290084117571</v>
      </c>
      <c r="FI74" s="309">
        <f t="shared" si="183"/>
        <v>96.166939730279552</v>
      </c>
      <c r="FJ74" s="309">
        <f t="shared" si="183"/>
        <v>689.14195079127251</v>
      </c>
    </row>
  </sheetData>
  <customSheetViews>
    <customSheetView guid="{9528F918-98F0-45FD-BE58-081CB6B26C60}" scale="70" state="hidden" topLeftCell="A4">
      <pane xSplit="2" ySplit="9" topLeftCell="D13" activePane="bottomRight" state="frozen"/>
      <selection pane="bottomRight" activeCell="S40" sqref="S40"/>
      <pageMargins left="0.7" right="0.7" top="0.75" bottom="0.75" header="0.3" footer="0.3"/>
      <pageSetup paperSize="9" orientation="portrait" verticalDpi="0" r:id="rId1"/>
    </customSheetView>
    <customSheetView guid="{512A30C0-C237-4A61-86DC-72786D6F25C2}" scale="70" state="hidden" topLeftCell="A4">
      <pane xSplit="2" ySplit="9" topLeftCell="D13" activePane="bottomRight" state="frozen"/>
      <selection pane="bottomRight" activeCell="S40" sqref="S40"/>
      <pageMargins left="0.7" right="0.7" top="0.75" bottom="0.75" header="0.3" footer="0.3"/>
      <pageSetup paperSize="9" orientation="portrait" verticalDpi="0" r:id="rId2"/>
    </customSheetView>
    <customSheetView guid="{0CB0DA52-F445-4927-9AA2-C71984857A40}" scale="70" state="hidden" topLeftCell="A4">
      <pane xSplit="2" ySplit="9" topLeftCell="D13" activePane="bottomRight" state="frozen"/>
      <selection pane="bottomRight" activeCell="S40" sqref="S40"/>
      <pageMargins left="0.7" right="0.7" top="0.75" bottom="0.75" header="0.3" footer="0.3"/>
      <pageSetup paperSize="9" orientation="portrait" verticalDpi="0" r:id="rId3"/>
    </customSheetView>
    <customSheetView guid="{6BDD9E66-BFEF-437C-92D4-C3942BAB2C45}" scale="70" state="hidden" topLeftCell="A4">
      <pane xSplit="2" ySplit="9" topLeftCell="D13" activePane="bottomRight" state="frozen"/>
      <selection pane="bottomRight" activeCell="S40" sqref="S40"/>
      <pageMargins left="0.7" right="0.7" top="0.75" bottom="0.75" header="0.3" footer="0.3"/>
      <pageSetup paperSize="9" orientation="portrait" verticalDpi="0" r:id="rId4"/>
    </customSheetView>
    <customSheetView guid="{0ED4EF63-5D08-4DEB-B312-C0FBC2C39F95}" scale="70" state="hidden" topLeftCell="A4">
      <pane xSplit="2" ySplit="9" topLeftCell="D13" activePane="bottomRight" state="frozen"/>
      <selection pane="bottomRight" activeCell="S40" sqref="S40"/>
      <pageMargins left="0.7" right="0.7" top="0.75" bottom="0.75" header="0.3" footer="0.3"/>
      <pageSetup paperSize="9" orientation="portrait" verticalDpi="0" r:id="rId5"/>
    </customSheetView>
    <customSheetView guid="{D39D4E7D-6C3D-47CF-BFE2-CDFE67B11C85}" scale="70" state="hidden" topLeftCell="A4">
      <pane xSplit="2" ySplit="9" topLeftCell="D13" activePane="bottomRight" state="frozen"/>
      <selection pane="bottomRight" activeCell="S40" sqref="S40"/>
      <pageMargins left="0.7" right="0.7" top="0.75" bottom="0.75" header="0.3" footer="0.3"/>
      <pageSetup paperSize="9" orientation="portrait" verticalDpi="0" r:id="rId6"/>
    </customSheetView>
  </customSheetViews>
  <mergeCells count="57">
    <mergeCell ref="DC8:ED8"/>
    <mergeCell ref="DX9:ED9"/>
    <mergeCell ref="DX39:ED39"/>
    <mergeCell ref="DX70:ED70"/>
    <mergeCell ref="EE9:EH9"/>
    <mergeCell ref="EE8:FB8"/>
    <mergeCell ref="EY9:FB9"/>
    <mergeCell ref="EU9:EX9"/>
    <mergeCell ref="EQ9:ET9"/>
    <mergeCell ref="EI9:EL9"/>
    <mergeCell ref="EY40:FB40"/>
    <mergeCell ref="FD4:FH4"/>
    <mergeCell ref="FC9:FF9"/>
    <mergeCell ref="FC71:FF71"/>
    <mergeCell ref="AM9:AP9"/>
    <mergeCell ref="AQ9:AT9"/>
    <mergeCell ref="AU9:AX9"/>
    <mergeCell ref="AY71:BB71"/>
    <mergeCell ref="AY40:BB40"/>
    <mergeCell ref="BC8:CD8"/>
    <mergeCell ref="BX9:CD9"/>
    <mergeCell ref="BQ9:BW9"/>
    <mergeCell ref="BJ9:BP9"/>
    <mergeCell ref="BC9:BI9"/>
    <mergeCell ref="BX70:CD70"/>
    <mergeCell ref="BX39:CD39"/>
    <mergeCell ref="CY71:DB71"/>
    <mergeCell ref="FG73:FJ73"/>
    <mergeCell ref="EY71:FB71"/>
    <mergeCell ref="FC73:FF73"/>
    <mergeCell ref="FG9:FJ9"/>
    <mergeCell ref="AE8:BA8"/>
    <mergeCell ref="CE8:DA8"/>
    <mergeCell ref="AE9:AH9"/>
    <mergeCell ref="AY9:BA9"/>
    <mergeCell ref="DQ9:DW9"/>
    <mergeCell ref="EM9:EO9"/>
    <mergeCell ref="FC40:FE40"/>
    <mergeCell ref="FG40:FJ40"/>
    <mergeCell ref="FG71:FJ71"/>
    <mergeCell ref="CY40:DB40"/>
    <mergeCell ref="CY9:DB9"/>
    <mergeCell ref="CU9:CX9"/>
    <mergeCell ref="C9:I9"/>
    <mergeCell ref="J9:P9"/>
    <mergeCell ref="Q9:W9"/>
    <mergeCell ref="C8:AD8"/>
    <mergeCell ref="X9:AD9"/>
    <mergeCell ref="X39:AD39"/>
    <mergeCell ref="X70:AD70"/>
    <mergeCell ref="AI9:AL9"/>
    <mergeCell ref="DC9:DI9"/>
    <mergeCell ref="DJ9:DP9"/>
    <mergeCell ref="CQ9:CT9"/>
    <mergeCell ref="CM9:CP9"/>
    <mergeCell ref="CE9:CH9"/>
    <mergeCell ref="CI9:CL9"/>
  </mergeCells>
  <pageMargins left="0.7" right="0.7" top="0.75" bottom="0.75" header="0.3" footer="0.3"/>
  <pageSetup paperSize="9" orientation="portrait" verticalDpi="0" r:id="rId7"/>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65"/>
  <sheetViews>
    <sheetView zoomScale="80" zoomScaleNormal="60" workbookViewId="0">
      <pane xSplit="2" ySplit="12" topLeftCell="C13" activePane="bottomRight" state="frozen"/>
      <selection pane="topRight" activeCell="C1" sqref="C1"/>
      <selection pane="bottomLeft" activeCell="A13" sqref="A13"/>
      <selection pane="bottomRight" activeCell="C23" sqref="C23"/>
    </sheetView>
  </sheetViews>
  <sheetFormatPr defaultColWidth="19.44140625" defaultRowHeight="14.4" x14ac:dyDescent="0.3"/>
  <cols>
    <col min="1" max="1" width="7.44140625" style="6" customWidth="1"/>
    <col min="2" max="2" width="32.44140625" style="6" customWidth="1"/>
    <col min="3" max="16384" width="19.44140625" style="6"/>
  </cols>
  <sheetData>
    <row r="1" spans="1:125" x14ac:dyDescent="0.3">
      <c r="F1" s="3" t="s">
        <v>31</v>
      </c>
      <c r="G1" s="3"/>
      <c r="L1" s="3"/>
      <c r="M1" s="3"/>
      <c r="O1" s="3"/>
      <c r="P1" s="3"/>
    </row>
    <row r="2" spans="1:125" x14ac:dyDescent="0.3">
      <c r="F2" s="3" t="s">
        <v>32</v>
      </c>
      <c r="G2" s="3"/>
      <c r="L2" s="3"/>
      <c r="M2" s="3"/>
      <c r="O2" s="3"/>
      <c r="P2" s="3"/>
    </row>
    <row r="3" spans="1:125" x14ac:dyDescent="0.3">
      <c r="F3" s="3" t="s">
        <v>33</v>
      </c>
      <c r="G3" s="3"/>
      <c r="L3" s="3"/>
      <c r="M3" s="3"/>
      <c r="O3" s="3"/>
      <c r="P3" s="3"/>
    </row>
    <row r="4" spans="1:125" x14ac:dyDescent="0.3">
      <c r="F4" s="3" t="s">
        <v>34</v>
      </c>
      <c r="G4" s="3"/>
      <c r="L4" s="3"/>
      <c r="M4" s="3"/>
      <c r="O4" s="3"/>
      <c r="P4" s="3"/>
    </row>
    <row r="5" spans="1:125" x14ac:dyDescent="0.3">
      <c r="F5" s="3" t="s">
        <v>35</v>
      </c>
      <c r="G5" s="3"/>
      <c r="L5" s="3"/>
      <c r="M5" s="3"/>
      <c r="O5" s="3"/>
      <c r="P5" s="3"/>
    </row>
    <row r="6" spans="1:125" ht="15" x14ac:dyDescent="0.25">
      <c r="F6" s="3"/>
      <c r="G6" s="3"/>
      <c r="L6" s="3"/>
      <c r="M6" s="3"/>
      <c r="O6" s="3"/>
      <c r="P6" s="3"/>
    </row>
    <row r="7" spans="1:125" ht="15" thickBot="1" x14ac:dyDescent="0.35">
      <c r="CT7" s="14"/>
      <c r="DJ7" s="15" t="s">
        <v>36</v>
      </c>
      <c r="DK7" s="15"/>
      <c r="DL7" s="15"/>
      <c r="DM7" s="15"/>
      <c r="DN7" s="15"/>
      <c r="DO7" s="15"/>
      <c r="DP7" s="15"/>
      <c r="DQ7" s="15"/>
      <c r="DR7" s="15"/>
      <c r="DS7" s="15"/>
    </row>
    <row r="8" spans="1:125" ht="15" thickBot="1" x14ac:dyDescent="0.35">
      <c r="C8" s="670" t="s">
        <v>93</v>
      </c>
      <c r="D8" s="671"/>
      <c r="E8" s="671"/>
      <c r="F8" s="671"/>
      <c r="G8" s="671"/>
      <c r="H8" s="671"/>
      <c r="I8" s="671"/>
      <c r="J8" s="671"/>
      <c r="K8" s="671"/>
      <c r="L8" s="671"/>
      <c r="M8" s="671"/>
      <c r="N8" s="671"/>
      <c r="O8" s="671"/>
      <c r="P8" s="671"/>
      <c r="Q8" s="671"/>
      <c r="R8" s="672"/>
      <c r="S8" s="673" t="s">
        <v>94</v>
      </c>
      <c r="T8" s="674"/>
      <c r="U8" s="674"/>
      <c r="V8" s="674"/>
      <c r="W8" s="674"/>
      <c r="X8" s="674"/>
      <c r="Y8" s="674"/>
      <c r="Z8" s="674"/>
      <c r="AA8" s="674"/>
      <c r="AB8" s="674"/>
      <c r="AC8" s="674"/>
      <c r="AD8" s="674"/>
      <c r="AE8" s="674"/>
      <c r="AF8" s="674"/>
      <c r="AG8" s="674"/>
      <c r="AH8" s="675"/>
      <c r="AI8" s="89"/>
      <c r="AJ8" s="89"/>
      <c r="AK8" s="89"/>
      <c r="AL8" s="89"/>
      <c r="AM8" s="89"/>
      <c r="AN8" s="89"/>
      <c r="AO8" s="89"/>
      <c r="AP8" s="89"/>
      <c r="AQ8" s="676" t="s">
        <v>89</v>
      </c>
      <c r="AR8" s="677"/>
      <c r="AS8" s="677"/>
      <c r="AT8" s="677"/>
      <c r="AU8" s="677"/>
      <c r="AV8" s="677"/>
      <c r="AW8" s="677"/>
      <c r="AX8" s="677"/>
      <c r="AY8" s="677"/>
      <c r="AZ8" s="677"/>
      <c r="BA8" s="677"/>
      <c r="BB8" s="677"/>
      <c r="BC8" s="677"/>
      <c r="BD8" s="677"/>
      <c r="BE8" s="677"/>
      <c r="BF8" s="678"/>
      <c r="BG8" s="673" t="s">
        <v>90</v>
      </c>
      <c r="BH8" s="674"/>
      <c r="BI8" s="674"/>
      <c r="BJ8" s="674"/>
      <c r="BK8" s="674"/>
      <c r="BL8" s="674"/>
      <c r="BM8" s="674"/>
      <c r="BN8" s="674"/>
      <c r="BO8" s="674"/>
      <c r="BP8" s="674"/>
      <c r="BQ8" s="674"/>
      <c r="BR8" s="674"/>
      <c r="BS8" s="674"/>
      <c r="BT8" s="674"/>
      <c r="BU8" s="674"/>
      <c r="BV8" s="675"/>
      <c r="BW8" s="210"/>
      <c r="BX8" s="210"/>
      <c r="BY8" s="210"/>
      <c r="BZ8" s="210"/>
      <c r="CA8" s="210"/>
      <c r="CB8" s="210"/>
      <c r="CC8" s="210"/>
      <c r="CD8" s="210"/>
      <c r="CE8" s="681" t="s">
        <v>91</v>
      </c>
      <c r="CF8" s="682"/>
      <c r="CG8" s="682"/>
      <c r="CH8" s="682"/>
      <c r="CI8" s="682"/>
      <c r="CJ8" s="682"/>
      <c r="CK8" s="682"/>
      <c r="CL8" s="682"/>
      <c r="CM8" s="682"/>
      <c r="CN8" s="682"/>
      <c r="CO8" s="682"/>
      <c r="CP8" s="682"/>
      <c r="CQ8" s="682"/>
      <c r="CR8" s="682"/>
      <c r="CS8" s="682"/>
      <c r="CT8" s="683"/>
      <c r="CU8" s="673" t="s">
        <v>92</v>
      </c>
      <c r="CV8" s="674"/>
      <c r="CW8" s="674"/>
      <c r="CX8" s="674"/>
      <c r="CY8" s="674"/>
      <c r="CZ8" s="674"/>
      <c r="DA8" s="674"/>
      <c r="DB8" s="674"/>
      <c r="DC8" s="674"/>
      <c r="DD8" s="674"/>
      <c r="DE8" s="674"/>
      <c r="DF8" s="674"/>
      <c r="DG8" s="674"/>
      <c r="DH8" s="674"/>
      <c r="DI8" s="674"/>
      <c r="DJ8" s="675"/>
      <c r="DK8" s="220"/>
      <c r="DL8" s="220"/>
      <c r="DM8" s="220"/>
      <c r="DN8" s="220"/>
      <c r="DO8" s="220"/>
      <c r="DP8" s="220"/>
      <c r="DQ8" s="220"/>
      <c r="DR8" s="220"/>
      <c r="DS8" s="220"/>
    </row>
    <row r="9" spans="1:125" ht="15.75" customHeight="1" thickBot="1" x14ac:dyDescent="0.35">
      <c r="A9" s="16" t="s">
        <v>0</v>
      </c>
      <c r="B9" s="17" t="s">
        <v>37</v>
      </c>
      <c r="C9" s="663" t="s">
        <v>38</v>
      </c>
      <c r="D9" s="664"/>
      <c r="E9" s="664"/>
      <c r="F9" s="665"/>
      <c r="G9" s="663" t="s">
        <v>39</v>
      </c>
      <c r="H9" s="664"/>
      <c r="I9" s="664"/>
      <c r="J9" s="665"/>
      <c r="K9" s="663" t="s">
        <v>40</v>
      </c>
      <c r="L9" s="664"/>
      <c r="M9" s="664"/>
      <c r="N9" s="665"/>
      <c r="O9" s="663" t="s">
        <v>88</v>
      </c>
      <c r="P9" s="664"/>
      <c r="Q9" s="664"/>
      <c r="R9" s="665"/>
      <c r="S9" s="666" t="s">
        <v>39</v>
      </c>
      <c r="T9" s="667"/>
      <c r="U9" s="666" t="s">
        <v>69</v>
      </c>
      <c r="V9" s="667"/>
      <c r="W9" s="666" t="s">
        <v>72</v>
      </c>
      <c r="X9" s="667"/>
      <c r="Y9" s="666" t="s">
        <v>73</v>
      </c>
      <c r="Z9" s="667"/>
      <c r="AA9" s="666" t="s">
        <v>74</v>
      </c>
      <c r="AB9" s="667"/>
      <c r="AC9" s="680" t="s">
        <v>75</v>
      </c>
      <c r="AD9" s="667"/>
      <c r="AE9" s="666" t="s">
        <v>76</v>
      </c>
      <c r="AF9" s="680"/>
      <c r="AG9" s="668" t="s">
        <v>88</v>
      </c>
      <c r="AH9" s="669"/>
      <c r="AI9" s="218" t="s">
        <v>81</v>
      </c>
      <c r="AJ9" s="218" t="s">
        <v>82</v>
      </c>
      <c r="AK9" s="218" t="s">
        <v>79</v>
      </c>
      <c r="AL9" s="218" t="s">
        <v>80</v>
      </c>
      <c r="AM9" s="218" t="s">
        <v>74</v>
      </c>
      <c r="AN9" s="218" t="s">
        <v>75</v>
      </c>
      <c r="AO9" s="218" t="s">
        <v>76</v>
      </c>
      <c r="AP9" s="218"/>
      <c r="AQ9" s="663" t="s">
        <v>38</v>
      </c>
      <c r="AR9" s="664"/>
      <c r="AS9" s="664"/>
      <c r="AT9" s="665"/>
      <c r="AU9" s="663" t="s">
        <v>39</v>
      </c>
      <c r="AV9" s="664"/>
      <c r="AW9" s="664"/>
      <c r="AX9" s="665"/>
      <c r="AY9" s="663" t="s">
        <v>40</v>
      </c>
      <c r="AZ9" s="664"/>
      <c r="BA9" s="664"/>
      <c r="BB9" s="665"/>
      <c r="BC9" s="663" t="s">
        <v>41</v>
      </c>
      <c r="BD9" s="664"/>
      <c r="BE9" s="664"/>
      <c r="BF9" s="665"/>
      <c r="BG9" s="666" t="s">
        <v>39</v>
      </c>
      <c r="BH9" s="667"/>
      <c r="BI9" s="666" t="s">
        <v>69</v>
      </c>
      <c r="BJ9" s="667"/>
      <c r="BK9" s="666" t="s">
        <v>72</v>
      </c>
      <c r="BL9" s="667"/>
      <c r="BM9" s="666" t="s">
        <v>73</v>
      </c>
      <c r="BN9" s="667"/>
      <c r="BO9" s="666" t="s">
        <v>74</v>
      </c>
      <c r="BP9" s="667"/>
      <c r="BQ9" s="680" t="s">
        <v>75</v>
      </c>
      <c r="BR9" s="667"/>
      <c r="BS9" s="666" t="s">
        <v>76</v>
      </c>
      <c r="BT9" s="680"/>
      <c r="BU9" s="668" t="s">
        <v>41</v>
      </c>
      <c r="BV9" s="669"/>
      <c r="BW9" s="218" t="s">
        <v>81</v>
      </c>
      <c r="BX9" s="218" t="s">
        <v>82</v>
      </c>
      <c r="BY9" s="218" t="s">
        <v>79</v>
      </c>
      <c r="BZ9" s="218" t="s">
        <v>80</v>
      </c>
      <c r="CA9" s="218" t="s">
        <v>74</v>
      </c>
      <c r="CB9" s="218" t="s">
        <v>75</v>
      </c>
      <c r="CC9" s="218" t="s">
        <v>76</v>
      </c>
      <c r="CD9" s="218"/>
      <c r="CE9" s="663" t="s">
        <v>38</v>
      </c>
      <c r="CF9" s="664"/>
      <c r="CG9" s="664"/>
      <c r="CH9" s="665"/>
      <c r="CI9" s="663" t="s">
        <v>39</v>
      </c>
      <c r="CJ9" s="664"/>
      <c r="CK9" s="664"/>
      <c r="CL9" s="665"/>
      <c r="CM9" s="663" t="s">
        <v>40</v>
      </c>
      <c r="CN9" s="664"/>
      <c r="CO9" s="664"/>
      <c r="CP9" s="665"/>
      <c r="CQ9" s="663" t="s">
        <v>42</v>
      </c>
      <c r="CR9" s="664"/>
      <c r="CS9" s="664"/>
      <c r="CT9" s="665"/>
      <c r="CU9" s="666" t="s">
        <v>39</v>
      </c>
      <c r="CV9" s="667"/>
      <c r="CW9" s="666" t="s">
        <v>69</v>
      </c>
      <c r="CX9" s="667"/>
      <c r="CY9" s="666" t="s">
        <v>72</v>
      </c>
      <c r="CZ9" s="667"/>
      <c r="DA9" s="666" t="s">
        <v>73</v>
      </c>
      <c r="DB9" s="667"/>
      <c r="DC9" s="666" t="s">
        <v>74</v>
      </c>
      <c r="DD9" s="667"/>
      <c r="DE9" s="680" t="s">
        <v>75</v>
      </c>
      <c r="DF9" s="667"/>
      <c r="DG9" s="666" t="s">
        <v>76</v>
      </c>
      <c r="DH9" s="680"/>
      <c r="DI9" s="668" t="s">
        <v>42</v>
      </c>
      <c r="DJ9" s="669"/>
      <c r="DK9" s="218" t="s">
        <v>81</v>
      </c>
      <c r="DL9" s="218" t="s">
        <v>82</v>
      </c>
      <c r="DM9" s="218" t="s">
        <v>79</v>
      </c>
      <c r="DN9" s="218" t="s">
        <v>80</v>
      </c>
      <c r="DO9" s="218" t="s">
        <v>74</v>
      </c>
      <c r="DP9" s="218" t="s">
        <v>75</v>
      </c>
      <c r="DQ9" s="218" t="s">
        <v>76</v>
      </c>
      <c r="DR9" s="223"/>
      <c r="DS9" s="679" t="s">
        <v>78</v>
      </c>
      <c r="DT9" s="679"/>
      <c r="DU9" s="679"/>
    </row>
    <row r="10" spans="1:125" ht="15" thickBot="1" x14ac:dyDescent="0.35">
      <c r="A10" s="18"/>
      <c r="B10" s="22"/>
      <c r="C10" s="10" t="s">
        <v>63</v>
      </c>
      <c r="D10" s="11" t="s">
        <v>65</v>
      </c>
      <c r="E10" s="11" t="s">
        <v>64</v>
      </c>
      <c r="F10" s="25" t="s">
        <v>66</v>
      </c>
      <c r="G10" s="10" t="s">
        <v>63</v>
      </c>
      <c r="H10" s="11" t="s">
        <v>65</v>
      </c>
      <c r="I10" s="11" t="s">
        <v>64</v>
      </c>
      <c r="J10" s="12" t="s">
        <v>66</v>
      </c>
      <c r="K10" s="10" t="s">
        <v>63</v>
      </c>
      <c r="L10" s="11" t="s">
        <v>65</v>
      </c>
      <c r="M10" s="11" t="s">
        <v>64</v>
      </c>
      <c r="N10" s="12" t="s">
        <v>66</v>
      </c>
      <c r="O10" s="4" t="s">
        <v>63</v>
      </c>
      <c r="P10" s="23" t="s">
        <v>65</v>
      </c>
      <c r="Q10" s="23" t="s">
        <v>64</v>
      </c>
      <c r="R10" s="24" t="s">
        <v>66</v>
      </c>
      <c r="S10" s="11" t="s">
        <v>70</v>
      </c>
      <c r="T10" s="11" t="s">
        <v>71</v>
      </c>
      <c r="U10" s="11" t="s">
        <v>70</v>
      </c>
      <c r="V10" s="11" t="s">
        <v>71</v>
      </c>
      <c r="W10" s="11" t="s">
        <v>70</v>
      </c>
      <c r="X10" s="11" t="s">
        <v>71</v>
      </c>
      <c r="Y10" s="11" t="s">
        <v>70</v>
      </c>
      <c r="Z10" s="11" t="s">
        <v>71</v>
      </c>
      <c r="AA10" s="11" t="s">
        <v>70</v>
      </c>
      <c r="AB10" s="11" t="s">
        <v>71</v>
      </c>
      <c r="AC10" s="11" t="s">
        <v>70</v>
      </c>
      <c r="AD10" s="11" t="s">
        <v>71</v>
      </c>
      <c r="AE10" s="11" t="s">
        <v>70</v>
      </c>
      <c r="AF10" s="11" t="s">
        <v>71</v>
      </c>
      <c r="AG10" s="11" t="s">
        <v>70</v>
      </c>
      <c r="AH10" s="11" t="s">
        <v>71</v>
      </c>
      <c r="AI10" s="11" t="s">
        <v>84</v>
      </c>
      <c r="AJ10" s="11" t="s">
        <v>84</v>
      </c>
      <c r="AK10" s="11" t="s">
        <v>84</v>
      </c>
      <c r="AL10" s="11" t="s">
        <v>84</v>
      </c>
      <c r="AM10" s="11" t="s">
        <v>84</v>
      </c>
      <c r="AN10" s="11" t="s">
        <v>84</v>
      </c>
      <c r="AO10" s="11" t="s">
        <v>84</v>
      </c>
      <c r="AP10" s="11" t="s">
        <v>84</v>
      </c>
      <c r="AQ10" s="10" t="s">
        <v>63</v>
      </c>
      <c r="AR10" s="11" t="s">
        <v>65</v>
      </c>
      <c r="AS10" s="11" t="s">
        <v>64</v>
      </c>
      <c r="AT10" s="12" t="s">
        <v>66</v>
      </c>
      <c r="AU10" s="10" t="s">
        <v>63</v>
      </c>
      <c r="AV10" s="11" t="s">
        <v>65</v>
      </c>
      <c r="AW10" s="11" t="s">
        <v>64</v>
      </c>
      <c r="AX10" s="12" t="s">
        <v>66</v>
      </c>
      <c r="AY10" s="10" t="s">
        <v>63</v>
      </c>
      <c r="AZ10" s="11" t="s">
        <v>65</v>
      </c>
      <c r="BA10" s="11" t="s">
        <v>64</v>
      </c>
      <c r="BB10" s="12" t="s">
        <v>66</v>
      </c>
      <c r="BC10" s="10" t="s">
        <v>63</v>
      </c>
      <c r="BD10" s="11" t="s">
        <v>65</v>
      </c>
      <c r="BE10" s="11" t="s">
        <v>64</v>
      </c>
      <c r="BF10" s="12" t="s">
        <v>66</v>
      </c>
      <c r="BG10" s="11" t="s">
        <v>70</v>
      </c>
      <c r="BH10" s="11" t="s">
        <v>71</v>
      </c>
      <c r="BI10" s="11" t="s">
        <v>70</v>
      </c>
      <c r="BJ10" s="11" t="s">
        <v>71</v>
      </c>
      <c r="BK10" s="11" t="s">
        <v>70</v>
      </c>
      <c r="BL10" s="11" t="s">
        <v>71</v>
      </c>
      <c r="BM10" s="11" t="s">
        <v>70</v>
      </c>
      <c r="BN10" s="11" t="s">
        <v>71</v>
      </c>
      <c r="BO10" s="11" t="s">
        <v>70</v>
      </c>
      <c r="BP10" s="11" t="s">
        <v>71</v>
      </c>
      <c r="BQ10" s="11" t="s">
        <v>70</v>
      </c>
      <c r="BR10" s="11" t="s">
        <v>71</v>
      </c>
      <c r="BS10" s="11" t="s">
        <v>70</v>
      </c>
      <c r="BT10" s="11" t="s">
        <v>71</v>
      </c>
      <c r="BU10" s="11" t="s">
        <v>70</v>
      </c>
      <c r="BV10" s="11" t="s">
        <v>71</v>
      </c>
      <c r="BW10" s="11" t="s">
        <v>84</v>
      </c>
      <c r="BX10" s="11" t="s">
        <v>84</v>
      </c>
      <c r="BY10" s="11" t="s">
        <v>84</v>
      </c>
      <c r="BZ10" s="11" t="s">
        <v>84</v>
      </c>
      <c r="CA10" s="11" t="s">
        <v>84</v>
      </c>
      <c r="CB10" s="11" t="s">
        <v>84</v>
      </c>
      <c r="CC10" s="11" t="s">
        <v>84</v>
      </c>
      <c r="CD10" s="11" t="s">
        <v>84</v>
      </c>
      <c r="CE10" s="10" t="s">
        <v>63</v>
      </c>
      <c r="CF10" s="11" t="s">
        <v>65</v>
      </c>
      <c r="CG10" s="11" t="s">
        <v>64</v>
      </c>
      <c r="CH10" s="12" t="s">
        <v>66</v>
      </c>
      <c r="CI10" s="10" t="s">
        <v>63</v>
      </c>
      <c r="CJ10" s="11" t="s">
        <v>65</v>
      </c>
      <c r="CK10" s="11" t="s">
        <v>64</v>
      </c>
      <c r="CL10" s="12" t="s">
        <v>66</v>
      </c>
      <c r="CM10" s="10" t="s">
        <v>63</v>
      </c>
      <c r="CN10" s="11" t="s">
        <v>65</v>
      </c>
      <c r="CO10" s="11" t="s">
        <v>64</v>
      </c>
      <c r="CP10" s="12" t="s">
        <v>66</v>
      </c>
      <c r="CQ10" s="10" t="s">
        <v>63</v>
      </c>
      <c r="CR10" s="11" t="s">
        <v>65</v>
      </c>
      <c r="CS10" s="11" t="s">
        <v>64</v>
      </c>
      <c r="CT10" s="12" t="s">
        <v>66</v>
      </c>
      <c r="CU10" s="11" t="s">
        <v>70</v>
      </c>
      <c r="CV10" s="11" t="s">
        <v>71</v>
      </c>
      <c r="CW10" s="11" t="s">
        <v>70</v>
      </c>
      <c r="CX10" s="11" t="s">
        <v>71</v>
      </c>
      <c r="CY10" s="11" t="s">
        <v>70</v>
      </c>
      <c r="CZ10" s="11" t="s">
        <v>71</v>
      </c>
      <c r="DA10" s="11" t="s">
        <v>70</v>
      </c>
      <c r="DB10" s="11" t="s">
        <v>71</v>
      </c>
      <c r="DC10" s="11" t="s">
        <v>70</v>
      </c>
      <c r="DD10" s="11" t="s">
        <v>71</v>
      </c>
      <c r="DE10" s="11" t="s">
        <v>70</v>
      </c>
      <c r="DF10" s="11" t="s">
        <v>71</v>
      </c>
      <c r="DG10" s="11" t="s">
        <v>70</v>
      </c>
      <c r="DH10" s="11" t="s">
        <v>71</v>
      </c>
      <c r="DI10" s="11" t="s">
        <v>70</v>
      </c>
      <c r="DJ10" s="11" t="s">
        <v>71</v>
      </c>
      <c r="DK10" s="11" t="s">
        <v>84</v>
      </c>
      <c r="DL10" s="11" t="s">
        <v>84</v>
      </c>
      <c r="DM10" s="11" t="s">
        <v>84</v>
      </c>
      <c r="DN10" s="11" t="s">
        <v>84</v>
      </c>
      <c r="DO10" s="11" t="s">
        <v>84</v>
      </c>
      <c r="DP10" s="11" t="s">
        <v>84</v>
      </c>
      <c r="DQ10" s="11" t="s">
        <v>84</v>
      </c>
      <c r="DR10" s="11" t="s">
        <v>84</v>
      </c>
      <c r="DS10" s="11" t="s">
        <v>83</v>
      </c>
      <c r="DT10" s="11" t="s">
        <v>70</v>
      </c>
      <c r="DU10" s="11" t="s">
        <v>71</v>
      </c>
    </row>
    <row r="11" spans="1:125" ht="15.75" thickBot="1" x14ac:dyDescent="0.3">
      <c r="A11" s="18">
        <v>1</v>
      </c>
      <c r="B11" s="22">
        <v>2</v>
      </c>
      <c r="C11" s="13">
        <v>3</v>
      </c>
      <c r="D11" s="8">
        <v>4</v>
      </c>
      <c r="E11" s="8">
        <v>5</v>
      </c>
      <c r="F11" s="8">
        <v>6</v>
      </c>
      <c r="G11" s="8">
        <v>7</v>
      </c>
      <c r="H11" s="8">
        <v>8</v>
      </c>
      <c r="I11" s="8">
        <v>9</v>
      </c>
      <c r="J11" s="8">
        <v>10</v>
      </c>
      <c r="K11" s="8">
        <v>11</v>
      </c>
      <c r="L11" s="8">
        <v>12</v>
      </c>
      <c r="M11" s="8">
        <v>13</v>
      </c>
      <c r="N11" s="8">
        <v>14</v>
      </c>
      <c r="O11" s="8">
        <v>15</v>
      </c>
      <c r="P11" s="8">
        <v>16</v>
      </c>
      <c r="Q11" s="8">
        <v>17</v>
      </c>
      <c r="R11" s="8">
        <v>18</v>
      </c>
      <c r="S11" s="8">
        <v>19</v>
      </c>
      <c r="T11" s="8">
        <v>20</v>
      </c>
      <c r="U11" s="8">
        <v>21</v>
      </c>
      <c r="V11" s="8">
        <v>22</v>
      </c>
      <c r="W11" s="8">
        <v>23</v>
      </c>
      <c r="X11" s="8">
        <v>24</v>
      </c>
      <c r="Y11" s="8">
        <v>25</v>
      </c>
      <c r="Z11" s="8">
        <v>26</v>
      </c>
      <c r="AA11" s="8">
        <v>27</v>
      </c>
      <c r="AB11" s="8">
        <v>28</v>
      </c>
      <c r="AC11" s="8">
        <v>29</v>
      </c>
      <c r="AD11" s="8">
        <v>30</v>
      </c>
      <c r="AE11" s="8">
        <v>31</v>
      </c>
      <c r="AF11" s="8">
        <v>32</v>
      </c>
      <c r="AG11" s="8">
        <v>33</v>
      </c>
      <c r="AH11" s="8">
        <v>34</v>
      </c>
      <c r="AI11" s="8">
        <v>35</v>
      </c>
      <c r="AJ11" s="8">
        <v>36</v>
      </c>
      <c r="AK11" s="8">
        <v>37</v>
      </c>
      <c r="AL11" s="8">
        <v>38</v>
      </c>
      <c r="AM11" s="8">
        <v>39</v>
      </c>
      <c r="AN11" s="8">
        <v>40</v>
      </c>
      <c r="AO11" s="8">
        <v>41</v>
      </c>
      <c r="AP11" s="8">
        <v>42</v>
      </c>
      <c r="AQ11" s="8">
        <v>43</v>
      </c>
      <c r="AR11" s="8">
        <v>44</v>
      </c>
      <c r="AS11" s="8">
        <v>45</v>
      </c>
      <c r="AT11" s="8">
        <v>46</v>
      </c>
      <c r="AU11" s="8">
        <v>47</v>
      </c>
      <c r="AV11" s="8">
        <v>48</v>
      </c>
      <c r="AW11" s="8">
        <v>49</v>
      </c>
      <c r="AX11" s="8">
        <v>50</v>
      </c>
      <c r="AY11" s="8">
        <v>51</v>
      </c>
      <c r="AZ11" s="8">
        <v>52</v>
      </c>
      <c r="BA11" s="8">
        <v>53</v>
      </c>
      <c r="BB11" s="8">
        <v>54</v>
      </c>
      <c r="BC11" s="8">
        <v>55</v>
      </c>
      <c r="BD11" s="8">
        <v>56</v>
      </c>
      <c r="BE11" s="8">
        <v>57</v>
      </c>
      <c r="BF11" s="8">
        <v>58</v>
      </c>
      <c r="BG11" s="8">
        <v>59</v>
      </c>
      <c r="BH11" s="8">
        <v>60</v>
      </c>
      <c r="BI11" s="8">
        <v>61</v>
      </c>
      <c r="BJ11" s="8">
        <v>62</v>
      </c>
      <c r="BK11" s="8">
        <v>63</v>
      </c>
      <c r="BL11" s="8">
        <v>64</v>
      </c>
      <c r="BM11" s="8">
        <v>65</v>
      </c>
      <c r="BN11" s="8">
        <v>66</v>
      </c>
      <c r="BO11" s="8">
        <v>67</v>
      </c>
      <c r="BP11" s="8">
        <v>68</v>
      </c>
      <c r="BQ11" s="8">
        <v>69</v>
      </c>
      <c r="BR11" s="8">
        <v>70</v>
      </c>
      <c r="BS11" s="8">
        <v>71</v>
      </c>
      <c r="BT11" s="8">
        <v>72</v>
      </c>
      <c r="BU11" s="8">
        <v>73</v>
      </c>
      <c r="BV11" s="8">
        <v>74</v>
      </c>
      <c r="BW11" s="8">
        <v>75</v>
      </c>
      <c r="BX11" s="8">
        <v>76</v>
      </c>
      <c r="BY11" s="8">
        <v>77</v>
      </c>
      <c r="BZ11" s="8">
        <v>78</v>
      </c>
      <c r="CA11" s="8">
        <v>79</v>
      </c>
      <c r="CB11" s="8">
        <v>80</v>
      </c>
      <c r="CC11" s="8">
        <v>81</v>
      </c>
      <c r="CD11" s="8">
        <v>82</v>
      </c>
      <c r="CE11" s="8">
        <v>83</v>
      </c>
      <c r="CF11" s="8">
        <v>84</v>
      </c>
      <c r="CG11" s="8">
        <v>85</v>
      </c>
      <c r="CH11" s="8">
        <v>86</v>
      </c>
      <c r="CI11" s="8">
        <v>87</v>
      </c>
      <c r="CJ11" s="8">
        <v>88</v>
      </c>
      <c r="CK11" s="8">
        <v>89</v>
      </c>
      <c r="CL11" s="8">
        <v>90</v>
      </c>
      <c r="CM11" s="8">
        <v>91</v>
      </c>
      <c r="CN11" s="8">
        <v>92</v>
      </c>
      <c r="CO11" s="8">
        <v>93</v>
      </c>
      <c r="CP11" s="8">
        <v>94</v>
      </c>
      <c r="CQ11" s="8">
        <v>95</v>
      </c>
      <c r="CR11" s="8">
        <v>96</v>
      </c>
      <c r="CS11" s="8">
        <v>97</v>
      </c>
      <c r="CT11" s="8">
        <v>98</v>
      </c>
      <c r="CU11" s="8">
        <v>99</v>
      </c>
      <c r="CV11" s="8">
        <v>100</v>
      </c>
      <c r="CW11" s="8">
        <v>101</v>
      </c>
      <c r="CX11" s="8">
        <v>102</v>
      </c>
      <c r="CY11" s="8">
        <v>103</v>
      </c>
      <c r="CZ11" s="8">
        <v>104</v>
      </c>
      <c r="DA11" s="8">
        <v>105</v>
      </c>
      <c r="DB11" s="8">
        <v>106</v>
      </c>
      <c r="DC11" s="8">
        <v>107</v>
      </c>
      <c r="DD11" s="8">
        <v>108</v>
      </c>
      <c r="DE11" s="8">
        <v>109</v>
      </c>
      <c r="DF11" s="8">
        <v>110</v>
      </c>
      <c r="DG11" s="8">
        <v>111</v>
      </c>
      <c r="DH11" s="8">
        <v>112</v>
      </c>
      <c r="DI11" s="8">
        <v>113</v>
      </c>
      <c r="DJ11" s="8">
        <v>114</v>
      </c>
      <c r="DK11" s="8">
        <v>115</v>
      </c>
      <c r="DL11" s="8">
        <v>116</v>
      </c>
      <c r="DM11" s="8">
        <v>117</v>
      </c>
      <c r="DN11" s="8">
        <v>118</v>
      </c>
      <c r="DO11" s="8">
        <v>119</v>
      </c>
      <c r="DP11" s="8">
        <v>120</v>
      </c>
      <c r="DQ11" s="8">
        <v>121</v>
      </c>
      <c r="DR11" s="8">
        <v>122</v>
      </c>
      <c r="DS11" s="8">
        <v>123</v>
      </c>
      <c r="DT11" s="8">
        <v>124</v>
      </c>
      <c r="DU11" s="8">
        <v>125</v>
      </c>
    </row>
    <row r="12" spans="1:125" ht="15" thickBot="1" x14ac:dyDescent="0.35">
      <c r="A12" s="660" t="s">
        <v>43</v>
      </c>
      <c r="B12" s="658"/>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1"/>
      <c r="AT12" s="661"/>
      <c r="AU12" s="661"/>
      <c r="AV12" s="661"/>
      <c r="AW12" s="661"/>
      <c r="AX12" s="661"/>
      <c r="AY12" s="661"/>
      <c r="AZ12" s="661"/>
      <c r="BA12" s="661"/>
      <c r="BB12" s="661"/>
      <c r="BC12" s="661"/>
      <c r="BD12" s="661"/>
      <c r="BE12" s="661"/>
      <c r="BF12" s="661"/>
      <c r="BG12" s="661"/>
      <c r="BH12" s="661"/>
      <c r="BI12" s="661"/>
      <c r="BJ12" s="661"/>
      <c r="BK12" s="661"/>
      <c r="BL12" s="661"/>
      <c r="BM12" s="661"/>
      <c r="BN12" s="661"/>
      <c r="BO12" s="661"/>
      <c r="BP12" s="661"/>
      <c r="BQ12" s="661"/>
      <c r="BR12" s="661"/>
      <c r="BS12" s="661"/>
      <c r="BT12" s="661"/>
      <c r="BU12" s="661"/>
      <c r="BV12" s="661"/>
      <c r="BW12" s="661"/>
      <c r="BX12" s="661"/>
      <c r="BY12" s="661"/>
      <c r="BZ12" s="661"/>
      <c r="CA12" s="661"/>
      <c r="CB12" s="661"/>
      <c r="CC12" s="661"/>
      <c r="CD12" s="661"/>
      <c r="CE12" s="661"/>
      <c r="CF12" s="661"/>
      <c r="CG12" s="661"/>
      <c r="CH12" s="661"/>
      <c r="CI12" s="661"/>
      <c r="CJ12" s="661"/>
      <c r="CK12" s="661"/>
      <c r="CL12" s="661"/>
      <c r="CM12" s="661"/>
      <c r="CN12" s="661"/>
      <c r="CO12" s="661"/>
      <c r="CP12" s="661"/>
      <c r="CQ12" s="661"/>
      <c r="CR12" s="661"/>
      <c r="CS12" s="661"/>
      <c r="CT12" s="662"/>
      <c r="DG12" s="35"/>
      <c r="DH12" s="36"/>
      <c r="DI12" s="36"/>
      <c r="DJ12" s="37"/>
      <c r="DK12" s="36"/>
      <c r="DL12" s="36"/>
      <c r="DM12" s="36"/>
      <c r="DN12" s="36"/>
      <c r="DO12" s="36"/>
      <c r="DP12" s="36"/>
      <c r="DQ12" s="36"/>
      <c r="DR12" s="36"/>
      <c r="DS12" s="36"/>
      <c r="DT12" s="36"/>
      <c r="DU12" s="37"/>
    </row>
    <row r="13" spans="1:125" x14ac:dyDescent="0.3">
      <c r="A13" s="19" t="s">
        <v>3</v>
      </c>
      <c r="B13" s="236" t="s">
        <v>9</v>
      </c>
      <c r="C13" s="85">
        <v>34030054.159999996</v>
      </c>
      <c r="D13" s="86">
        <v>2168221.59</v>
      </c>
      <c r="E13" s="86">
        <v>808489.41</v>
      </c>
      <c r="F13" s="87">
        <v>1212734.1100000001</v>
      </c>
      <c r="G13" s="96">
        <v>2778</v>
      </c>
      <c r="H13" s="97">
        <v>177</v>
      </c>
      <c r="I13" s="103">
        <v>66</v>
      </c>
      <c r="J13" s="104">
        <v>99</v>
      </c>
      <c r="K13" s="69">
        <v>34096</v>
      </c>
      <c r="L13" s="70">
        <v>8059</v>
      </c>
      <c r="M13" s="70">
        <v>16027</v>
      </c>
      <c r="N13" s="71">
        <v>74749</v>
      </c>
      <c r="O13" s="110">
        <f>C13/G13</f>
        <v>12249.839510439164</v>
      </c>
      <c r="P13" s="111">
        <f t="shared" ref="O13:R14" si="0">D13/H13</f>
        <v>12249.839491525423</v>
      </c>
      <c r="Q13" s="108">
        <f t="shared" si="0"/>
        <v>12249.839545454546</v>
      </c>
      <c r="R13" s="122">
        <f t="shared" si="0"/>
        <v>12249.839494949496</v>
      </c>
      <c r="S13" s="134">
        <f>G13+H13</f>
        <v>2955</v>
      </c>
      <c r="T13" s="154">
        <f>I13+J13</f>
        <v>165</v>
      </c>
      <c r="U13" s="124">
        <f>O13+P13</f>
        <v>24499.679001964585</v>
      </c>
      <c r="V13" s="125">
        <f>Q13+R13</f>
        <v>24499.679040404044</v>
      </c>
      <c r="W13" s="85">
        <f>AVERAGE(U13:U31,U33)</f>
        <v>27708.692952911078</v>
      </c>
      <c r="X13" s="92">
        <f>AVERAGE(V13,V14,V25,V27,V30,V19)</f>
        <v>51945.34354377105</v>
      </c>
      <c r="Y13" s="85">
        <f>_xlfn.STDEV.S(U13:U31,U33)</f>
        <v>27553.020196771959</v>
      </c>
      <c r="Z13" s="87">
        <f>_xlfn.STDEV.S(V13,V14,V25,V27,V30,V19)</f>
        <v>52648.177946847412</v>
      </c>
      <c r="AA13" s="131">
        <f>W13-Y13</f>
        <v>155.67275613911988</v>
      </c>
      <c r="AB13" s="130">
        <f>X13-Z13</f>
        <v>-702.83440307636192</v>
      </c>
      <c r="AC13" s="131">
        <f>W13+Y13</f>
        <v>55261.713149683041</v>
      </c>
      <c r="AD13" s="130">
        <f>X13+Z13</f>
        <v>104593.52149061847</v>
      </c>
      <c r="AE13" s="132">
        <f>IF(AND(U13&gt;$AA$13,U13&lt;$AC$13),U13,0)</f>
        <v>24499.679001964585</v>
      </c>
      <c r="AF13" s="152">
        <f>IF(AND(V13&gt;$AB$13,V13&lt;$AD$13),V13,0)</f>
        <v>24499.679040404044</v>
      </c>
      <c r="AG13" s="85">
        <f>AE13*S13</f>
        <v>72396551.450805351</v>
      </c>
      <c r="AH13" s="87">
        <f>AF13*T13</f>
        <v>4042447.0416666674</v>
      </c>
      <c r="AI13" s="215">
        <f>G13</f>
        <v>2778</v>
      </c>
      <c r="AJ13" s="216">
        <f>O13</f>
        <v>12249.839510439164</v>
      </c>
      <c r="AK13" s="211">
        <f>AVERAGE(AJ13,AJ17:AJ24,AJ26:AJ31)</f>
        <v>7721.5286564633898</v>
      </c>
      <c r="AL13" s="211">
        <f>_xlfn.STDEV.S(AJ13,AJ17:AJ24,AJ26:AJ31)</f>
        <v>4726.8766729786248</v>
      </c>
      <c r="AM13" s="211">
        <f>AK13-AL13</f>
        <v>2994.651983484765</v>
      </c>
      <c r="AN13" s="211">
        <f>AK13+AL13</f>
        <v>12448.405329442015</v>
      </c>
      <c r="AO13" s="219">
        <f>IF(AND(AJ13&gt;$AM$13,AJ13&lt;$AN$13),AJ13,0)</f>
        <v>12249.839510439164</v>
      </c>
      <c r="AP13" s="79">
        <f>AO13*AI13</f>
        <v>34030054.159999996</v>
      </c>
      <c r="AQ13" s="88">
        <v>32542152.899999999</v>
      </c>
      <c r="AR13" s="86">
        <v>3374017.36</v>
      </c>
      <c r="AS13" s="86">
        <v>2017075.59</v>
      </c>
      <c r="AT13" s="87">
        <v>1479188.77</v>
      </c>
      <c r="AU13" s="164">
        <v>2662</v>
      </c>
      <c r="AV13" s="165">
        <v>276</v>
      </c>
      <c r="AW13" s="93">
        <v>165</v>
      </c>
      <c r="AX13" s="100">
        <v>121</v>
      </c>
      <c r="AY13" s="69">
        <v>31792</v>
      </c>
      <c r="AZ13" s="70">
        <v>13498</v>
      </c>
      <c r="BA13" s="70">
        <v>30316</v>
      </c>
      <c r="BB13" s="71">
        <v>84282</v>
      </c>
      <c r="BC13" s="110">
        <f t="shared" ref="BC13:BF14" si="1">AQ13/AU13</f>
        <v>12224.7005634861</v>
      </c>
      <c r="BD13" s="111">
        <f t="shared" si="1"/>
        <v>12224.700579710145</v>
      </c>
      <c r="BE13" s="170">
        <f t="shared" si="1"/>
        <v>12224.700545454545</v>
      </c>
      <c r="BF13" s="178">
        <f t="shared" si="1"/>
        <v>12224.700578512397</v>
      </c>
      <c r="BG13" s="176">
        <f>AU13+AV13</f>
        <v>2938</v>
      </c>
      <c r="BH13" s="183">
        <f>AW13+AX13</f>
        <v>286</v>
      </c>
      <c r="BI13" s="124">
        <f>BC13+BD13</f>
        <v>24449.401143196243</v>
      </c>
      <c r="BJ13" s="125">
        <f>BE13+BF13</f>
        <v>24449.401123966942</v>
      </c>
      <c r="BK13" s="88">
        <f>AVERAGE(BI13:BI31,BI33,BI35)</f>
        <v>23450.071051089191</v>
      </c>
      <c r="BL13" s="86">
        <f>AVERAGE(BJ13:BJ14,BJ19,BJ23:BJ27,BJ30,BJ33)</f>
        <v>35003.80011239669</v>
      </c>
      <c r="BM13" s="86">
        <f>_xlfn.STDEV.S(BI13:BI31,BI33,BI35)</f>
        <v>21999.450424865689</v>
      </c>
      <c r="BN13" s="87">
        <f>_xlfn.STDEV.S(BJ13:BJ14,BJ19,BJ23:BJ27,BJ30,BJ33)</f>
        <v>35520.136134372216</v>
      </c>
      <c r="BO13" s="131">
        <f>BK13-BM13</f>
        <v>1450.6206262235028</v>
      </c>
      <c r="BP13" s="174">
        <f>BL13-BN13</f>
        <v>-516.33602197552682</v>
      </c>
      <c r="BQ13" s="173">
        <f>BK13+BM13</f>
        <v>45449.521475954883</v>
      </c>
      <c r="BR13" s="130">
        <f>BL13+BN13</f>
        <v>70523.936246768906</v>
      </c>
      <c r="BS13" s="132">
        <f>IF(AND(BI13&gt;$BO$13,BI13&lt;$BQ$13),BI13,0)</f>
        <v>24449.401143196243</v>
      </c>
      <c r="BT13" s="185">
        <f>IF(AND(BJ13&gt;$BP$13,BJ13&lt;$BR$13),BJ13,0)</f>
        <v>24449.401123966942</v>
      </c>
      <c r="BU13" s="85">
        <f>BS13*BG13</f>
        <v>71832340.55871056</v>
      </c>
      <c r="BV13" s="87">
        <f>BT13*BH13</f>
        <v>6992528.7214545449</v>
      </c>
      <c r="BW13" s="59">
        <f>AU13</f>
        <v>2662</v>
      </c>
      <c r="BX13" s="216">
        <f>BC13</f>
        <v>12224.7005634861</v>
      </c>
      <c r="BY13" s="211">
        <f>AVERAGE(BX13,BX17:BX24,BX26:BX31,BX35)</f>
        <v>6799.0649232180021</v>
      </c>
      <c r="BZ13" s="211">
        <f>_xlfn.STDEV.S(BX13,BX17:BX24,BX26:BX31,BX35)</f>
        <v>4405.7688363529105</v>
      </c>
      <c r="CA13" s="211">
        <f>BY13-BZ13</f>
        <v>2393.2960868650916</v>
      </c>
      <c r="CB13" s="211">
        <f>BY13+BZ13</f>
        <v>11204.833759570913</v>
      </c>
      <c r="CC13" s="56">
        <f>IF(AND(BX13&gt;$CA$13,BX13&lt;$CB$13),BX13,0)</f>
        <v>0</v>
      </c>
      <c r="CD13" s="79">
        <f>CC13*BW13</f>
        <v>0</v>
      </c>
      <c r="CE13" s="88">
        <v>40630969.369999997</v>
      </c>
      <c r="CF13" s="86">
        <v>2553312.2799999998</v>
      </c>
      <c r="CG13" s="86">
        <v>1387669.72</v>
      </c>
      <c r="CH13" s="87">
        <v>1124012.47</v>
      </c>
      <c r="CI13" s="69">
        <v>2928</v>
      </c>
      <c r="CJ13" s="70">
        <v>184</v>
      </c>
      <c r="CK13" s="70">
        <v>100</v>
      </c>
      <c r="CL13" s="71">
        <v>81</v>
      </c>
      <c r="CM13" s="69">
        <v>35262</v>
      </c>
      <c r="CN13" s="70">
        <v>7918</v>
      </c>
      <c r="CO13" s="70">
        <v>17938</v>
      </c>
      <c r="CP13" s="71">
        <v>56691</v>
      </c>
      <c r="CQ13" s="85">
        <f>CE13/CI13</f>
        <v>13876.697189207649</v>
      </c>
      <c r="CR13" s="86">
        <f t="shared" ref="CQ13:CT14" si="2">CF13/CJ13</f>
        <v>13876.697173913042</v>
      </c>
      <c r="CS13" s="86">
        <f t="shared" si="2"/>
        <v>13876.697200000001</v>
      </c>
      <c r="CT13" s="87">
        <f t="shared" si="2"/>
        <v>13876.697160493826</v>
      </c>
      <c r="CU13" s="192">
        <f>CI13+CJ13</f>
        <v>3112</v>
      </c>
      <c r="CV13" s="183">
        <f>CK13+CL13</f>
        <v>181</v>
      </c>
      <c r="CW13" s="124">
        <f>CQ13+CR13</f>
        <v>27753.394363120693</v>
      </c>
      <c r="CX13" s="125">
        <f>CS13+CT13</f>
        <v>27753.394360493825</v>
      </c>
      <c r="CY13" s="88">
        <f>AVERAGE(CW13:CW33,CW35:CW36)</f>
        <v>24598.169060292767</v>
      </c>
      <c r="CZ13" s="92">
        <f>AVERAGE(CX13:CX14,CX19,CX23,CX25,CX27,CX30)</f>
        <v>50889.550861022923</v>
      </c>
      <c r="DA13" s="85">
        <f>_xlfn.STDEV.S(CW13:CW33,CW35:CW36)</f>
        <v>28868.672620073947</v>
      </c>
      <c r="DB13" s="87">
        <f>_xlfn.STDEV.S(CX13:CX14,CX19,CX23,CX25,CX27,CX30)</f>
        <v>40916.22328693905</v>
      </c>
      <c r="DC13" s="131">
        <f>CY13-DA13</f>
        <v>-4270.5035597811802</v>
      </c>
      <c r="DD13" s="130">
        <f>CZ13-DB13</f>
        <v>9973.3275740838726</v>
      </c>
      <c r="DE13" s="131">
        <f>CY13+DA13</f>
        <v>53466.841680366713</v>
      </c>
      <c r="DF13" s="175">
        <f>CZ13+DB13</f>
        <v>91805.774147961973</v>
      </c>
      <c r="DG13" s="187">
        <f>IF(AND(CW13&gt;$DC$13,CW13&lt;$DE$13),CW13,0)</f>
        <v>27753.394363120693</v>
      </c>
      <c r="DH13" s="185">
        <f>IF(AND(CX13&gt;$DD$13,CX13&lt;$DF$13),CX13,0)</f>
        <v>27753.394360493825</v>
      </c>
      <c r="DI13" s="85">
        <f>DG13*CU13</f>
        <v>86368563.258031592</v>
      </c>
      <c r="DJ13" s="87">
        <f>DH13*CV13</f>
        <v>5023364.3792493828</v>
      </c>
      <c r="DK13" s="59">
        <f>CI13</f>
        <v>2928</v>
      </c>
      <c r="DL13" s="216">
        <f>CQ13</f>
        <v>13876.697189207649</v>
      </c>
      <c r="DM13" s="211">
        <f>AVERAGE(DL13,DL17:DL24,DL26:DL33,DL35:DL36)</f>
        <v>6857.3696614186592</v>
      </c>
      <c r="DN13" s="211">
        <f>_xlfn.STDEV.S(DL13,DL17:DL24,DL26:DL33,DL35:DL36)</f>
        <v>5342.8366916309869</v>
      </c>
      <c r="DO13" s="211">
        <f>DM13-DN13</f>
        <v>1514.5329697876723</v>
      </c>
      <c r="DP13" s="211">
        <f>DM13+DN13</f>
        <v>12200.206353049645</v>
      </c>
      <c r="DQ13" s="56">
        <f>IF(AND(DL13&gt;$DO$13,DL13&lt;$DP$13),DL13,0)</f>
        <v>0</v>
      </c>
      <c r="DR13" s="66">
        <f>DQ13*DK13</f>
        <v>0</v>
      </c>
      <c r="DS13" s="85"/>
      <c r="DT13" s="86"/>
      <c r="DU13" s="87"/>
    </row>
    <row r="14" spans="1:125" x14ac:dyDescent="0.3">
      <c r="A14" s="20" t="s">
        <v>4</v>
      </c>
      <c r="B14" s="38" t="s">
        <v>10</v>
      </c>
      <c r="C14" s="78">
        <v>12605709.199999999</v>
      </c>
      <c r="D14" s="79">
        <v>6188718.3999999994</v>
      </c>
      <c r="E14" s="79">
        <v>1318907.2</v>
      </c>
      <c r="F14" s="80">
        <v>101454.39999999999</v>
      </c>
      <c r="G14" s="98">
        <v>497</v>
      </c>
      <c r="H14" s="99">
        <v>244</v>
      </c>
      <c r="I14" s="105">
        <v>52</v>
      </c>
      <c r="J14" s="106">
        <v>4</v>
      </c>
      <c r="K14" s="75">
        <v>7066.2</v>
      </c>
      <c r="L14" s="76">
        <v>16149.9</v>
      </c>
      <c r="M14" s="76">
        <v>14647</v>
      </c>
      <c r="N14" s="77">
        <v>3224</v>
      </c>
      <c r="O14" s="112">
        <f t="shared" si="0"/>
        <v>25363.599999999999</v>
      </c>
      <c r="P14" s="113">
        <f t="shared" si="0"/>
        <v>25363.599999999999</v>
      </c>
      <c r="Q14" s="109">
        <f t="shared" si="0"/>
        <v>25363.599999999999</v>
      </c>
      <c r="R14" s="123">
        <f t="shared" si="0"/>
        <v>25363.599999999999</v>
      </c>
      <c r="S14" s="76">
        <f>G14+H14</f>
        <v>741</v>
      </c>
      <c r="T14" s="155">
        <f>I14+J14</f>
        <v>56</v>
      </c>
      <c r="U14" s="52">
        <f>O14+P14</f>
        <v>50727.199999999997</v>
      </c>
      <c r="V14" s="126">
        <f>Q14+R14</f>
        <v>50727.199999999997</v>
      </c>
      <c r="W14" s="75"/>
      <c r="X14" s="66"/>
      <c r="Y14" s="78"/>
      <c r="Z14" s="77"/>
      <c r="AA14" s="49"/>
      <c r="AB14" s="9"/>
      <c r="AC14" s="49"/>
      <c r="AD14" s="9"/>
      <c r="AE14" s="78">
        <f t="shared" ref="AE14:AE36" si="3">IF(AND(U14&gt;$AA$13,U14&lt;$AC$13),U14,0)</f>
        <v>50727.199999999997</v>
      </c>
      <c r="AF14" s="153">
        <f t="shared" ref="AF14:AF36" si="4">IF(AND(V14&gt;$AB$13,V14&lt;$AD$13),V14,0)</f>
        <v>50727.199999999997</v>
      </c>
      <c r="AG14" s="78">
        <f t="shared" ref="AG14:AG36" si="5">AE14*S14</f>
        <v>37588855.199999996</v>
      </c>
      <c r="AH14" s="80">
        <f t="shared" ref="AH14:AH36" si="6">AF14*T14</f>
        <v>2840723.1999999997</v>
      </c>
      <c r="AI14" s="59">
        <f t="shared" ref="AI14:AI36" si="7">G14</f>
        <v>497</v>
      </c>
      <c r="AJ14" s="229">
        <f t="shared" ref="AJ14:AJ36" si="8">O14</f>
        <v>25363.599999999999</v>
      </c>
      <c r="AK14" s="212"/>
      <c r="AL14" s="212"/>
      <c r="AM14" s="212"/>
      <c r="AN14" s="212"/>
      <c r="AO14" s="79">
        <f t="shared" ref="AO14:AO36" si="9">IF(AND(AJ14&gt;$AM$13,AJ14&lt;$AN$13),AJ14,0)</f>
        <v>0</v>
      </c>
      <c r="AP14" s="79">
        <f t="shared" ref="AP14:AP35" si="10">AO14*AI14</f>
        <v>0</v>
      </c>
      <c r="AQ14" s="64">
        <v>16008902.199999999</v>
      </c>
      <c r="AR14" s="79">
        <v>6713410.5999999996</v>
      </c>
      <c r="AS14" s="79">
        <v>1440529.4</v>
      </c>
      <c r="AT14" s="80">
        <v>163078.79999999999</v>
      </c>
      <c r="AU14" s="166">
        <v>589</v>
      </c>
      <c r="AV14" s="167">
        <v>247</v>
      </c>
      <c r="AW14" s="94">
        <v>53</v>
      </c>
      <c r="AX14" s="101">
        <v>6</v>
      </c>
      <c r="AY14" s="75">
        <v>8242</v>
      </c>
      <c r="AZ14" s="76">
        <v>16046.4</v>
      </c>
      <c r="BA14" s="76">
        <v>17373.400000000001</v>
      </c>
      <c r="BB14" s="77">
        <v>5442</v>
      </c>
      <c r="BC14" s="112">
        <f t="shared" si="1"/>
        <v>27179.8</v>
      </c>
      <c r="BD14" s="113">
        <f t="shared" si="1"/>
        <v>27179.8</v>
      </c>
      <c r="BE14" s="171">
        <f t="shared" si="1"/>
        <v>27179.8</v>
      </c>
      <c r="BF14" s="179">
        <f t="shared" si="1"/>
        <v>27179.8</v>
      </c>
      <c r="BG14" s="75">
        <f t="shared" ref="BG14:BG36" si="11">AU14+AV14</f>
        <v>836</v>
      </c>
      <c r="BH14" s="184">
        <f t="shared" ref="BH14:BH36" si="12">AW14+AX14</f>
        <v>59</v>
      </c>
      <c r="BI14" s="52">
        <f t="shared" ref="BI14:BI36" si="13">BC14+BD14</f>
        <v>54359.6</v>
      </c>
      <c r="BJ14" s="126">
        <f t="shared" ref="BJ14:BJ36" si="14">BE14+BF14</f>
        <v>54359.6</v>
      </c>
      <c r="BK14" s="32"/>
      <c r="BL14" s="76"/>
      <c r="BM14" s="76"/>
      <c r="BN14" s="77"/>
      <c r="BO14" s="75"/>
      <c r="BP14" s="76"/>
      <c r="BQ14" s="76"/>
      <c r="BR14" s="90"/>
      <c r="BS14" s="78">
        <f t="shared" ref="BS14:BS36" si="15">IF(AND(BI14&gt;$BO$13,BI14&lt;$BQ$13),BI14,0)</f>
        <v>0</v>
      </c>
      <c r="BT14" s="186">
        <f t="shared" ref="BT14:BT36" si="16">IF(AND(BJ14&gt;$BP$13,BJ14&lt;$BR$13),BJ14,0)</f>
        <v>54359.6</v>
      </c>
      <c r="BU14" s="78">
        <f t="shared" ref="BU14:BU36" si="17">BS14*BG14</f>
        <v>0</v>
      </c>
      <c r="BV14" s="80">
        <f t="shared" ref="BV14:BV36" si="18">BT14*BH14</f>
        <v>3207216.4</v>
      </c>
      <c r="BW14" s="59">
        <f t="shared" ref="BW14:BW36" si="19">AU14</f>
        <v>589</v>
      </c>
      <c r="BX14" s="229">
        <f t="shared" ref="BX14:BX36" si="20">BC14</f>
        <v>27179.8</v>
      </c>
      <c r="BY14" s="212"/>
      <c r="BZ14" s="212"/>
      <c r="CA14" s="212"/>
      <c r="CB14" s="212"/>
      <c r="CC14" s="79">
        <f t="shared" ref="CC14:CC36" si="21">IF(AND(BX14&gt;$CA$13,BX14&lt;$CB$13),BX14,0)</f>
        <v>0</v>
      </c>
      <c r="CD14" s="79">
        <f t="shared" ref="CD14:CD35" si="22">CC14*BW14</f>
        <v>0</v>
      </c>
      <c r="CE14" s="64">
        <v>14754550.600000001</v>
      </c>
      <c r="CF14" s="79">
        <v>5466714.4000000004</v>
      </c>
      <c r="CG14" s="79">
        <v>1785049.6</v>
      </c>
      <c r="CH14" s="80">
        <v>111565.6</v>
      </c>
      <c r="CI14" s="75">
        <v>529</v>
      </c>
      <c r="CJ14" s="76">
        <v>196</v>
      </c>
      <c r="CK14" s="76">
        <v>64</v>
      </c>
      <c r="CL14" s="77">
        <v>4</v>
      </c>
      <c r="CM14" s="75">
        <v>7314.9</v>
      </c>
      <c r="CN14" s="76">
        <v>12206.3</v>
      </c>
      <c r="CO14" s="76">
        <v>20830</v>
      </c>
      <c r="CP14" s="77">
        <v>3130</v>
      </c>
      <c r="CQ14" s="52">
        <f t="shared" si="2"/>
        <v>27891.4</v>
      </c>
      <c r="CR14" s="53">
        <f t="shared" si="2"/>
        <v>27891.4</v>
      </c>
      <c r="CS14" s="53">
        <f t="shared" si="2"/>
        <v>27891.4</v>
      </c>
      <c r="CT14" s="54">
        <f t="shared" si="2"/>
        <v>27891.4</v>
      </c>
      <c r="CU14" s="75">
        <f t="shared" ref="CU14" si="23">CI14+CJ14</f>
        <v>725</v>
      </c>
      <c r="CV14" s="184">
        <f t="shared" ref="CV14" si="24">CK14+CL14</f>
        <v>68</v>
      </c>
      <c r="CW14" s="52">
        <f t="shared" ref="CW14" si="25">CQ14+CR14</f>
        <v>55782.8</v>
      </c>
      <c r="CX14" s="126">
        <f t="shared" ref="CX14" si="26">CS14+CT14</f>
        <v>55782.8</v>
      </c>
      <c r="CY14" s="32"/>
      <c r="CZ14" s="90"/>
      <c r="DA14" s="75"/>
      <c r="DB14" s="77"/>
      <c r="DC14" s="75"/>
      <c r="DD14" s="90"/>
      <c r="DE14" s="75"/>
      <c r="DF14" s="77"/>
      <c r="DG14" s="55">
        <f t="shared" ref="DG14:DG36" si="27">IF(AND(CW14&gt;$DC$13,CW14&lt;$DE$13),CW14,0)</f>
        <v>0</v>
      </c>
      <c r="DH14" s="186">
        <f t="shared" ref="DH14:DH36" si="28">IF(AND(CX14&gt;$DD$13,CX14&lt;$DF$13),CX14,0)</f>
        <v>55782.8</v>
      </c>
      <c r="DI14" s="78">
        <f t="shared" ref="DI14:DI36" si="29">DG14*CU14</f>
        <v>0</v>
      </c>
      <c r="DJ14" s="80">
        <f t="shared" ref="DJ14:DJ36" si="30">DH14*CV14</f>
        <v>3793230.4000000004</v>
      </c>
      <c r="DK14" s="59">
        <f t="shared" ref="DK14:DK36" si="31">CI14</f>
        <v>529</v>
      </c>
      <c r="DL14" s="229">
        <f t="shared" ref="DL14:DL36" si="32">CQ14</f>
        <v>27891.4</v>
      </c>
      <c r="DM14" s="212"/>
      <c r="DN14" s="212"/>
      <c r="DO14" s="212"/>
      <c r="DP14" s="212"/>
      <c r="DQ14" s="56">
        <f t="shared" ref="DQ14:DQ36" si="33">IF(AND(DL14&gt;$DO$13,DL14&lt;$DP$13),DL14,0)</f>
        <v>0</v>
      </c>
      <c r="DR14" s="66">
        <f t="shared" ref="DR14:DR35" si="34">DQ14*DK14</f>
        <v>0</v>
      </c>
      <c r="DS14" s="78"/>
      <c r="DT14" s="79"/>
      <c r="DU14" s="80"/>
    </row>
    <row r="15" spans="1:125" ht="28.8" x14ac:dyDescent="0.3">
      <c r="A15" s="20" t="s">
        <v>5</v>
      </c>
      <c r="B15" s="81" t="s">
        <v>11</v>
      </c>
      <c r="C15" s="237">
        <v>14210602</v>
      </c>
      <c r="D15" s="237">
        <v>2581317</v>
      </c>
      <c r="E15" s="238"/>
      <c r="F15" s="239"/>
      <c r="G15" s="240">
        <v>356</v>
      </c>
      <c r="H15" s="240">
        <v>35</v>
      </c>
      <c r="I15" s="241"/>
      <c r="J15" s="242"/>
      <c r="K15" s="240">
        <v>4550</v>
      </c>
      <c r="L15" s="240">
        <v>2439</v>
      </c>
      <c r="M15" s="241"/>
      <c r="N15" s="242"/>
      <c r="O15" s="237">
        <v>39917</v>
      </c>
      <c r="P15" s="237">
        <v>73752</v>
      </c>
      <c r="Q15" s="238"/>
      <c r="R15" s="239"/>
      <c r="S15" s="76">
        <f t="shared" ref="S15:S36" si="35">G15+H15</f>
        <v>391</v>
      </c>
      <c r="T15" s="90">
        <f t="shared" ref="T15:T36" si="36">I15+J15</f>
        <v>0</v>
      </c>
      <c r="U15" s="52">
        <f t="shared" ref="U15:U36" si="37">O15+P15</f>
        <v>113669</v>
      </c>
      <c r="V15" s="80">
        <f t="shared" ref="V15:V36" si="38">Q15+R15</f>
        <v>0</v>
      </c>
      <c r="W15" s="75"/>
      <c r="X15" s="66"/>
      <c r="Y15" s="78"/>
      <c r="Z15" s="77"/>
      <c r="AA15" s="49"/>
      <c r="AB15" s="9"/>
      <c r="AC15" s="49"/>
      <c r="AD15" s="9"/>
      <c r="AE15" s="78">
        <f t="shared" si="3"/>
        <v>0</v>
      </c>
      <c r="AF15" s="66">
        <f t="shared" si="4"/>
        <v>0</v>
      </c>
      <c r="AG15" s="78">
        <f t="shared" si="5"/>
        <v>0</v>
      </c>
      <c r="AH15" s="80">
        <f t="shared" si="6"/>
        <v>0</v>
      </c>
      <c r="AI15" s="59">
        <f t="shared" si="7"/>
        <v>356</v>
      </c>
      <c r="AJ15" s="56">
        <f t="shared" si="8"/>
        <v>39917</v>
      </c>
      <c r="AK15" s="212"/>
      <c r="AL15" s="212"/>
      <c r="AM15" s="212"/>
      <c r="AN15" s="212"/>
      <c r="AO15" s="79">
        <f t="shared" si="9"/>
        <v>0</v>
      </c>
      <c r="AP15" s="79">
        <f t="shared" si="10"/>
        <v>0</v>
      </c>
      <c r="AQ15" s="249">
        <v>8485933</v>
      </c>
      <c r="AR15" s="237">
        <v>206095</v>
      </c>
      <c r="AS15" s="238">
        <v>50032</v>
      </c>
      <c r="AT15" s="239"/>
      <c r="AU15" s="240">
        <v>402</v>
      </c>
      <c r="AV15" s="240">
        <v>3</v>
      </c>
      <c r="AW15" s="241">
        <v>1</v>
      </c>
      <c r="AX15" s="242"/>
      <c r="AY15" s="240">
        <v>7753</v>
      </c>
      <c r="AZ15" s="240">
        <v>208</v>
      </c>
      <c r="BA15" s="241">
        <v>225</v>
      </c>
      <c r="BB15" s="242"/>
      <c r="BC15" s="237">
        <v>21109</v>
      </c>
      <c r="BD15" s="237">
        <v>68698</v>
      </c>
      <c r="BE15" s="238">
        <v>50032</v>
      </c>
      <c r="BF15" s="250"/>
      <c r="BG15" s="177">
        <f t="shared" si="11"/>
        <v>405</v>
      </c>
      <c r="BH15" s="90">
        <f t="shared" si="12"/>
        <v>1</v>
      </c>
      <c r="BI15" s="52">
        <f t="shared" si="13"/>
        <v>89807</v>
      </c>
      <c r="BJ15" s="80">
        <f t="shared" si="14"/>
        <v>50032</v>
      </c>
      <c r="BK15" s="32"/>
      <c r="BL15" s="76"/>
      <c r="BM15" s="76"/>
      <c r="BN15" s="77"/>
      <c r="BO15" s="75"/>
      <c r="BP15" s="76"/>
      <c r="BQ15" s="76"/>
      <c r="BR15" s="90"/>
      <c r="BS15" s="133">
        <f t="shared" si="15"/>
        <v>0</v>
      </c>
      <c r="BT15" s="66">
        <f t="shared" si="16"/>
        <v>50032</v>
      </c>
      <c r="BU15" s="78">
        <f t="shared" si="17"/>
        <v>0</v>
      </c>
      <c r="BV15" s="80">
        <f t="shared" si="18"/>
        <v>50032</v>
      </c>
      <c r="BW15" s="59">
        <f t="shared" si="19"/>
        <v>402</v>
      </c>
      <c r="BX15" s="56">
        <f t="shared" si="20"/>
        <v>21109</v>
      </c>
      <c r="BY15" s="212"/>
      <c r="BZ15" s="212"/>
      <c r="CA15" s="212"/>
      <c r="CB15" s="212"/>
      <c r="CC15" s="56">
        <f t="shared" si="21"/>
        <v>0</v>
      </c>
      <c r="CD15" s="79">
        <f t="shared" si="22"/>
        <v>0</v>
      </c>
      <c r="CE15" s="249">
        <v>10127114</v>
      </c>
      <c r="CF15" s="237">
        <v>219896</v>
      </c>
      <c r="CG15" s="238"/>
      <c r="CH15" s="239"/>
      <c r="CI15" s="240">
        <v>256</v>
      </c>
      <c r="CJ15" s="240">
        <v>3</v>
      </c>
      <c r="CK15" s="241"/>
      <c r="CL15" s="242"/>
      <c r="CM15" s="240">
        <v>216</v>
      </c>
      <c r="CN15" s="240">
        <v>3840</v>
      </c>
      <c r="CO15" s="241"/>
      <c r="CP15" s="242"/>
      <c r="CQ15" s="237">
        <v>39559</v>
      </c>
      <c r="CR15" s="237">
        <v>73299</v>
      </c>
      <c r="CS15" s="238"/>
      <c r="CT15" s="239"/>
      <c r="CU15" s="75">
        <f t="shared" ref="CU15:CU36" si="39">CI15+CJ15</f>
        <v>259</v>
      </c>
      <c r="CV15" s="128">
        <f t="shared" ref="CV15:CV36" si="40">CK15+CL15</f>
        <v>0</v>
      </c>
      <c r="CW15" s="52">
        <f t="shared" ref="CW15:CW36" si="41">CQ15+CR15</f>
        <v>112858</v>
      </c>
      <c r="CX15" s="57">
        <f t="shared" ref="CX15:CX36" si="42">CS15+CT15</f>
        <v>0</v>
      </c>
      <c r="CY15" s="75"/>
      <c r="CZ15" s="90"/>
      <c r="DA15" s="75"/>
      <c r="DB15" s="77"/>
      <c r="DC15" s="75"/>
      <c r="DD15" s="90"/>
      <c r="DE15" s="75"/>
      <c r="DF15" s="77"/>
      <c r="DG15" s="55">
        <f t="shared" si="27"/>
        <v>0</v>
      </c>
      <c r="DH15" s="67">
        <f t="shared" si="28"/>
        <v>0</v>
      </c>
      <c r="DI15" s="78">
        <f t="shared" si="29"/>
        <v>0</v>
      </c>
      <c r="DJ15" s="80">
        <f t="shared" si="30"/>
        <v>0</v>
      </c>
      <c r="DK15" s="59">
        <f t="shared" si="31"/>
        <v>256</v>
      </c>
      <c r="DL15" s="56">
        <f t="shared" si="32"/>
        <v>39559</v>
      </c>
      <c r="DM15" s="212"/>
      <c r="DN15" s="212"/>
      <c r="DO15" s="212"/>
      <c r="DP15" s="212"/>
      <c r="DQ15" s="56">
        <f t="shared" si="33"/>
        <v>0</v>
      </c>
      <c r="DR15" s="66">
        <f t="shared" si="34"/>
        <v>0</v>
      </c>
      <c r="DS15" s="78"/>
      <c r="DT15" s="79"/>
      <c r="DU15" s="80"/>
    </row>
    <row r="16" spans="1:125" s="46" customFormat="1" x14ac:dyDescent="0.3">
      <c r="A16" s="45" t="s">
        <v>6</v>
      </c>
      <c r="B16" s="72" t="s">
        <v>12</v>
      </c>
      <c r="C16" s="237">
        <v>2589642</v>
      </c>
      <c r="D16" s="237">
        <v>2305840</v>
      </c>
      <c r="E16" s="238">
        <v>1139547</v>
      </c>
      <c r="F16" s="239"/>
      <c r="G16" s="240">
        <v>139</v>
      </c>
      <c r="H16" s="240">
        <v>98</v>
      </c>
      <c r="I16" s="241">
        <v>5</v>
      </c>
      <c r="J16" s="242"/>
      <c r="K16" s="240">
        <v>1703.54</v>
      </c>
      <c r="L16" s="240">
        <v>2897.67</v>
      </c>
      <c r="M16" s="241">
        <v>1884</v>
      </c>
      <c r="N16" s="242"/>
      <c r="O16" s="237">
        <v>18630.52</v>
      </c>
      <c r="P16" s="237">
        <v>23528.98</v>
      </c>
      <c r="Q16" s="238">
        <v>227909.32</v>
      </c>
      <c r="R16" s="239"/>
      <c r="S16" s="135">
        <f t="shared" si="35"/>
        <v>237</v>
      </c>
      <c r="T16" s="90">
        <f t="shared" si="36"/>
        <v>5</v>
      </c>
      <c r="U16" s="52">
        <f t="shared" si="37"/>
        <v>42159.5</v>
      </c>
      <c r="V16" s="80">
        <f t="shared" si="38"/>
        <v>227909.32</v>
      </c>
      <c r="W16" s="58"/>
      <c r="X16" s="66"/>
      <c r="Y16" s="78"/>
      <c r="Z16" s="60"/>
      <c r="AA16" s="5"/>
      <c r="AB16" s="65"/>
      <c r="AC16" s="5"/>
      <c r="AD16" s="65"/>
      <c r="AE16" s="133">
        <f t="shared" si="3"/>
        <v>42159.5</v>
      </c>
      <c r="AF16" s="66">
        <f t="shared" si="4"/>
        <v>0</v>
      </c>
      <c r="AG16" s="78">
        <f t="shared" si="5"/>
        <v>9991801.5</v>
      </c>
      <c r="AH16" s="80">
        <f t="shared" si="6"/>
        <v>0</v>
      </c>
      <c r="AI16" s="59">
        <f t="shared" si="7"/>
        <v>139</v>
      </c>
      <c r="AJ16" s="56">
        <f t="shared" si="8"/>
        <v>18630.52</v>
      </c>
      <c r="AK16" s="212"/>
      <c r="AL16" s="212"/>
      <c r="AM16" s="212"/>
      <c r="AN16" s="212"/>
      <c r="AO16" s="79">
        <f t="shared" si="9"/>
        <v>0</v>
      </c>
      <c r="AP16" s="79">
        <f t="shared" si="10"/>
        <v>0</v>
      </c>
      <c r="AQ16" s="249">
        <v>4854694</v>
      </c>
      <c r="AR16" s="237">
        <v>2152165</v>
      </c>
      <c r="AS16" s="238">
        <v>184597</v>
      </c>
      <c r="AT16" s="239"/>
      <c r="AU16" s="240">
        <v>229</v>
      </c>
      <c r="AV16" s="240">
        <v>69</v>
      </c>
      <c r="AW16" s="241">
        <v>4</v>
      </c>
      <c r="AX16" s="242"/>
      <c r="AY16" s="240">
        <v>2552.6</v>
      </c>
      <c r="AZ16" s="240">
        <v>3131.59</v>
      </c>
      <c r="BA16" s="241">
        <v>564.29999999999995</v>
      </c>
      <c r="BB16" s="242"/>
      <c r="BC16" s="237">
        <v>21199.54</v>
      </c>
      <c r="BD16" s="237">
        <v>31190.799999999999</v>
      </c>
      <c r="BE16" s="238">
        <v>46149.25</v>
      </c>
      <c r="BF16" s="250"/>
      <c r="BG16" s="177">
        <f t="shared" si="11"/>
        <v>298</v>
      </c>
      <c r="BH16" s="90">
        <f t="shared" si="12"/>
        <v>4</v>
      </c>
      <c r="BI16" s="52">
        <f t="shared" si="13"/>
        <v>52390.34</v>
      </c>
      <c r="BJ16" s="80">
        <f t="shared" si="14"/>
        <v>46149.25</v>
      </c>
      <c r="BK16" s="63"/>
      <c r="BL16" s="59"/>
      <c r="BM16" s="59"/>
      <c r="BN16" s="60"/>
      <c r="BO16" s="58"/>
      <c r="BP16" s="59"/>
      <c r="BQ16" s="59"/>
      <c r="BR16" s="128"/>
      <c r="BS16" s="133">
        <f t="shared" si="15"/>
        <v>0</v>
      </c>
      <c r="BT16" s="66">
        <f t="shared" si="16"/>
        <v>46149.25</v>
      </c>
      <c r="BU16" s="78">
        <f t="shared" si="17"/>
        <v>0</v>
      </c>
      <c r="BV16" s="80">
        <f t="shared" si="18"/>
        <v>184597</v>
      </c>
      <c r="BW16" s="59">
        <f t="shared" si="19"/>
        <v>229</v>
      </c>
      <c r="BX16" s="56">
        <f t="shared" si="20"/>
        <v>21199.54</v>
      </c>
      <c r="BY16" s="212"/>
      <c r="BZ16" s="212"/>
      <c r="CA16" s="212"/>
      <c r="CB16" s="212"/>
      <c r="CC16" s="56">
        <f t="shared" si="21"/>
        <v>0</v>
      </c>
      <c r="CD16" s="79">
        <f t="shared" si="22"/>
        <v>0</v>
      </c>
      <c r="CE16" s="249">
        <v>4315890</v>
      </c>
      <c r="CF16" s="237">
        <v>1745210</v>
      </c>
      <c r="CG16" s="238">
        <v>654340</v>
      </c>
      <c r="CH16" s="239"/>
      <c r="CI16" s="240">
        <v>245</v>
      </c>
      <c r="CJ16" s="240">
        <v>60</v>
      </c>
      <c r="CK16" s="241">
        <v>7</v>
      </c>
      <c r="CL16" s="242"/>
      <c r="CM16" s="240">
        <v>2511.09</v>
      </c>
      <c r="CN16" s="240">
        <v>2806.58</v>
      </c>
      <c r="CO16" s="241">
        <v>2315</v>
      </c>
      <c r="CP16" s="242"/>
      <c r="CQ16" s="237">
        <v>17615.88</v>
      </c>
      <c r="CR16" s="237">
        <f>CF16/CJ16</f>
        <v>29086.833333333332</v>
      </c>
      <c r="CS16" s="238">
        <v>93477.14</v>
      </c>
      <c r="CT16" s="239"/>
      <c r="CU16" s="193">
        <f t="shared" si="39"/>
        <v>305</v>
      </c>
      <c r="CV16" s="128">
        <f t="shared" si="40"/>
        <v>7</v>
      </c>
      <c r="CW16" s="52">
        <f t="shared" si="41"/>
        <v>46702.713333333333</v>
      </c>
      <c r="CX16" s="57">
        <f t="shared" si="42"/>
        <v>93477.14</v>
      </c>
      <c r="CY16" s="58"/>
      <c r="CZ16" s="128"/>
      <c r="DA16" s="58"/>
      <c r="DB16" s="60"/>
      <c r="DC16" s="58"/>
      <c r="DD16" s="128"/>
      <c r="DE16" s="58"/>
      <c r="DF16" s="60"/>
      <c r="DG16" s="189">
        <f t="shared" si="27"/>
        <v>46702.713333333333</v>
      </c>
      <c r="DH16" s="67">
        <f t="shared" si="28"/>
        <v>0</v>
      </c>
      <c r="DI16" s="78">
        <f t="shared" si="29"/>
        <v>14244327.566666666</v>
      </c>
      <c r="DJ16" s="80">
        <f t="shared" si="30"/>
        <v>0</v>
      </c>
      <c r="DK16" s="59">
        <f t="shared" si="31"/>
        <v>245</v>
      </c>
      <c r="DL16" s="56">
        <f t="shared" si="32"/>
        <v>17615.88</v>
      </c>
      <c r="DM16" s="212"/>
      <c r="DN16" s="212"/>
      <c r="DO16" s="212"/>
      <c r="DP16" s="212"/>
      <c r="DQ16" s="56">
        <f t="shared" si="33"/>
        <v>0</v>
      </c>
      <c r="DR16" s="66">
        <f t="shared" si="34"/>
        <v>0</v>
      </c>
      <c r="DS16" s="78"/>
      <c r="DT16" s="79"/>
      <c r="DU16" s="80"/>
    </row>
    <row r="17" spans="1:125" x14ac:dyDescent="0.3">
      <c r="A17" s="20" t="s">
        <v>7</v>
      </c>
      <c r="B17" s="234" t="s">
        <v>13</v>
      </c>
      <c r="C17" s="78">
        <v>556671</v>
      </c>
      <c r="D17" s="79"/>
      <c r="E17" s="79"/>
      <c r="F17" s="80"/>
      <c r="G17" s="98">
        <v>119</v>
      </c>
      <c r="H17" s="99"/>
      <c r="I17" s="105"/>
      <c r="J17" s="106"/>
      <c r="K17" s="75">
        <v>1201</v>
      </c>
      <c r="L17" s="76"/>
      <c r="M17" s="76"/>
      <c r="N17" s="77"/>
      <c r="O17" s="112">
        <f>C17/G17</f>
        <v>4677.90756302521</v>
      </c>
      <c r="P17" s="113"/>
      <c r="Q17" s="109"/>
      <c r="R17" s="123"/>
      <c r="S17" s="135">
        <f t="shared" si="35"/>
        <v>119</v>
      </c>
      <c r="T17" s="90">
        <f t="shared" si="36"/>
        <v>0</v>
      </c>
      <c r="U17" s="52">
        <f t="shared" si="37"/>
        <v>4677.90756302521</v>
      </c>
      <c r="V17" s="80">
        <f t="shared" si="38"/>
        <v>0</v>
      </c>
      <c r="W17" s="75"/>
      <c r="X17" s="66"/>
      <c r="Y17" s="78"/>
      <c r="Z17" s="77"/>
      <c r="AA17" s="49"/>
      <c r="AB17" s="9"/>
      <c r="AC17" s="49"/>
      <c r="AD17" s="9"/>
      <c r="AE17" s="133">
        <f t="shared" si="3"/>
        <v>4677.90756302521</v>
      </c>
      <c r="AF17" s="66">
        <f t="shared" si="4"/>
        <v>0</v>
      </c>
      <c r="AG17" s="78">
        <f t="shared" si="5"/>
        <v>556671</v>
      </c>
      <c r="AH17" s="80">
        <f t="shared" si="6"/>
        <v>0</v>
      </c>
      <c r="AI17" s="215">
        <f t="shared" si="7"/>
        <v>119</v>
      </c>
      <c r="AJ17" s="216">
        <f t="shared" si="8"/>
        <v>4677.90756302521</v>
      </c>
      <c r="AK17" s="212"/>
      <c r="AL17" s="212"/>
      <c r="AM17" s="212"/>
      <c r="AN17" s="212"/>
      <c r="AO17" s="219">
        <f t="shared" si="9"/>
        <v>4677.90756302521</v>
      </c>
      <c r="AP17" s="79">
        <f t="shared" si="10"/>
        <v>556671</v>
      </c>
      <c r="AQ17" s="64">
        <v>294208</v>
      </c>
      <c r="AR17" s="79"/>
      <c r="AS17" s="79"/>
      <c r="AT17" s="80"/>
      <c r="AU17" s="166">
        <v>79</v>
      </c>
      <c r="AV17" s="167"/>
      <c r="AW17" s="94"/>
      <c r="AX17" s="101"/>
      <c r="AY17" s="75">
        <v>877.875</v>
      </c>
      <c r="AZ17" s="76"/>
      <c r="BA17" s="76"/>
      <c r="BB17" s="77"/>
      <c r="BC17" s="112">
        <f>AQ17/AU17</f>
        <v>3724.1518987341774</v>
      </c>
      <c r="BD17" s="113"/>
      <c r="BE17" s="171"/>
      <c r="BF17" s="179"/>
      <c r="BG17" s="177">
        <f t="shared" si="11"/>
        <v>79</v>
      </c>
      <c r="BH17" s="90">
        <f t="shared" si="12"/>
        <v>0</v>
      </c>
      <c r="BI17" s="52">
        <f t="shared" si="13"/>
        <v>3724.1518987341774</v>
      </c>
      <c r="BJ17" s="80">
        <f t="shared" si="14"/>
        <v>0</v>
      </c>
      <c r="BK17" s="32"/>
      <c r="BL17" s="76"/>
      <c r="BM17" s="76"/>
      <c r="BN17" s="77"/>
      <c r="BO17" s="75"/>
      <c r="BP17" s="76"/>
      <c r="BQ17" s="76"/>
      <c r="BR17" s="90"/>
      <c r="BS17" s="133">
        <f t="shared" si="15"/>
        <v>3724.1518987341774</v>
      </c>
      <c r="BT17" s="66">
        <f t="shared" si="16"/>
        <v>0</v>
      </c>
      <c r="BU17" s="78">
        <f t="shared" si="17"/>
        <v>294208</v>
      </c>
      <c r="BV17" s="80">
        <f t="shared" si="18"/>
        <v>0</v>
      </c>
      <c r="BW17" s="215">
        <f t="shared" si="19"/>
        <v>79</v>
      </c>
      <c r="BX17" s="216">
        <f t="shared" si="20"/>
        <v>3724.1518987341774</v>
      </c>
      <c r="BY17" s="212"/>
      <c r="BZ17" s="212"/>
      <c r="CA17" s="212"/>
      <c r="CB17" s="212"/>
      <c r="CC17" s="219">
        <f t="shared" si="21"/>
        <v>3724.1518987341774</v>
      </c>
      <c r="CD17" s="79">
        <f t="shared" si="22"/>
        <v>294208</v>
      </c>
      <c r="CE17" s="64">
        <v>274641</v>
      </c>
      <c r="CF17" s="79"/>
      <c r="CG17" s="79"/>
      <c r="CH17" s="80"/>
      <c r="CI17" s="75">
        <v>107</v>
      </c>
      <c r="CJ17" s="76"/>
      <c r="CK17" s="76"/>
      <c r="CL17" s="77"/>
      <c r="CM17" s="75">
        <v>1134.06</v>
      </c>
      <c r="CN17" s="76"/>
      <c r="CO17" s="76"/>
      <c r="CP17" s="77"/>
      <c r="CQ17" s="78">
        <f>CE17/CI17</f>
        <v>2566.7383177570096</v>
      </c>
      <c r="CR17" s="79"/>
      <c r="CS17" s="79"/>
      <c r="CT17" s="80"/>
      <c r="CU17" s="193">
        <f t="shared" si="39"/>
        <v>107</v>
      </c>
      <c r="CV17" s="128">
        <f t="shared" si="40"/>
        <v>0</v>
      </c>
      <c r="CW17" s="52">
        <f t="shared" si="41"/>
        <v>2566.7383177570096</v>
      </c>
      <c r="CX17" s="57">
        <f t="shared" si="42"/>
        <v>0</v>
      </c>
      <c r="CY17" s="75"/>
      <c r="CZ17" s="90"/>
      <c r="DA17" s="75"/>
      <c r="DB17" s="77"/>
      <c r="DC17" s="75"/>
      <c r="DD17" s="90"/>
      <c r="DE17" s="75"/>
      <c r="DF17" s="77"/>
      <c r="DG17" s="189">
        <f t="shared" si="27"/>
        <v>2566.7383177570096</v>
      </c>
      <c r="DH17" s="67">
        <f t="shared" si="28"/>
        <v>0</v>
      </c>
      <c r="DI17" s="78">
        <f t="shared" si="29"/>
        <v>274641</v>
      </c>
      <c r="DJ17" s="80">
        <f t="shared" si="30"/>
        <v>0</v>
      </c>
      <c r="DK17" s="215">
        <f t="shared" si="31"/>
        <v>107</v>
      </c>
      <c r="DL17" s="216">
        <f t="shared" si="32"/>
        <v>2566.7383177570096</v>
      </c>
      <c r="DM17" s="212"/>
      <c r="DN17" s="212"/>
      <c r="DO17" s="212"/>
      <c r="DP17" s="212"/>
      <c r="DQ17" s="219">
        <f t="shared" si="33"/>
        <v>2566.7383177570096</v>
      </c>
      <c r="DR17" s="66">
        <f t="shared" si="34"/>
        <v>274641</v>
      </c>
      <c r="DS17" s="78"/>
      <c r="DT17" s="79"/>
      <c r="DU17" s="80"/>
    </row>
    <row r="18" spans="1:125" x14ac:dyDescent="0.3">
      <c r="A18" s="20" t="s">
        <v>8</v>
      </c>
      <c r="B18" s="42" t="s">
        <v>14</v>
      </c>
      <c r="C18" s="78">
        <v>272248</v>
      </c>
      <c r="D18" s="79"/>
      <c r="E18" s="79"/>
      <c r="F18" s="80"/>
      <c r="G18" s="98">
        <v>50</v>
      </c>
      <c r="H18" s="99"/>
      <c r="I18" s="105"/>
      <c r="J18" s="106"/>
      <c r="K18" s="75">
        <v>1303.4680000000001</v>
      </c>
      <c r="L18" s="76"/>
      <c r="M18" s="76"/>
      <c r="N18" s="77"/>
      <c r="O18" s="112">
        <f>C18/G18</f>
        <v>5444.96</v>
      </c>
      <c r="P18" s="113"/>
      <c r="Q18" s="109"/>
      <c r="R18" s="123"/>
      <c r="S18" s="135">
        <f t="shared" si="35"/>
        <v>50</v>
      </c>
      <c r="T18" s="90">
        <f t="shared" si="36"/>
        <v>0</v>
      </c>
      <c r="U18" s="52">
        <f t="shared" si="37"/>
        <v>5444.96</v>
      </c>
      <c r="V18" s="80">
        <f t="shared" si="38"/>
        <v>0</v>
      </c>
      <c r="W18" s="75"/>
      <c r="X18" s="66"/>
      <c r="Y18" s="78"/>
      <c r="Z18" s="77"/>
      <c r="AA18" s="49"/>
      <c r="AB18" s="9"/>
      <c r="AC18" s="49"/>
      <c r="AD18" s="9"/>
      <c r="AE18" s="133">
        <f t="shared" si="3"/>
        <v>5444.96</v>
      </c>
      <c r="AF18" s="66">
        <f t="shared" si="4"/>
        <v>0</v>
      </c>
      <c r="AG18" s="78">
        <f t="shared" si="5"/>
        <v>272248</v>
      </c>
      <c r="AH18" s="80">
        <f t="shared" si="6"/>
        <v>0</v>
      </c>
      <c r="AI18" s="215">
        <f t="shared" si="7"/>
        <v>50</v>
      </c>
      <c r="AJ18" s="216">
        <f t="shared" si="8"/>
        <v>5444.96</v>
      </c>
      <c r="AK18" s="212"/>
      <c r="AL18" s="212"/>
      <c r="AM18" s="212"/>
      <c r="AN18" s="212"/>
      <c r="AO18" s="219">
        <f t="shared" si="9"/>
        <v>5444.96</v>
      </c>
      <c r="AP18" s="79">
        <f t="shared" si="10"/>
        <v>272248</v>
      </c>
      <c r="AQ18" s="64">
        <v>217408</v>
      </c>
      <c r="AR18" s="79"/>
      <c r="AS18" s="79"/>
      <c r="AT18" s="80"/>
      <c r="AU18" s="166">
        <v>89</v>
      </c>
      <c r="AV18" s="167"/>
      <c r="AW18" s="94"/>
      <c r="AX18" s="101"/>
      <c r="AY18" s="75">
        <v>1243.425</v>
      </c>
      <c r="AZ18" s="76"/>
      <c r="BA18" s="76"/>
      <c r="BB18" s="77"/>
      <c r="BC18" s="112">
        <f>AQ18/AU18</f>
        <v>2442.7865168539324</v>
      </c>
      <c r="BD18" s="113"/>
      <c r="BE18" s="171"/>
      <c r="BF18" s="179"/>
      <c r="BG18" s="177">
        <f t="shared" si="11"/>
        <v>89</v>
      </c>
      <c r="BH18" s="90">
        <f t="shared" si="12"/>
        <v>0</v>
      </c>
      <c r="BI18" s="52">
        <f t="shared" si="13"/>
        <v>2442.7865168539324</v>
      </c>
      <c r="BJ18" s="80">
        <f t="shared" si="14"/>
        <v>0</v>
      </c>
      <c r="BK18" s="32"/>
      <c r="BL18" s="76"/>
      <c r="BM18" s="76"/>
      <c r="BN18" s="77"/>
      <c r="BO18" s="75"/>
      <c r="BP18" s="76"/>
      <c r="BQ18" s="76"/>
      <c r="BR18" s="90"/>
      <c r="BS18" s="133">
        <f t="shared" si="15"/>
        <v>2442.7865168539324</v>
      </c>
      <c r="BT18" s="66">
        <f t="shared" si="16"/>
        <v>0</v>
      </c>
      <c r="BU18" s="78">
        <f t="shared" si="17"/>
        <v>217408</v>
      </c>
      <c r="BV18" s="80">
        <f t="shared" si="18"/>
        <v>0</v>
      </c>
      <c r="BW18" s="215">
        <f t="shared" si="19"/>
        <v>89</v>
      </c>
      <c r="BX18" s="216">
        <f t="shared" si="20"/>
        <v>2442.7865168539324</v>
      </c>
      <c r="BY18" s="212"/>
      <c r="BZ18" s="212"/>
      <c r="CA18" s="212"/>
      <c r="CB18" s="212"/>
      <c r="CC18" s="219">
        <f t="shared" si="21"/>
        <v>2442.7865168539324</v>
      </c>
      <c r="CD18" s="79">
        <f t="shared" si="22"/>
        <v>217408</v>
      </c>
      <c r="CE18" s="64">
        <v>63899</v>
      </c>
      <c r="CF18" s="79"/>
      <c r="CG18" s="79"/>
      <c r="CH18" s="80"/>
      <c r="CI18" s="75">
        <v>50</v>
      </c>
      <c r="CJ18" s="76"/>
      <c r="CK18" s="76"/>
      <c r="CL18" s="77"/>
      <c r="CM18" s="75">
        <v>741.52499999999998</v>
      </c>
      <c r="CN18" s="76"/>
      <c r="CO18" s="76"/>
      <c r="CP18" s="77"/>
      <c r="CQ18" s="78">
        <f>CE18/CI18</f>
        <v>1277.98</v>
      </c>
      <c r="CR18" s="79"/>
      <c r="CS18" s="79"/>
      <c r="CT18" s="80"/>
      <c r="CU18" s="193">
        <f t="shared" si="39"/>
        <v>50</v>
      </c>
      <c r="CV18" s="128">
        <f t="shared" si="40"/>
        <v>0</v>
      </c>
      <c r="CW18" s="52">
        <f t="shared" si="41"/>
        <v>1277.98</v>
      </c>
      <c r="CX18" s="57">
        <f t="shared" si="42"/>
        <v>0</v>
      </c>
      <c r="CY18" s="75"/>
      <c r="CZ18" s="90"/>
      <c r="DA18" s="75"/>
      <c r="DB18" s="77"/>
      <c r="DC18" s="75"/>
      <c r="DD18" s="90"/>
      <c r="DE18" s="75"/>
      <c r="DF18" s="77"/>
      <c r="DG18" s="189">
        <f t="shared" si="27"/>
        <v>1277.98</v>
      </c>
      <c r="DH18" s="67">
        <f t="shared" si="28"/>
        <v>0</v>
      </c>
      <c r="DI18" s="78">
        <f t="shared" si="29"/>
        <v>63899</v>
      </c>
      <c r="DJ18" s="80">
        <f t="shared" si="30"/>
        <v>0</v>
      </c>
      <c r="DK18" s="215">
        <f t="shared" si="31"/>
        <v>50</v>
      </c>
      <c r="DL18" s="216">
        <f t="shared" si="32"/>
        <v>1277.98</v>
      </c>
      <c r="DM18" s="212"/>
      <c r="DN18" s="212"/>
      <c r="DO18" s="212"/>
      <c r="DP18" s="212"/>
      <c r="DQ18" s="219">
        <f t="shared" si="33"/>
        <v>0</v>
      </c>
      <c r="DR18" s="66">
        <f t="shared" si="34"/>
        <v>0</v>
      </c>
      <c r="DS18" s="78"/>
      <c r="DT18" s="79"/>
      <c r="DU18" s="80"/>
    </row>
    <row r="19" spans="1:125" x14ac:dyDescent="0.3">
      <c r="A19" s="20" t="s">
        <v>44</v>
      </c>
      <c r="B19" s="72" t="s">
        <v>15</v>
      </c>
      <c r="C19" s="237">
        <v>2469001.91</v>
      </c>
      <c r="D19" s="238">
        <v>1906409.26</v>
      </c>
      <c r="E19" s="238">
        <v>2656643.83</v>
      </c>
      <c r="F19" s="239"/>
      <c r="G19" s="240">
        <v>525</v>
      </c>
      <c r="H19" s="241">
        <v>116</v>
      </c>
      <c r="I19" s="241">
        <v>17</v>
      </c>
      <c r="J19" s="242">
        <v>0</v>
      </c>
      <c r="K19" s="240">
        <v>7092</v>
      </c>
      <c r="L19" s="241">
        <v>5476</v>
      </c>
      <c r="M19" s="241">
        <v>7631</v>
      </c>
      <c r="N19" s="242">
        <v>0</v>
      </c>
      <c r="O19" s="237">
        <v>4702.8599999999997</v>
      </c>
      <c r="P19" s="238">
        <v>16434.560000000001</v>
      </c>
      <c r="Q19" s="238">
        <v>156273.17000000001</v>
      </c>
      <c r="R19" s="239">
        <v>0</v>
      </c>
      <c r="S19" s="135">
        <f t="shared" si="35"/>
        <v>641</v>
      </c>
      <c r="T19" s="90">
        <f t="shared" si="36"/>
        <v>17</v>
      </c>
      <c r="U19" s="52">
        <f t="shared" si="37"/>
        <v>21137.420000000002</v>
      </c>
      <c r="V19" s="127">
        <f t="shared" si="38"/>
        <v>156273.17000000001</v>
      </c>
      <c r="W19" s="75"/>
      <c r="X19" s="66"/>
      <c r="Y19" s="78"/>
      <c r="Z19" s="77"/>
      <c r="AA19" s="49"/>
      <c r="AB19" s="9"/>
      <c r="AC19" s="49"/>
      <c r="AD19" s="9"/>
      <c r="AE19" s="133">
        <f t="shared" si="3"/>
        <v>21137.420000000002</v>
      </c>
      <c r="AF19" s="66">
        <f t="shared" si="4"/>
        <v>0</v>
      </c>
      <c r="AG19" s="78">
        <f t="shared" si="5"/>
        <v>13549086.220000001</v>
      </c>
      <c r="AH19" s="80">
        <f t="shared" si="6"/>
        <v>0</v>
      </c>
      <c r="AI19" s="215">
        <f t="shared" si="7"/>
        <v>525</v>
      </c>
      <c r="AJ19" s="216">
        <f t="shared" si="8"/>
        <v>4702.8599999999997</v>
      </c>
      <c r="AK19" s="212"/>
      <c r="AL19" s="212"/>
      <c r="AM19" s="212"/>
      <c r="AN19" s="212"/>
      <c r="AO19" s="219">
        <f t="shared" si="9"/>
        <v>4702.8599999999997</v>
      </c>
      <c r="AP19" s="79">
        <f t="shared" si="10"/>
        <v>2469001.5</v>
      </c>
      <c r="AQ19" s="64">
        <v>2953057.81</v>
      </c>
      <c r="AR19" s="79">
        <v>2771747.14</v>
      </c>
      <c r="AS19" s="79">
        <v>1961018.06</v>
      </c>
      <c r="AT19" s="80">
        <v>0</v>
      </c>
      <c r="AU19" s="166">
        <v>531</v>
      </c>
      <c r="AV19" s="167">
        <v>112</v>
      </c>
      <c r="AW19" s="94">
        <v>16</v>
      </c>
      <c r="AX19" s="101">
        <v>0</v>
      </c>
      <c r="AY19" s="75">
        <v>7427</v>
      </c>
      <c r="AZ19" s="76">
        <v>6971</v>
      </c>
      <c r="BA19" s="76">
        <v>4932</v>
      </c>
      <c r="BB19" s="77">
        <v>0</v>
      </c>
      <c r="BC19" s="112">
        <v>5561.31</v>
      </c>
      <c r="BD19" s="113">
        <v>24747.74</v>
      </c>
      <c r="BE19" s="171">
        <v>122563.63</v>
      </c>
      <c r="BF19" s="179">
        <v>0</v>
      </c>
      <c r="BG19" s="75">
        <f t="shared" si="11"/>
        <v>643</v>
      </c>
      <c r="BH19" s="90">
        <f t="shared" si="12"/>
        <v>16</v>
      </c>
      <c r="BI19" s="52">
        <f t="shared" si="13"/>
        <v>30309.050000000003</v>
      </c>
      <c r="BJ19" s="126">
        <f t="shared" si="14"/>
        <v>122563.63</v>
      </c>
      <c r="BK19" s="32"/>
      <c r="BL19" s="76"/>
      <c r="BM19" s="76"/>
      <c r="BN19" s="77"/>
      <c r="BO19" s="75"/>
      <c r="BP19" s="76"/>
      <c r="BQ19" s="76"/>
      <c r="BR19" s="90"/>
      <c r="BS19" s="78">
        <f t="shared" si="15"/>
        <v>30309.050000000003</v>
      </c>
      <c r="BT19" s="66">
        <f t="shared" si="16"/>
        <v>0</v>
      </c>
      <c r="BU19" s="78">
        <f t="shared" si="17"/>
        <v>19488719.150000002</v>
      </c>
      <c r="BV19" s="80">
        <f t="shared" si="18"/>
        <v>0</v>
      </c>
      <c r="BW19" s="215">
        <f t="shared" si="19"/>
        <v>531</v>
      </c>
      <c r="BX19" s="216">
        <f t="shared" si="20"/>
        <v>5561.31</v>
      </c>
      <c r="BY19" s="212"/>
      <c r="BZ19" s="212"/>
      <c r="CA19" s="212"/>
      <c r="CB19" s="212"/>
      <c r="CC19" s="219">
        <f t="shared" si="21"/>
        <v>5561.31</v>
      </c>
      <c r="CD19" s="79">
        <f t="shared" si="22"/>
        <v>2953055.6100000003</v>
      </c>
      <c r="CE19" s="64">
        <v>3633696.01</v>
      </c>
      <c r="CF19" s="79">
        <v>2819115.49</v>
      </c>
      <c r="CG19" s="79">
        <v>2700977.5</v>
      </c>
      <c r="CH19" s="80">
        <v>0</v>
      </c>
      <c r="CI19" s="75">
        <v>523</v>
      </c>
      <c r="CJ19" s="76">
        <v>131</v>
      </c>
      <c r="CK19" s="76">
        <v>20</v>
      </c>
      <c r="CL19" s="77">
        <v>0</v>
      </c>
      <c r="CM19" s="75">
        <v>7628</v>
      </c>
      <c r="CN19" s="76">
        <v>5918</v>
      </c>
      <c r="CO19" s="76">
        <v>5670</v>
      </c>
      <c r="CP19" s="77">
        <v>0</v>
      </c>
      <c r="CQ19" s="78">
        <v>6947.79</v>
      </c>
      <c r="CR19" s="79">
        <v>21519.97</v>
      </c>
      <c r="CS19" s="79">
        <v>135048.88</v>
      </c>
      <c r="CT19" s="80">
        <v>0</v>
      </c>
      <c r="CU19" s="193">
        <f t="shared" si="39"/>
        <v>654</v>
      </c>
      <c r="CV19" s="128">
        <f t="shared" si="40"/>
        <v>20</v>
      </c>
      <c r="CW19" s="52">
        <f t="shared" si="41"/>
        <v>28467.760000000002</v>
      </c>
      <c r="CX19" s="126">
        <f t="shared" si="42"/>
        <v>135048.88</v>
      </c>
      <c r="CY19" s="75"/>
      <c r="CZ19" s="90"/>
      <c r="DA19" s="75"/>
      <c r="DB19" s="77"/>
      <c r="DC19" s="75"/>
      <c r="DD19" s="90"/>
      <c r="DE19" s="75"/>
      <c r="DF19" s="77"/>
      <c r="DG19" s="189">
        <f t="shared" si="27"/>
        <v>28467.760000000002</v>
      </c>
      <c r="DH19" s="67">
        <f t="shared" si="28"/>
        <v>0</v>
      </c>
      <c r="DI19" s="78">
        <f t="shared" si="29"/>
        <v>18617915.040000003</v>
      </c>
      <c r="DJ19" s="80">
        <f t="shared" si="30"/>
        <v>0</v>
      </c>
      <c r="DK19" s="215">
        <f t="shared" si="31"/>
        <v>523</v>
      </c>
      <c r="DL19" s="216">
        <f t="shared" si="32"/>
        <v>6947.79</v>
      </c>
      <c r="DM19" s="212"/>
      <c r="DN19" s="212"/>
      <c r="DO19" s="212"/>
      <c r="DP19" s="212"/>
      <c r="DQ19" s="219">
        <f t="shared" si="33"/>
        <v>6947.79</v>
      </c>
      <c r="DR19" s="66">
        <f t="shared" si="34"/>
        <v>3633694.17</v>
      </c>
      <c r="DS19" s="78"/>
      <c r="DT19" s="79"/>
      <c r="DU19" s="80"/>
    </row>
    <row r="20" spans="1:125" x14ac:dyDescent="0.3">
      <c r="A20" s="20" t="s">
        <v>45</v>
      </c>
      <c r="B20" s="234" t="s">
        <v>16</v>
      </c>
      <c r="C20" s="78">
        <v>863766.84</v>
      </c>
      <c r="D20" s="79">
        <v>21478.54</v>
      </c>
      <c r="E20" s="79">
        <v>0</v>
      </c>
      <c r="F20" s="80">
        <v>0</v>
      </c>
      <c r="G20" s="98">
        <v>69</v>
      </c>
      <c r="H20" s="99">
        <v>1</v>
      </c>
      <c r="I20" s="105">
        <v>0</v>
      </c>
      <c r="J20" s="106">
        <v>0</v>
      </c>
      <c r="K20" s="75">
        <v>849</v>
      </c>
      <c r="L20" s="76">
        <v>18</v>
      </c>
      <c r="M20" s="76">
        <v>0</v>
      </c>
      <c r="N20" s="77">
        <v>0</v>
      </c>
      <c r="O20" s="112">
        <f>C20/G20</f>
        <v>12518.359999999999</v>
      </c>
      <c r="P20" s="113">
        <f>D20/H20</f>
        <v>21478.54</v>
      </c>
      <c r="Q20" s="109">
        <v>0</v>
      </c>
      <c r="R20" s="123">
        <v>0</v>
      </c>
      <c r="S20" s="135">
        <f t="shared" si="35"/>
        <v>70</v>
      </c>
      <c r="T20" s="90">
        <f t="shared" si="36"/>
        <v>0</v>
      </c>
      <c r="U20" s="52">
        <f t="shared" si="37"/>
        <v>33996.9</v>
      </c>
      <c r="V20" s="80">
        <f t="shared" si="38"/>
        <v>0</v>
      </c>
      <c r="W20" s="75"/>
      <c r="X20" s="66"/>
      <c r="Y20" s="78"/>
      <c r="Z20" s="77"/>
      <c r="AA20" s="49"/>
      <c r="AB20" s="9"/>
      <c r="AC20" s="49"/>
      <c r="AD20" s="9"/>
      <c r="AE20" s="133">
        <f t="shared" si="3"/>
        <v>33996.9</v>
      </c>
      <c r="AF20" s="66">
        <f t="shared" si="4"/>
        <v>0</v>
      </c>
      <c r="AG20" s="78">
        <f t="shared" si="5"/>
        <v>2379783</v>
      </c>
      <c r="AH20" s="80">
        <f t="shared" si="6"/>
        <v>0</v>
      </c>
      <c r="AI20" s="59">
        <f t="shared" si="7"/>
        <v>69</v>
      </c>
      <c r="AJ20" s="216">
        <f t="shared" si="8"/>
        <v>12518.359999999999</v>
      </c>
      <c r="AK20" s="212"/>
      <c r="AL20" s="212"/>
      <c r="AM20" s="212"/>
      <c r="AN20" s="212"/>
      <c r="AO20" s="79">
        <f t="shared" si="9"/>
        <v>0</v>
      </c>
      <c r="AP20" s="79">
        <f t="shared" si="10"/>
        <v>0</v>
      </c>
      <c r="AQ20" s="64">
        <v>643325.4</v>
      </c>
      <c r="AR20" s="79">
        <v>51281.48</v>
      </c>
      <c r="AS20" s="79">
        <v>0</v>
      </c>
      <c r="AT20" s="80">
        <v>0</v>
      </c>
      <c r="AU20" s="166">
        <v>60</v>
      </c>
      <c r="AV20" s="167">
        <v>4</v>
      </c>
      <c r="AW20" s="94">
        <v>0</v>
      </c>
      <c r="AX20" s="101">
        <v>0</v>
      </c>
      <c r="AY20" s="75">
        <v>840</v>
      </c>
      <c r="AZ20" s="76">
        <v>879</v>
      </c>
      <c r="BA20" s="76">
        <v>0</v>
      </c>
      <c r="BB20" s="77">
        <v>0</v>
      </c>
      <c r="BC20" s="112">
        <f>AQ20/AU20</f>
        <v>10722.09</v>
      </c>
      <c r="BD20" s="113">
        <f>AR20/AV20</f>
        <v>12820.37</v>
      </c>
      <c r="BE20" s="171">
        <v>0</v>
      </c>
      <c r="BF20" s="179">
        <v>0</v>
      </c>
      <c r="BG20" s="177">
        <f t="shared" si="11"/>
        <v>64</v>
      </c>
      <c r="BH20" s="90">
        <f t="shared" si="12"/>
        <v>0</v>
      </c>
      <c r="BI20" s="52">
        <f t="shared" si="13"/>
        <v>23542.46</v>
      </c>
      <c r="BJ20" s="80">
        <f t="shared" si="14"/>
        <v>0</v>
      </c>
      <c r="BK20" s="32"/>
      <c r="BL20" s="76"/>
      <c r="BM20" s="76"/>
      <c r="BN20" s="77"/>
      <c r="BO20" s="75"/>
      <c r="BP20" s="76"/>
      <c r="BQ20" s="76"/>
      <c r="BR20" s="90"/>
      <c r="BS20" s="133">
        <f t="shared" si="15"/>
        <v>23542.46</v>
      </c>
      <c r="BT20" s="66">
        <f t="shared" si="16"/>
        <v>0</v>
      </c>
      <c r="BU20" s="78">
        <f t="shared" si="17"/>
        <v>1506717.44</v>
      </c>
      <c r="BV20" s="80">
        <f t="shared" si="18"/>
        <v>0</v>
      </c>
      <c r="BW20" s="59">
        <f t="shared" si="19"/>
        <v>60</v>
      </c>
      <c r="BX20" s="216">
        <f t="shared" si="20"/>
        <v>10722.09</v>
      </c>
      <c r="BY20" s="212"/>
      <c r="BZ20" s="212"/>
      <c r="CA20" s="212"/>
      <c r="CB20" s="212"/>
      <c r="CC20" s="56">
        <f t="shared" si="21"/>
        <v>10722.09</v>
      </c>
      <c r="CD20" s="79">
        <f t="shared" si="22"/>
        <v>643325.4</v>
      </c>
      <c r="CE20" s="32">
        <v>791763.96</v>
      </c>
      <c r="CF20" s="76">
        <v>65847.7</v>
      </c>
      <c r="CG20" s="76">
        <v>0</v>
      </c>
      <c r="CH20" s="77">
        <v>0</v>
      </c>
      <c r="CI20" s="75">
        <v>69</v>
      </c>
      <c r="CJ20" s="76">
        <v>5</v>
      </c>
      <c r="CK20" s="76">
        <v>0</v>
      </c>
      <c r="CL20" s="77">
        <v>0</v>
      </c>
      <c r="CM20" s="78">
        <v>926.5</v>
      </c>
      <c r="CN20" s="79">
        <v>751</v>
      </c>
      <c r="CO20" s="79">
        <v>0</v>
      </c>
      <c r="CP20" s="80">
        <v>0</v>
      </c>
      <c r="CQ20" s="78">
        <f>CE20/CI20</f>
        <v>11474.84</v>
      </c>
      <c r="CR20" s="79">
        <f>CF20/CJ20</f>
        <v>13169.539999999999</v>
      </c>
      <c r="CS20" s="79">
        <v>0</v>
      </c>
      <c r="CT20" s="80">
        <v>0</v>
      </c>
      <c r="CU20" s="193">
        <f t="shared" si="39"/>
        <v>74</v>
      </c>
      <c r="CV20" s="128">
        <f t="shared" si="40"/>
        <v>0</v>
      </c>
      <c r="CW20" s="52">
        <f t="shared" si="41"/>
        <v>24644.379999999997</v>
      </c>
      <c r="CX20" s="57">
        <f t="shared" si="42"/>
        <v>0</v>
      </c>
      <c r="CY20" s="75"/>
      <c r="CZ20" s="90"/>
      <c r="DA20" s="75"/>
      <c r="DB20" s="77"/>
      <c r="DC20" s="75"/>
      <c r="DD20" s="90"/>
      <c r="DE20" s="75"/>
      <c r="DF20" s="77"/>
      <c r="DG20" s="189">
        <f t="shared" si="27"/>
        <v>24644.379999999997</v>
      </c>
      <c r="DH20" s="67">
        <f t="shared" si="28"/>
        <v>0</v>
      </c>
      <c r="DI20" s="78">
        <f t="shared" si="29"/>
        <v>1823684.1199999999</v>
      </c>
      <c r="DJ20" s="80">
        <f t="shared" si="30"/>
        <v>0</v>
      </c>
      <c r="DK20" s="59">
        <f t="shared" si="31"/>
        <v>69</v>
      </c>
      <c r="DL20" s="216">
        <f t="shared" si="32"/>
        <v>11474.84</v>
      </c>
      <c r="DM20" s="212"/>
      <c r="DN20" s="212"/>
      <c r="DO20" s="212"/>
      <c r="DP20" s="212"/>
      <c r="DQ20" s="56">
        <f t="shared" si="33"/>
        <v>11474.84</v>
      </c>
      <c r="DR20" s="66">
        <f t="shared" si="34"/>
        <v>791763.96</v>
      </c>
      <c r="DS20" s="78"/>
      <c r="DT20" s="79"/>
      <c r="DU20" s="80"/>
    </row>
    <row r="21" spans="1:125" x14ac:dyDescent="0.3">
      <c r="A21" s="20" t="s">
        <v>46</v>
      </c>
      <c r="B21" s="234" t="s">
        <v>17</v>
      </c>
      <c r="C21" s="78">
        <v>140844.44</v>
      </c>
      <c r="D21" s="79"/>
      <c r="E21" s="79"/>
      <c r="F21" s="80"/>
      <c r="G21" s="98">
        <v>22</v>
      </c>
      <c r="H21" s="99"/>
      <c r="I21" s="105"/>
      <c r="J21" s="106"/>
      <c r="K21" s="75">
        <v>169</v>
      </c>
      <c r="L21" s="76"/>
      <c r="M21" s="76"/>
      <c r="N21" s="77"/>
      <c r="O21" s="112">
        <f>C21/G21</f>
        <v>6402.02</v>
      </c>
      <c r="P21" s="113"/>
      <c r="Q21" s="109"/>
      <c r="R21" s="123"/>
      <c r="S21" s="76">
        <f t="shared" si="35"/>
        <v>22</v>
      </c>
      <c r="T21" s="90">
        <f t="shared" si="36"/>
        <v>0</v>
      </c>
      <c r="U21" s="52">
        <f t="shared" si="37"/>
        <v>6402.02</v>
      </c>
      <c r="V21" s="80">
        <f t="shared" si="38"/>
        <v>0</v>
      </c>
      <c r="W21" s="75"/>
      <c r="X21" s="66"/>
      <c r="Y21" s="78"/>
      <c r="Z21" s="77"/>
      <c r="AA21" s="49"/>
      <c r="AB21" s="9"/>
      <c r="AC21" s="49"/>
      <c r="AD21" s="9"/>
      <c r="AE21" s="78">
        <f t="shared" si="3"/>
        <v>6402.02</v>
      </c>
      <c r="AF21" s="66">
        <f t="shared" si="4"/>
        <v>0</v>
      </c>
      <c r="AG21" s="78">
        <f t="shared" si="5"/>
        <v>140844.44</v>
      </c>
      <c r="AH21" s="80">
        <f t="shared" si="6"/>
        <v>0</v>
      </c>
      <c r="AI21" s="215">
        <f t="shared" si="7"/>
        <v>22</v>
      </c>
      <c r="AJ21" s="216">
        <f t="shared" si="8"/>
        <v>6402.02</v>
      </c>
      <c r="AK21" s="212"/>
      <c r="AL21" s="212"/>
      <c r="AM21" s="212"/>
      <c r="AN21" s="212"/>
      <c r="AO21" s="219">
        <f t="shared" si="9"/>
        <v>6402.02</v>
      </c>
      <c r="AP21" s="79">
        <f t="shared" si="10"/>
        <v>140844.44</v>
      </c>
      <c r="AQ21" s="64">
        <v>141733.20000000001</v>
      </c>
      <c r="AR21" s="79"/>
      <c r="AS21" s="79">
        <v>3015.6</v>
      </c>
      <c r="AT21" s="80"/>
      <c r="AU21" s="166">
        <v>47</v>
      </c>
      <c r="AV21" s="167"/>
      <c r="AW21" s="94">
        <v>1</v>
      </c>
      <c r="AX21" s="101"/>
      <c r="AY21" s="75">
        <v>513.29999999999995</v>
      </c>
      <c r="AZ21" s="76"/>
      <c r="BA21" s="76">
        <v>1</v>
      </c>
      <c r="BB21" s="77"/>
      <c r="BC21" s="112">
        <f>AQ21/AU21</f>
        <v>3015.6000000000004</v>
      </c>
      <c r="BD21" s="113"/>
      <c r="BE21" s="171">
        <f>AS21/AW21</f>
        <v>3015.6</v>
      </c>
      <c r="BF21" s="179"/>
      <c r="BG21" s="177">
        <f t="shared" si="11"/>
        <v>47</v>
      </c>
      <c r="BH21" s="90">
        <f t="shared" si="12"/>
        <v>1</v>
      </c>
      <c r="BI21" s="52">
        <f t="shared" si="13"/>
        <v>3015.6000000000004</v>
      </c>
      <c r="BJ21" s="80">
        <f t="shared" si="14"/>
        <v>3015.6</v>
      </c>
      <c r="BK21" s="32"/>
      <c r="BL21" s="76"/>
      <c r="BM21" s="76"/>
      <c r="BN21" s="77"/>
      <c r="BO21" s="75"/>
      <c r="BP21" s="76"/>
      <c r="BQ21" s="76"/>
      <c r="BR21" s="90"/>
      <c r="BS21" s="133">
        <f t="shared" si="15"/>
        <v>3015.6000000000004</v>
      </c>
      <c r="BT21" s="66">
        <f t="shared" si="16"/>
        <v>3015.6</v>
      </c>
      <c r="BU21" s="78">
        <f t="shared" si="17"/>
        <v>141733.20000000001</v>
      </c>
      <c r="BV21" s="80">
        <f t="shared" si="18"/>
        <v>3015.6</v>
      </c>
      <c r="BW21" s="215">
        <f t="shared" si="19"/>
        <v>47</v>
      </c>
      <c r="BX21" s="216">
        <f t="shared" si="20"/>
        <v>3015.6000000000004</v>
      </c>
      <c r="BY21" s="212"/>
      <c r="BZ21" s="212"/>
      <c r="CA21" s="212"/>
      <c r="CB21" s="212"/>
      <c r="CC21" s="219">
        <f t="shared" si="21"/>
        <v>3015.6000000000004</v>
      </c>
      <c r="CD21" s="79">
        <f t="shared" si="22"/>
        <v>141733.20000000001</v>
      </c>
      <c r="CE21" s="64">
        <v>112157.5</v>
      </c>
      <c r="CF21" s="79"/>
      <c r="CG21" s="79"/>
      <c r="CH21" s="80"/>
      <c r="CI21" s="75">
        <v>35</v>
      </c>
      <c r="CJ21" s="76"/>
      <c r="CK21" s="76"/>
      <c r="CL21" s="77"/>
      <c r="CM21" s="75">
        <v>446</v>
      </c>
      <c r="CN21" s="76"/>
      <c r="CO21" s="76"/>
      <c r="CP21" s="77"/>
      <c r="CQ21" s="78">
        <f>CE21/CI21</f>
        <v>3204.5</v>
      </c>
      <c r="CR21" s="79"/>
      <c r="CS21" s="79"/>
      <c r="CT21" s="80"/>
      <c r="CU21" s="193">
        <f t="shared" si="39"/>
        <v>35</v>
      </c>
      <c r="CV21" s="128">
        <f t="shared" si="40"/>
        <v>0</v>
      </c>
      <c r="CW21" s="52">
        <f t="shared" si="41"/>
        <v>3204.5</v>
      </c>
      <c r="CX21" s="57">
        <f t="shared" si="42"/>
        <v>0</v>
      </c>
      <c r="CY21" s="75"/>
      <c r="CZ21" s="90"/>
      <c r="DA21" s="75"/>
      <c r="DB21" s="77"/>
      <c r="DC21" s="75"/>
      <c r="DD21" s="90"/>
      <c r="DE21" s="75"/>
      <c r="DF21" s="77"/>
      <c r="DG21" s="189">
        <f t="shared" si="27"/>
        <v>3204.5</v>
      </c>
      <c r="DH21" s="67">
        <f t="shared" si="28"/>
        <v>0</v>
      </c>
      <c r="DI21" s="78">
        <f t="shared" si="29"/>
        <v>112157.5</v>
      </c>
      <c r="DJ21" s="80">
        <f t="shared" si="30"/>
        <v>0</v>
      </c>
      <c r="DK21" s="215">
        <f t="shared" si="31"/>
        <v>35</v>
      </c>
      <c r="DL21" s="216">
        <f t="shared" si="32"/>
        <v>3204.5</v>
      </c>
      <c r="DM21" s="212"/>
      <c r="DN21" s="212"/>
      <c r="DO21" s="212"/>
      <c r="DP21" s="212"/>
      <c r="DQ21" s="219">
        <f t="shared" si="33"/>
        <v>3204.5</v>
      </c>
      <c r="DR21" s="66">
        <f t="shared" si="34"/>
        <v>112157.5</v>
      </c>
      <c r="DS21" s="78"/>
      <c r="DT21" s="79"/>
      <c r="DU21" s="80"/>
    </row>
    <row r="22" spans="1:125" ht="30.75" customHeight="1" x14ac:dyDescent="0.3">
      <c r="A22" s="20" t="s">
        <v>47</v>
      </c>
      <c r="B22" s="81" t="s">
        <v>48</v>
      </c>
      <c r="C22" s="78">
        <v>581734.91</v>
      </c>
      <c r="D22" s="79"/>
      <c r="E22" s="79"/>
      <c r="F22" s="80"/>
      <c r="G22" s="98">
        <v>92</v>
      </c>
      <c r="H22" s="99"/>
      <c r="I22" s="105"/>
      <c r="J22" s="106"/>
      <c r="K22" s="75">
        <v>3226</v>
      </c>
      <c r="L22" s="76"/>
      <c r="M22" s="76"/>
      <c r="N22" s="77"/>
      <c r="O22" s="112">
        <v>6323.21</v>
      </c>
      <c r="P22" s="113"/>
      <c r="Q22" s="109"/>
      <c r="R22" s="123"/>
      <c r="S22" s="135">
        <f t="shared" si="35"/>
        <v>92</v>
      </c>
      <c r="T22" s="90">
        <f t="shared" si="36"/>
        <v>0</v>
      </c>
      <c r="U22" s="52">
        <f t="shared" si="37"/>
        <v>6323.21</v>
      </c>
      <c r="V22" s="80">
        <f t="shared" si="38"/>
        <v>0</v>
      </c>
      <c r="W22" s="75"/>
      <c r="X22" s="66"/>
      <c r="Y22" s="78"/>
      <c r="Z22" s="77"/>
      <c r="AA22" s="49"/>
      <c r="AB22" s="9"/>
      <c r="AC22" s="49"/>
      <c r="AD22" s="9"/>
      <c r="AE22" s="133">
        <f t="shared" si="3"/>
        <v>6323.21</v>
      </c>
      <c r="AF22" s="66">
        <f t="shared" si="4"/>
        <v>0</v>
      </c>
      <c r="AG22" s="78">
        <f t="shared" si="5"/>
        <v>581735.31999999995</v>
      </c>
      <c r="AH22" s="80">
        <f t="shared" si="6"/>
        <v>0</v>
      </c>
      <c r="AI22" s="215">
        <f t="shared" si="7"/>
        <v>92</v>
      </c>
      <c r="AJ22" s="216">
        <f t="shared" si="8"/>
        <v>6323.21</v>
      </c>
      <c r="AK22" s="212"/>
      <c r="AL22" s="212"/>
      <c r="AM22" s="212"/>
      <c r="AN22" s="212"/>
      <c r="AO22" s="219">
        <f t="shared" si="9"/>
        <v>6323.21</v>
      </c>
      <c r="AP22" s="79">
        <f t="shared" si="10"/>
        <v>581735.31999999995</v>
      </c>
      <c r="AQ22" s="64">
        <v>562765.29</v>
      </c>
      <c r="AR22" s="79"/>
      <c r="AS22" s="79"/>
      <c r="AT22" s="80"/>
      <c r="AU22" s="166">
        <v>89</v>
      </c>
      <c r="AV22" s="167"/>
      <c r="AW22" s="94"/>
      <c r="AX22" s="101"/>
      <c r="AY22" s="75">
        <v>1201</v>
      </c>
      <c r="AZ22" s="76"/>
      <c r="BA22" s="76"/>
      <c r="BB22" s="77"/>
      <c r="BC22" s="112">
        <v>6323.21</v>
      </c>
      <c r="BD22" s="113"/>
      <c r="BE22" s="171"/>
      <c r="BF22" s="179"/>
      <c r="BG22" s="177">
        <f t="shared" si="11"/>
        <v>89</v>
      </c>
      <c r="BH22" s="90">
        <f t="shared" si="12"/>
        <v>0</v>
      </c>
      <c r="BI22" s="52">
        <f t="shared" si="13"/>
        <v>6323.21</v>
      </c>
      <c r="BJ22" s="80">
        <f t="shared" si="14"/>
        <v>0</v>
      </c>
      <c r="BK22" s="32"/>
      <c r="BL22" s="76"/>
      <c r="BM22" s="76"/>
      <c r="BN22" s="77"/>
      <c r="BO22" s="75"/>
      <c r="BP22" s="76"/>
      <c r="BQ22" s="76"/>
      <c r="BR22" s="90"/>
      <c r="BS22" s="133">
        <f t="shared" si="15"/>
        <v>6323.21</v>
      </c>
      <c r="BT22" s="66">
        <f t="shared" si="16"/>
        <v>0</v>
      </c>
      <c r="BU22" s="78">
        <f t="shared" si="17"/>
        <v>562765.69000000006</v>
      </c>
      <c r="BV22" s="80">
        <f t="shared" si="18"/>
        <v>0</v>
      </c>
      <c r="BW22" s="215">
        <f t="shared" si="19"/>
        <v>89</v>
      </c>
      <c r="BX22" s="216">
        <f t="shared" si="20"/>
        <v>6323.21</v>
      </c>
      <c r="BY22" s="212"/>
      <c r="BZ22" s="212"/>
      <c r="CA22" s="212"/>
      <c r="CB22" s="212"/>
      <c r="CC22" s="219">
        <f t="shared" si="21"/>
        <v>6323.21</v>
      </c>
      <c r="CD22" s="79">
        <f t="shared" si="22"/>
        <v>562765.69000000006</v>
      </c>
      <c r="CE22" s="64">
        <v>486886.83</v>
      </c>
      <c r="CF22" s="79"/>
      <c r="CG22" s="79"/>
      <c r="CH22" s="80"/>
      <c r="CI22" s="75">
        <v>77</v>
      </c>
      <c r="CJ22" s="76"/>
      <c r="CK22" s="76"/>
      <c r="CL22" s="77"/>
      <c r="CM22" s="75">
        <v>922</v>
      </c>
      <c r="CN22" s="76"/>
      <c r="CO22" s="76"/>
      <c r="CP22" s="77"/>
      <c r="CQ22" s="78">
        <v>6323.21</v>
      </c>
      <c r="CR22" s="79"/>
      <c r="CS22" s="79"/>
      <c r="CT22" s="80"/>
      <c r="CU22" s="193">
        <f t="shared" si="39"/>
        <v>77</v>
      </c>
      <c r="CV22" s="128">
        <f t="shared" si="40"/>
        <v>0</v>
      </c>
      <c r="CW22" s="52">
        <f t="shared" si="41"/>
        <v>6323.21</v>
      </c>
      <c r="CX22" s="57">
        <f t="shared" si="42"/>
        <v>0</v>
      </c>
      <c r="CY22" s="75"/>
      <c r="CZ22" s="90"/>
      <c r="DA22" s="75"/>
      <c r="DB22" s="77"/>
      <c r="DC22" s="75"/>
      <c r="DD22" s="90"/>
      <c r="DE22" s="75"/>
      <c r="DF22" s="77"/>
      <c r="DG22" s="189">
        <f t="shared" si="27"/>
        <v>6323.21</v>
      </c>
      <c r="DH22" s="67">
        <f t="shared" si="28"/>
        <v>0</v>
      </c>
      <c r="DI22" s="78">
        <f t="shared" si="29"/>
        <v>486887.17</v>
      </c>
      <c r="DJ22" s="80">
        <f t="shared" si="30"/>
        <v>0</v>
      </c>
      <c r="DK22" s="215">
        <f t="shared" si="31"/>
        <v>77</v>
      </c>
      <c r="DL22" s="216">
        <f t="shared" si="32"/>
        <v>6323.21</v>
      </c>
      <c r="DM22" s="212"/>
      <c r="DN22" s="212"/>
      <c r="DO22" s="212"/>
      <c r="DP22" s="212"/>
      <c r="DQ22" s="219">
        <f t="shared" si="33"/>
        <v>6323.21</v>
      </c>
      <c r="DR22" s="66">
        <f t="shared" si="34"/>
        <v>486887.17</v>
      </c>
      <c r="DS22" s="78"/>
      <c r="DT22" s="79"/>
      <c r="DU22" s="80"/>
    </row>
    <row r="23" spans="1:125" x14ac:dyDescent="0.3">
      <c r="A23" s="20" t="s">
        <v>49</v>
      </c>
      <c r="B23" s="38" t="s">
        <v>18</v>
      </c>
      <c r="C23" s="78">
        <v>349358.5</v>
      </c>
      <c r="D23" s="79">
        <v>203829.98</v>
      </c>
      <c r="E23" s="79"/>
      <c r="F23" s="80"/>
      <c r="G23" s="98">
        <v>71</v>
      </c>
      <c r="H23" s="99">
        <v>10</v>
      </c>
      <c r="I23" s="105"/>
      <c r="J23" s="106"/>
      <c r="K23" s="75">
        <v>1008</v>
      </c>
      <c r="L23" s="76">
        <v>802</v>
      </c>
      <c r="M23" s="76"/>
      <c r="N23" s="77"/>
      <c r="O23" s="112">
        <f t="shared" ref="O23:P27" si="43">C23/G23</f>
        <v>4920.5422535211264</v>
      </c>
      <c r="P23" s="113">
        <f t="shared" si="43"/>
        <v>20382.998</v>
      </c>
      <c r="Q23" s="109"/>
      <c r="R23" s="123"/>
      <c r="S23" s="135">
        <f t="shared" si="35"/>
        <v>81</v>
      </c>
      <c r="T23" s="90">
        <f t="shared" si="36"/>
        <v>0</v>
      </c>
      <c r="U23" s="52">
        <f t="shared" si="37"/>
        <v>25303.540253521125</v>
      </c>
      <c r="V23" s="80">
        <f t="shared" si="38"/>
        <v>0</v>
      </c>
      <c r="W23" s="75"/>
      <c r="X23" s="66"/>
      <c r="Y23" s="78"/>
      <c r="Z23" s="77"/>
      <c r="AA23" s="49"/>
      <c r="AB23" s="9"/>
      <c r="AC23" s="49"/>
      <c r="AD23" s="9"/>
      <c r="AE23" s="133">
        <f t="shared" si="3"/>
        <v>25303.540253521125</v>
      </c>
      <c r="AF23" s="66">
        <f t="shared" si="4"/>
        <v>0</v>
      </c>
      <c r="AG23" s="78">
        <f t="shared" si="5"/>
        <v>2049586.7605352111</v>
      </c>
      <c r="AH23" s="80">
        <f t="shared" si="6"/>
        <v>0</v>
      </c>
      <c r="AI23" s="215">
        <f t="shared" si="7"/>
        <v>71</v>
      </c>
      <c r="AJ23" s="216">
        <f t="shared" si="8"/>
        <v>4920.5422535211264</v>
      </c>
      <c r="AK23" s="212"/>
      <c r="AL23" s="212"/>
      <c r="AM23" s="212"/>
      <c r="AN23" s="212"/>
      <c r="AO23" s="219">
        <f t="shared" si="9"/>
        <v>4920.5422535211264</v>
      </c>
      <c r="AP23" s="79">
        <f t="shared" si="10"/>
        <v>349358.5</v>
      </c>
      <c r="AQ23" s="64">
        <v>327965.90000000002</v>
      </c>
      <c r="AR23" s="79">
        <v>204193.02</v>
      </c>
      <c r="AS23" s="79">
        <v>113597.04</v>
      </c>
      <c r="AT23" s="80"/>
      <c r="AU23" s="166">
        <v>67</v>
      </c>
      <c r="AV23" s="167">
        <v>8</v>
      </c>
      <c r="AW23" s="94">
        <v>2</v>
      </c>
      <c r="AX23" s="101"/>
      <c r="AY23" s="75">
        <v>935</v>
      </c>
      <c r="AZ23" s="76">
        <v>586</v>
      </c>
      <c r="BA23" s="76">
        <v>415</v>
      </c>
      <c r="BB23" s="77"/>
      <c r="BC23" s="112">
        <f>AQ23/AU23</f>
        <v>4895.0134328358208</v>
      </c>
      <c r="BD23" s="113">
        <f>AR23/AV23</f>
        <v>25524.127499999999</v>
      </c>
      <c r="BE23" s="171">
        <f>AS23/AW23</f>
        <v>56798.52</v>
      </c>
      <c r="BF23" s="179"/>
      <c r="BG23" s="75">
        <f t="shared" si="11"/>
        <v>75</v>
      </c>
      <c r="BH23" s="184">
        <f t="shared" si="12"/>
        <v>2</v>
      </c>
      <c r="BI23" s="52">
        <f t="shared" si="13"/>
        <v>30419.14093283582</v>
      </c>
      <c r="BJ23" s="126">
        <f t="shared" si="14"/>
        <v>56798.52</v>
      </c>
      <c r="BK23" s="32"/>
      <c r="BL23" s="76"/>
      <c r="BM23" s="76"/>
      <c r="BN23" s="77"/>
      <c r="BO23" s="75"/>
      <c r="BP23" s="76"/>
      <c r="BQ23" s="76"/>
      <c r="BR23" s="90"/>
      <c r="BS23" s="78">
        <f t="shared" si="15"/>
        <v>30419.14093283582</v>
      </c>
      <c r="BT23" s="186">
        <f t="shared" si="16"/>
        <v>56798.52</v>
      </c>
      <c r="BU23" s="78">
        <f t="shared" si="17"/>
        <v>2281435.5699626864</v>
      </c>
      <c r="BV23" s="80">
        <f t="shared" si="18"/>
        <v>113597.04</v>
      </c>
      <c r="BW23" s="215">
        <f t="shared" si="19"/>
        <v>67</v>
      </c>
      <c r="BX23" s="216">
        <f t="shared" si="20"/>
        <v>4895.0134328358208</v>
      </c>
      <c r="BY23" s="212"/>
      <c r="BZ23" s="212"/>
      <c r="CA23" s="212"/>
      <c r="CB23" s="212"/>
      <c r="CC23" s="219">
        <f t="shared" si="21"/>
        <v>4895.0134328358208</v>
      </c>
      <c r="CD23" s="79">
        <f t="shared" si="22"/>
        <v>327965.90000000002</v>
      </c>
      <c r="CE23" s="64">
        <v>324618.7</v>
      </c>
      <c r="CF23" s="79">
        <v>137094.63</v>
      </c>
      <c r="CG23" s="79">
        <v>58807.64</v>
      </c>
      <c r="CH23" s="80"/>
      <c r="CI23" s="75">
        <v>68</v>
      </c>
      <c r="CJ23" s="76">
        <v>9</v>
      </c>
      <c r="CK23" s="76">
        <v>1</v>
      </c>
      <c r="CL23" s="77"/>
      <c r="CM23" s="75">
        <v>961</v>
      </c>
      <c r="CN23" s="76">
        <v>480</v>
      </c>
      <c r="CO23" s="76">
        <v>200</v>
      </c>
      <c r="CP23" s="77"/>
      <c r="CQ23" s="78">
        <f>CE23/CI23</f>
        <v>4773.8044117647059</v>
      </c>
      <c r="CR23" s="79">
        <f>CF23/CJ23</f>
        <v>15232.736666666668</v>
      </c>
      <c r="CS23" s="79">
        <f>CG23/CK23</f>
        <v>58807.64</v>
      </c>
      <c r="CT23" s="80"/>
      <c r="CU23" s="193">
        <f t="shared" si="39"/>
        <v>77</v>
      </c>
      <c r="CV23" s="184">
        <f t="shared" si="40"/>
        <v>1</v>
      </c>
      <c r="CW23" s="52">
        <f t="shared" si="41"/>
        <v>20006.541078431372</v>
      </c>
      <c r="CX23" s="126">
        <f t="shared" si="42"/>
        <v>58807.64</v>
      </c>
      <c r="CY23" s="75"/>
      <c r="CZ23" s="90"/>
      <c r="DA23" s="75"/>
      <c r="DB23" s="77"/>
      <c r="DC23" s="75"/>
      <c r="DD23" s="90"/>
      <c r="DE23" s="75"/>
      <c r="DF23" s="77"/>
      <c r="DG23" s="189">
        <f t="shared" si="27"/>
        <v>20006.541078431372</v>
      </c>
      <c r="DH23" s="186">
        <f t="shared" si="28"/>
        <v>58807.64</v>
      </c>
      <c r="DI23" s="78">
        <f t="shared" si="29"/>
        <v>1540503.6630392156</v>
      </c>
      <c r="DJ23" s="80">
        <f t="shared" si="30"/>
        <v>58807.64</v>
      </c>
      <c r="DK23" s="215">
        <f t="shared" si="31"/>
        <v>68</v>
      </c>
      <c r="DL23" s="216">
        <f t="shared" si="32"/>
        <v>4773.8044117647059</v>
      </c>
      <c r="DM23" s="212"/>
      <c r="DN23" s="212"/>
      <c r="DO23" s="212"/>
      <c r="DP23" s="212"/>
      <c r="DQ23" s="219">
        <f t="shared" si="33"/>
        <v>4773.8044117647059</v>
      </c>
      <c r="DR23" s="66">
        <f t="shared" si="34"/>
        <v>324618.7</v>
      </c>
      <c r="DS23" s="78"/>
      <c r="DT23" s="79"/>
      <c r="DU23" s="80"/>
    </row>
    <row r="24" spans="1:125" x14ac:dyDescent="0.3">
      <c r="A24" s="20" t="s">
        <v>50</v>
      </c>
      <c r="B24" s="38" t="s">
        <v>19</v>
      </c>
      <c r="C24" s="55">
        <v>236128</v>
      </c>
      <c r="D24" s="56">
        <v>6652</v>
      </c>
      <c r="E24" s="56"/>
      <c r="F24" s="57"/>
      <c r="G24" s="98">
        <v>71</v>
      </c>
      <c r="H24" s="99">
        <v>2</v>
      </c>
      <c r="I24" s="105"/>
      <c r="J24" s="106"/>
      <c r="K24" s="58">
        <v>875</v>
      </c>
      <c r="L24" s="59">
        <v>150</v>
      </c>
      <c r="M24" s="59"/>
      <c r="N24" s="60"/>
      <c r="O24" s="112">
        <f t="shared" si="43"/>
        <v>3325.7464788732395</v>
      </c>
      <c r="P24" s="113">
        <f t="shared" si="43"/>
        <v>3326</v>
      </c>
      <c r="Q24" s="109"/>
      <c r="R24" s="123"/>
      <c r="S24" s="135">
        <f t="shared" si="35"/>
        <v>73</v>
      </c>
      <c r="T24" s="90">
        <f t="shared" si="36"/>
        <v>0</v>
      </c>
      <c r="U24" s="52">
        <f t="shared" si="37"/>
        <v>6651.7464788732395</v>
      </c>
      <c r="V24" s="80">
        <f t="shared" si="38"/>
        <v>0</v>
      </c>
      <c r="W24" s="55"/>
      <c r="X24" s="66"/>
      <c r="Y24" s="78"/>
      <c r="Z24" s="62"/>
      <c r="AA24" s="55"/>
      <c r="AB24" s="65"/>
      <c r="AC24" s="5"/>
      <c r="AD24" s="65"/>
      <c r="AE24" s="133">
        <f t="shared" si="3"/>
        <v>6651.7464788732395</v>
      </c>
      <c r="AF24" s="66">
        <f t="shared" si="4"/>
        <v>0</v>
      </c>
      <c r="AG24" s="78">
        <f t="shared" si="5"/>
        <v>485577.49295774649</v>
      </c>
      <c r="AH24" s="80">
        <f t="shared" si="6"/>
        <v>0</v>
      </c>
      <c r="AI24" s="215">
        <f t="shared" si="7"/>
        <v>71</v>
      </c>
      <c r="AJ24" s="216">
        <f t="shared" si="8"/>
        <v>3325.7464788732395</v>
      </c>
      <c r="AK24" s="212"/>
      <c r="AL24" s="212"/>
      <c r="AM24" s="212"/>
      <c r="AN24" s="212"/>
      <c r="AO24" s="219">
        <f t="shared" si="9"/>
        <v>3325.7464788732395</v>
      </c>
      <c r="AP24" s="79">
        <f t="shared" si="10"/>
        <v>236128</v>
      </c>
      <c r="AQ24" s="68">
        <v>254402</v>
      </c>
      <c r="AR24" s="56"/>
      <c r="AS24" s="56">
        <v>3304</v>
      </c>
      <c r="AT24" s="57"/>
      <c r="AU24" s="166">
        <v>77</v>
      </c>
      <c r="AV24" s="167"/>
      <c r="AW24" s="94">
        <v>1</v>
      </c>
      <c r="AX24" s="101"/>
      <c r="AY24" s="58">
        <v>950</v>
      </c>
      <c r="AZ24" s="59"/>
      <c r="BA24" s="59">
        <v>170</v>
      </c>
      <c r="BB24" s="60"/>
      <c r="BC24" s="112">
        <f>AQ24/AU24</f>
        <v>3303.9220779220777</v>
      </c>
      <c r="BD24" s="113"/>
      <c r="BE24" s="171">
        <f>AS24/AW24</f>
        <v>3304</v>
      </c>
      <c r="BF24" s="179"/>
      <c r="BG24" s="177">
        <f t="shared" si="11"/>
        <v>77</v>
      </c>
      <c r="BH24" s="184">
        <f t="shared" si="12"/>
        <v>1</v>
      </c>
      <c r="BI24" s="52">
        <f t="shared" si="13"/>
        <v>3303.9220779220777</v>
      </c>
      <c r="BJ24" s="126">
        <f t="shared" si="14"/>
        <v>3304</v>
      </c>
      <c r="BK24" s="68"/>
      <c r="BL24" s="61"/>
      <c r="BM24" s="61"/>
      <c r="BN24" s="62"/>
      <c r="BO24" s="55"/>
      <c r="BP24" s="61"/>
      <c r="BQ24" s="61"/>
      <c r="BR24" s="65"/>
      <c r="BS24" s="133">
        <f t="shared" si="15"/>
        <v>3303.9220779220777</v>
      </c>
      <c r="BT24" s="186">
        <f t="shared" si="16"/>
        <v>3304</v>
      </c>
      <c r="BU24" s="78">
        <f t="shared" si="17"/>
        <v>254402</v>
      </c>
      <c r="BV24" s="80">
        <f t="shared" si="18"/>
        <v>3304</v>
      </c>
      <c r="BW24" s="215">
        <f t="shared" si="19"/>
        <v>77</v>
      </c>
      <c r="BX24" s="216">
        <f t="shared" si="20"/>
        <v>3303.9220779220777</v>
      </c>
      <c r="BY24" s="212"/>
      <c r="BZ24" s="212"/>
      <c r="CA24" s="212"/>
      <c r="CB24" s="212"/>
      <c r="CC24" s="219">
        <f t="shared" si="21"/>
        <v>3303.9220779220777</v>
      </c>
      <c r="CD24" s="79">
        <f t="shared" si="22"/>
        <v>254402</v>
      </c>
      <c r="CE24" s="68">
        <v>205910</v>
      </c>
      <c r="CF24" s="56"/>
      <c r="CG24" s="56"/>
      <c r="CH24" s="57"/>
      <c r="CI24" s="58">
        <v>73</v>
      </c>
      <c r="CJ24" s="59"/>
      <c r="CK24" s="59"/>
      <c r="CL24" s="60"/>
      <c r="CM24" s="58">
        <v>865</v>
      </c>
      <c r="CN24" s="59"/>
      <c r="CO24" s="59"/>
      <c r="CP24" s="60"/>
      <c r="CQ24" s="55">
        <f>CE24/CI24</f>
        <v>2820.6849315068494</v>
      </c>
      <c r="CR24" s="56"/>
      <c r="CS24" s="56"/>
      <c r="CT24" s="57"/>
      <c r="CU24" s="193">
        <f t="shared" si="39"/>
        <v>73</v>
      </c>
      <c r="CV24" s="128">
        <f t="shared" si="40"/>
        <v>0</v>
      </c>
      <c r="CW24" s="52">
        <f t="shared" si="41"/>
        <v>2820.6849315068494</v>
      </c>
      <c r="CX24" s="57">
        <f t="shared" si="42"/>
        <v>0</v>
      </c>
      <c r="CY24" s="55"/>
      <c r="CZ24" s="65"/>
      <c r="DA24" s="5"/>
      <c r="DB24" s="62"/>
      <c r="DC24" s="55"/>
      <c r="DD24" s="65"/>
      <c r="DE24" s="5"/>
      <c r="DF24" s="62"/>
      <c r="DG24" s="189">
        <f t="shared" si="27"/>
        <v>2820.6849315068494</v>
      </c>
      <c r="DH24" s="67">
        <f t="shared" si="28"/>
        <v>0</v>
      </c>
      <c r="DI24" s="78">
        <f t="shared" si="29"/>
        <v>205910</v>
      </c>
      <c r="DJ24" s="80">
        <f t="shared" si="30"/>
        <v>0</v>
      </c>
      <c r="DK24" s="215">
        <f t="shared" si="31"/>
        <v>73</v>
      </c>
      <c r="DL24" s="216">
        <f t="shared" si="32"/>
        <v>2820.6849315068494</v>
      </c>
      <c r="DM24" s="212"/>
      <c r="DN24" s="212"/>
      <c r="DO24" s="212"/>
      <c r="DP24" s="212"/>
      <c r="DQ24" s="219">
        <f t="shared" si="33"/>
        <v>2820.6849315068494</v>
      </c>
      <c r="DR24" s="66">
        <f t="shared" si="34"/>
        <v>205910</v>
      </c>
      <c r="DS24" s="78"/>
      <c r="DT24" s="79"/>
      <c r="DU24" s="80"/>
    </row>
    <row r="25" spans="1:125" ht="28.8" x14ac:dyDescent="0.3">
      <c r="A25" s="20" t="s">
        <v>51</v>
      </c>
      <c r="B25" s="234" t="s">
        <v>20</v>
      </c>
      <c r="C25" s="78">
        <v>6034637.5300000003</v>
      </c>
      <c r="D25" s="79">
        <v>2306230.9</v>
      </c>
      <c r="E25" s="79">
        <v>345934.64</v>
      </c>
      <c r="F25" s="80"/>
      <c r="G25" s="98">
        <v>157</v>
      </c>
      <c r="H25" s="99">
        <v>60</v>
      </c>
      <c r="I25" s="105">
        <v>9</v>
      </c>
      <c r="J25" s="106"/>
      <c r="K25" s="75">
        <v>2017.09</v>
      </c>
      <c r="L25" s="76">
        <v>4985.8999999999996</v>
      </c>
      <c r="M25" s="76">
        <v>3836.84</v>
      </c>
      <c r="N25" s="77"/>
      <c r="O25" s="112">
        <f t="shared" si="43"/>
        <v>38437.181719745226</v>
      </c>
      <c r="P25" s="113">
        <f t="shared" si="43"/>
        <v>38437.181666666664</v>
      </c>
      <c r="Q25" s="109">
        <f>E25/I25</f>
        <v>38437.182222222225</v>
      </c>
      <c r="R25" s="123"/>
      <c r="S25" s="135">
        <f t="shared" si="35"/>
        <v>217</v>
      </c>
      <c r="T25" s="155">
        <f t="shared" si="36"/>
        <v>9</v>
      </c>
      <c r="U25" s="52">
        <f t="shared" si="37"/>
        <v>76874.363386411889</v>
      </c>
      <c r="V25" s="126">
        <f t="shared" si="38"/>
        <v>38437.182222222225</v>
      </c>
      <c r="W25" s="75"/>
      <c r="X25" s="66"/>
      <c r="Y25" s="78"/>
      <c r="Z25" s="77"/>
      <c r="AA25" s="49"/>
      <c r="AB25" s="9"/>
      <c r="AC25" s="49"/>
      <c r="AD25" s="9"/>
      <c r="AE25" s="133">
        <f t="shared" si="3"/>
        <v>0</v>
      </c>
      <c r="AF25" s="153">
        <f t="shared" si="4"/>
        <v>38437.182222222225</v>
      </c>
      <c r="AG25" s="78">
        <f t="shared" si="5"/>
        <v>0</v>
      </c>
      <c r="AH25" s="80">
        <f t="shared" si="6"/>
        <v>345934.64</v>
      </c>
      <c r="AI25" s="59">
        <f t="shared" si="7"/>
        <v>157</v>
      </c>
      <c r="AJ25" s="56">
        <f t="shared" si="8"/>
        <v>38437.181719745226</v>
      </c>
      <c r="AK25" s="212"/>
      <c r="AL25" s="212"/>
      <c r="AM25" s="212"/>
      <c r="AN25" s="212"/>
      <c r="AO25" s="79">
        <f t="shared" si="9"/>
        <v>0</v>
      </c>
      <c r="AP25" s="79">
        <f t="shared" si="10"/>
        <v>0</v>
      </c>
      <c r="AQ25" s="64">
        <v>3667753.44</v>
      </c>
      <c r="AR25" s="79">
        <v>1445420.07</v>
      </c>
      <c r="AS25" s="79">
        <v>343287.27</v>
      </c>
      <c r="AT25" s="80"/>
      <c r="AU25" s="166">
        <v>203</v>
      </c>
      <c r="AV25" s="167">
        <v>80</v>
      </c>
      <c r="AW25" s="94">
        <v>19</v>
      </c>
      <c r="AX25" s="101"/>
      <c r="AY25" s="75">
        <v>2463.9499999999998</v>
      </c>
      <c r="AZ25" s="76">
        <v>4369.84</v>
      </c>
      <c r="BA25" s="76">
        <v>8073</v>
      </c>
      <c r="BB25" s="77"/>
      <c r="BC25" s="112">
        <f>AQ25/AU25</f>
        <v>18067.75093596059</v>
      </c>
      <c r="BD25" s="113">
        <v>18067.75</v>
      </c>
      <c r="BE25" s="171">
        <v>18067.75</v>
      </c>
      <c r="BF25" s="179"/>
      <c r="BG25" s="177">
        <f t="shared" si="11"/>
        <v>283</v>
      </c>
      <c r="BH25" s="184">
        <f t="shared" si="12"/>
        <v>19</v>
      </c>
      <c r="BI25" s="52">
        <f t="shared" si="13"/>
        <v>36135.50093596059</v>
      </c>
      <c r="BJ25" s="126">
        <f t="shared" si="14"/>
        <v>18067.75</v>
      </c>
      <c r="BK25" s="32"/>
      <c r="BL25" s="76"/>
      <c r="BM25" s="76"/>
      <c r="BN25" s="77"/>
      <c r="BO25" s="75"/>
      <c r="BP25" s="76"/>
      <c r="BQ25" s="76"/>
      <c r="BR25" s="90"/>
      <c r="BS25" s="133">
        <f t="shared" si="15"/>
        <v>36135.50093596059</v>
      </c>
      <c r="BT25" s="186">
        <f t="shared" si="16"/>
        <v>18067.75</v>
      </c>
      <c r="BU25" s="78">
        <f t="shared" si="17"/>
        <v>10226346.764876846</v>
      </c>
      <c r="BV25" s="80">
        <f t="shared" si="18"/>
        <v>343287.25</v>
      </c>
      <c r="BW25" s="59">
        <f t="shared" si="19"/>
        <v>203</v>
      </c>
      <c r="BX25" s="56">
        <f t="shared" si="20"/>
        <v>18067.75093596059</v>
      </c>
      <c r="BY25" s="212"/>
      <c r="BZ25" s="212"/>
      <c r="CA25" s="212"/>
      <c r="CB25" s="212"/>
      <c r="CC25" s="56">
        <f t="shared" si="21"/>
        <v>0</v>
      </c>
      <c r="CD25" s="79">
        <f t="shared" si="22"/>
        <v>0</v>
      </c>
      <c r="CE25" s="64">
        <v>5370137.4500000002</v>
      </c>
      <c r="CF25" s="79">
        <v>2192806.12</v>
      </c>
      <c r="CG25" s="79">
        <v>358009.16</v>
      </c>
      <c r="CH25" s="80"/>
      <c r="CI25" s="75">
        <v>120</v>
      </c>
      <c r="CJ25" s="76">
        <v>49</v>
      </c>
      <c r="CK25" s="76">
        <v>8</v>
      </c>
      <c r="CL25" s="77"/>
      <c r="CM25" s="75">
        <v>1570.2</v>
      </c>
      <c r="CN25" s="76">
        <v>3752</v>
      </c>
      <c r="CO25" s="76">
        <v>3877</v>
      </c>
      <c r="CP25" s="77"/>
      <c r="CQ25" s="78">
        <f t="shared" ref="CQ25" si="44">CE25/CI25</f>
        <v>44751.145416666666</v>
      </c>
      <c r="CR25" s="79">
        <f>CF25/CJ25</f>
        <v>44751.145306122453</v>
      </c>
      <c r="CS25" s="79">
        <f>CG25/CK25</f>
        <v>44751.144999999997</v>
      </c>
      <c r="CT25" s="80"/>
      <c r="CU25" s="75">
        <f t="shared" si="39"/>
        <v>169</v>
      </c>
      <c r="CV25" s="184">
        <f t="shared" si="40"/>
        <v>8</v>
      </c>
      <c r="CW25" s="52">
        <f t="shared" si="41"/>
        <v>89502.290722789126</v>
      </c>
      <c r="CX25" s="126">
        <f t="shared" si="42"/>
        <v>44751.144999999997</v>
      </c>
      <c r="CY25" s="75"/>
      <c r="CZ25" s="90"/>
      <c r="DA25" s="75"/>
      <c r="DB25" s="77"/>
      <c r="DC25" s="75"/>
      <c r="DD25" s="90"/>
      <c r="DE25" s="75"/>
      <c r="DF25" s="77"/>
      <c r="DG25" s="55">
        <f t="shared" si="27"/>
        <v>0</v>
      </c>
      <c r="DH25" s="186">
        <f t="shared" si="28"/>
        <v>44751.144999999997</v>
      </c>
      <c r="DI25" s="78">
        <f t="shared" si="29"/>
        <v>0</v>
      </c>
      <c r="DJ25" s="80">
        <f t="shared" si="30"/>
        <v>358009.16</v>
      </c>
      <c r="DK25" s="59">
        <f t="shared" si="31"/>
        <v>120</v>
      </c>
      <c r="DL25" s="56">
        <f t="shared" si="32"/>
        <v>44751.145416666666</v>
      </c>
      <c r="DM25" s="212"/>
      <c r="DN25" s="212"/>
      <c r="DO25" s="212"/>
      <c r="DP25" s="212"/>
      <c r="DQ25" s="56">
        <f t="shared" si="33"/>
        <v>0</v>
      </c>
      <c r="DR25" s="66">
        <f t="shared" si="34"/>
        <v>0</v>
      </c>
      <c r="DS25" s="78"/>
      <c r="DT25" s="79"/>
      <c r="DU25" s="80"/>
    </row>
    <row r="26" spans="1:125" ht="28.8" x14ac:dyDescent="0.3">
      <c r="A26" s="20" t="s">
        <v>52</v>
      </c>
      <c r="B26" s="38" t="s">
        <v>21</v>
      </c>
      <c r="C26" s="78">
        <v>606860</v>
      </c>
      <c r="D26" s="79">
        <v>71865</v>
      </c>
      <c r="E26" s="79"/>
      <c r="F26" s="80"/>
      <c r="G26" s="98">
        <v>76</v>
      </c>
      <c r="H26" s="99">
        <v>9</v>
      </c>
      <c r="I26" s="105"/>
      <c r="J26" s="106"/>
      <c r="K26" s="75">
        <v>851</v>
      </c>
      <c r="L26" s="76">
        <v>449</v>
      </c>
      <c r="M26" s="76"/>
      <c r="N26" s="77"/>
      <c r="O26" s="112">
        <f t="shared" si="43"/>
        <v>7985</v>
      </c>
      <c r="P26" s="113">
        <f t="shared" si="43"/>
        <v>7985</v>
      </c>
      <c r="Q26" s="109"/>
      <c r="R26" s="123"/>
      <c r="S26" s="135">
        <f t="shared" si="35"/>
        <v>85</v>
      </c>
      <c r="T26" s="90">
        <f t="shared" si="36"/>
        <v>0</v>
      </c>
      <c r="U26" s="52">
        <f t="shared" si="37"/>
        <v>15970</v>
      </c>
      <c r="V26" s="80">
        <f t="shared" si="38"/>
        <v>0</v>
      </c>
      <c r="W26" s="78"/>
      <c r="X26" s="66"/>
      <c r="Y26" s="78"/>
      <c r="Z26" s="51"/>
      <c r="AA26" s="78"/>
      <c r="AB26" s="9"/>
      <c r="AC26" s="49"/>
      <c r="AD26" s="9"/>
      <c r="AE26" s="133">
        <f t="shared" si="3"/>
        <v>15970</v>
      </c>
      <c r="AF26" s="66">
        <f t="shared" si="4"/>
        <v>0</v>
      </c>
      <c r="AG26" s="78">
        <f t="shared" si="5"/>
        <v>1357450</v>
      </c>
      <c r="AH26" s="80">
        <f t="shared" si="6"/>
        <v>0</v>
      </c>
      <c r="AI26" s="215">
        <f t="shared" si="7"/>
        <v>76</v>
      </c>
      <c r="AJ26" s="216">
        <f t="shared" si="8"/>
        <v>7985</v>
      </c>
      <c r="AK26" s="212"/>
      <c r="AL26" s="212"/>
      <c r="AM26" s="212"/>
      <c r="AN26" s="212"/>
      <c r="AO26" s="219">
        <f t="shared" si="9"/>
        <v>7985</v>
      </c>
      <c r="AP26" s="79">
        <f t="shared" si="10"/>
        <v>606860</v>
      </c>
      <c r="AQ26" s="64">
        <v>614845</v>
      </c>
      <c r="AR26" s="79">
        <v>55895</v>
      </c>
      <c r="AS26" s="79">
        <v>7985</v>
      </c>
      <c r="AT26" s="80"/>
      <c r="AU26" s="166">
        <v>77</v>
      </c>
      <c r="AV26" s="167">
        <v>7</v>
      </c>
      <c r="AW26" s="94">
        <v>1</v>
      </c>
      <c r="AX26" s="101"/>
      <c r="AY26" s="75">
        <v>720</v>
      </c>
      <c r="AZ26" s="76">
        <v>410</v>
      </c>
      <c r="BA26" s="76">
        <v>500</v>
      </c>
      <c r="BB26" s="77"/>
      <c r="BC26" s="112">
        <f t="shared" ref="BC26:BE27" si="45">AQ26/AU26</f>
        <v>7985</v>
      </c>
      <c r="BD26" s="113">
        <f t="shared" si="45"/>
        <v>7985</v>
      </c>
      <c r="BE26" s="171">
        <f t="shared" si="45"/>
        <v>7985</v>
      </c>
      <c r="BF26" s="179"/>
      <c r="BG26" s="177">
        <f t="shared" si="11"/>
        <v>84</v>
      </c>
      <c r="BH26" s="184">
        <f t="shared" si="12"/>
        <v>1</v>
      </c>
      <c r="BI26" s="52">
        <f t="shared" si="13"/>
        <v>15970</v>
      </c>
      <c r="BJ26" s="126">
        <f t="shared" si="14"/>
        <v>7985</v>
      </c>
      <c r="BK26" s="64"/>
      <c r="BL26" s="48"/>
      <c r="BM26" s="48"/>
      <c r="BN26" s="51"/>
      <c r="BO26" s="78"/>
      <c r="BP26" s="48"/>
      <c r="BQ26" s="48"/>
      <c r="BR26" s="9"/>
      <c r="BS26" s="133">
        <f t="shared" si="15"/>
        <v>15970</v>
      </c>
      <c r="BT26" s="186">
        <f t="shared" si="16"/>
        <v>7985</v>
      </c>
      <c r="BU26" s="78">
        <f t="shared" si="17"/>
        <v>1341480</v>
      </c>
      <c r="BV26" s="80">
        <f t="shared" si="18"/>
        <v>7985</v>
      </c>
      <c r="BW26" s="215">
        <f t="shared" si="19"/>
        <v>77</v>
      </c>
      <c r="BX26" s="216">
        <f t="shared" si="20"/>
        <v>7985</v>
      </c>
      <c r="BY26" s="212"/>
      <c r="BZ26" s="212"/>
      <c r="CA26" s="212"/>
      <c r="CB26" s="212"/>
      <c r="CC26" s="219">
        <f t="shared" si="21"/>
        <v>7985</v>
      </c>
      <c r="CD26" s="79">
        <f t="shared" si="22"/>
        <v>614845</v>
      </c>
      <c r="CE26" s="64">
        <v>467616</v>
      </c>
      <c r="CF26" s="79"/>
      <c r="CG26" s="79"/>
      <c r="CH26" s="80"/>
      <c r="CI26" s="75">
        <v>48</v>
      </c>
      <c r="CJ26" s="76"/>
      <c r="CK26" s="76"/>
      <c r="CL26" s="77"/>
      <c r="CM26" s="75">
        <v>424</v>
      </c>
      <c r="CN26" s="76"/>
      <c r="CO26" s="76"/>
      <c r="CP26" s="77"/>
      <c r="CQ26" s="78">
        <f t="shared" ref="CQ26:CQ30" si="46">CE26/CI26</f>
        <v>9742</v>
      </c>
      <c r="CR26" s="79"/>
      <c r="CS26" s="79"/>
      <c r="CT26" s="80"/>
      <c r="CU26" s="193">
        <f t="shared" si="39"/>
        <v>48</v>
      </c>
      <c r="CV26" s="128">
        <f t="shared" si="40"/>
        <v>0</v>
      </c>
      <c r="CW26" s="52">
        <f t="shared" si="41"/>
        <v>9742</v>
      </c>
      <c r="CX26" s="57">
        <f t="shared" si="42"/>
        <v>0</v>
      </c>
      <c r="CY26" s="78"/>
      <c r="CZ26" s="9"/>
      <c r="DA26" s="49"/>
      <c r="DB26" s="51"/>
      <c r="DC26" s="78"/>
      <c r="DD26" s="9"/>
      <c r="DE26" s="49"/>
      <c r="DF26" s="51"/>
      <c r="DG26" s="189">
        <f t="shared" si="27"/>
        <v>9742</v>
      </c>
      <c r="DH26" s="67">
        <f t="shared" si="28"/>
        <v>0</v>
      </c>
      <c r="DI26" s="78">
        <f t="shared" si="29"/>
        <v>467616</v>
      </c>
      <c r="DJ26" s="80">
        <f t="shared" si="30"/>
        <v>0</v>
      </c>
      <c r="DK26" s="215">
        <f t="shared" si="31"/>
        <v>48</v>
      </c>
      <c r="DL26" s="216">
        <f t="shared" si="32"/>
        <v>9742</v>
      </c>
      <c r="DM26" s="212"/>
      <c r="DN26" s="212"/>
      <c r="DO26" s="212"/>
      <c r="DP26" s="212"/>
      <c r="DQ26" s="219">
        <f t="shared" si="33"/>
        <v>9742</v>
      </c>
      <c r="DR26" s="66">
        <f t="shared" si="34"/>
        <v>467616</v>
      </c>
      <c r="DS26" s="78"/>
      <c r="DT26" s="79"/>
      <c r="DU26" s="80"/>
    </row>
    <row r="27" spans="1:125" x14ac:dyDescent="0.3">
      <c r="A27" s="20" t="s">
        <v>53</v>
      </c>
      <c r="B27" s="38" t="s">
        <v>22</v>
      </c>
      <c r="C27" s="78">
        <v>1467563.4</v>
      </c>
      <c r="D27" s="79">
        <v>258182.45</v>
      </c>
      <c r="E27" s="79">
        <v>54354.2</v>
      </c>
      <c r="F27" s="80"/>
      <c r="G27" s="98">
        <v>108</v>
      </c>
      <c r="H27" s="99">
        <v>19</v>
      </c>
      <c r="I27" s="105">
        <v>4</v>
      </c>
      <c r="J27" s="106"/>
      <c r="K27" s="75">
        <v>1556</v>
      </c>
      <c r="L27" s="76">
        <v>868</v>
      </c>
      <c r="M27" s="76">
        <v>984</v>
      </c>
      <c r="N27" s="77"/>
      <c r="O27" s="112">
        <f t="shared" si="43"/>
        <v>13588.55</v>
      </c>
      <c r="P27" s="113">
        <f t="shared" si="43"/>
        <v>13588.550000000001</v>
      </c>
      <c r="Q27" s="109">
        <f>E27/I27</f>
        <v>13588.55</v>
      </c>
      <c r="R27" s="123"/>
      <c r="S27" s="135">
        <f t="shared" si="35"/>
        <v>127</v>
      </c>
      <c r="T27" s="155">
        <f t="shared" si="36"/>
        <v>4</v>
      </c>
      <c r="U27" s="52">
        <f t="shared" si="37"/>
        <v>27177.1</v>
      </c>
      <c r="V27" s="126">
        <f t="shared" si="38"/>
        <v>13588.55</v>
      </c>
      <c r="W27" s="78"/>
      <c r="X27" s="66"/>
      <c r="Y27" s="78"/>
      <c r="Z27" s="51"/>
      <c r="AA27" s="78"/>
      <c r="AB27" s="9"/>
      <c r="AC27" s="49"/>
      <c r="AD27" s="9"/>
      <c r="AE27" s="133">
        <f t="shared" si="3"/>
        <v>27177.1</v>
      </c>
      <c r="AF27" s="153">
        <f t="shared" si="4"/>
        <v>13588.55</v>
      </c>
      <c r="AG27" s="78">
        <f t="shared" si="5"/>
        <v>3451491.6999999997</v>
      </c>
      <c r="AH27" s="80">
        <f t="shared" si="6"/>
        <v>54354.2</v>
      </c>
      <c r="AI27" s="59">
        <f t="shared" si="7"/>
        <v>108</v>
      </c>
      <c r="AJ27" s="216">
        <f t="shared" si="8"/>
        <v>13588.55</v>
      </c>
      <c r="AK27" s="212"/>
      <c r="AL27" s="212"/>
      <c r="AM27" s="212"/>
      <c r="AN27" s="212"/>
      <c r="AO27" s="79">
        <f t="shared" si="9"/>
        <v>0</v>
      </c>
      <c r="AP27" s="79">
        <f t="shared" si="10"/>
        <v>0</v>
      </c>
      <c r="AQ27" s="64">
        <v>1400532.56</v>
      </c>
      <c r="AR27" s="79">
        <v>144384.79999999999</v>
      </c>
      <c r="AS27" s="79">
        <v>28876.959999999999</v>
      </c>
      <c r="AT27" s="80"/>
      <c r="AU27" s="166">
        <v>97</v>
      </c>
      <c r="AV27" s="167">
        <v>10</v>
      </c>
      <c r="AW27" s="94">
        <v>2</v>
      </c>
      <c r="AX27" s="101"/>
      <c r="AY27" s="75">
        <v>1410</v>
      </c>
      <c r="AZ27" s="76">
        <v>721</v>
      </c>
      <c r="BA27" s="76">
        <v>440</v>
      </c>
      <c r="BB27" s="77"/>
      <c r="BC27" s="112">
        <f t="shared" si="45"/>
        <v>14438.480000000001</v>
      </c>
      <c r="BD27" s="113">
        <f t="shared" si="45"/>
        <v>14438.48</v>
      </c>
      <c r="BE27" s="171">
        <f t="shared" si="45"/>
        <v>14438.48</v>
      </c>
      <c r="BF27" s="179"/>
      <c r="BG27" s="177">
        <f t="shared" si="11"/>
        <v>107</v>
      </c>
      <c r="BH27" s="184">
        <f t="shared" si="12"/>
        <v>2</v>
      </c>
      <c r="BI27" s="52">
        <f t="shared" si="13"/>
        <v>28876.959999999999</v>
      </c>
      <c r="BJ27" s="126">
        <f t="shared" si="14"/>
        <v>14438.48</v>
      </c>
      <c r="BK27" s="64"/>
      <c r="BL27" s="48"/>
      <c r="BM27" s="48"/>
      <c r="BN27" s="51"/>
      <c r="BO27" s="78"/>
      <c r="BP27" s="48"/>
      <c r="BQ27" s="48"/>
      <c r="BR27" s="9"/>
      <c r="BS27" s="133">
        <f t="shared" si="15"/>
        <v>28876.959999999999</v>
      </c>
      <c r="BT27" s="186">
        <f t="shared" si="16"/>
        <v>14438.48</v>
      </c>
      <c r="BU27" s="78">
        <f t="shared" si="17"/>
        <v>3089834.7199999997</v>
      </c>
      <c r="BV27" s="80">
        <f t="shared" si="18"/>
        <v>28876.959999999999</v>
      </c>
      <c r="BW27" s="59">
        <f t="shared" si="19"/>
        <v>97</v>
      </c>
      <c r="BX27" s="216">
        <f t="shared" si="20"/>
        <v>14438.480000000001</v>
      </c>
      <c r="BY27" s="212"/>
      <c r="BZ27" s="212"/>
      <c r="CA27" s="212"/>
      <c r="CB27" s="212"/>
      <c r="CC27" s="56">
        <f t="shared" si="21"/>
        <v>0</v>
      </c>
      <c r="CD27" s="79">
        <f t="shared" si="22"/>
        <v>0</v>
      </c>
      <c r="CE27" s="64">
        <v>1836395</v>
      </c>
      <c r="CF27" s="79">
        <v>146911.6</v>
      </c>
      <c r="CG27" s="79">
        <v>14691.16</v>
      </c>
      <c r="CH27" s="80"/>
      <c r="CI27" s="75">
        <v>125</v>
      </c>
      <c r="CJ27" s="76">
        <v>10</v>
      </c>
      <c r="CK27" s="76">
        <v>1</v>
      </c>
      <c r="CL27" s="77"/>
      <c r="CM27" s="75">
        <v>1739</v>
      </c>
      <c r="CN27" s="76">
        <v>605</v>
      </c>
      <c r="CO27" s="76">
        <v>400</v>
      </c>
      <c r="CP27" s="77"/>
      <c r="CQ27" s="78">
        <f t="shared" si="46"/>
        <v>14691.16</v>
      </c>
      <c r="CR27" s="79">
        <f>CF27/CJ27</f>
        <v>14691.16</v>
      </c>
      <c r="CS27" s="79">
        <f>CG27/CK27</f>
        <v>14691.16</v>
      </c>
      <c r="CT27" s="80"/>
      <c r="CU27" s="193">
        <f t="shared" si="39"/>
        <v>135</v>
      </c>
      <c r="CV27" s="184">
        <f t="shared" si="40"/>
        <v>1</v>
      </c>
      <c r="CW27" s="52">
        <f t="shared" si="41"/>
        <v>29382.32</v>
      </c>
      <c r="CX27" s="126">
        <f t="shared" si="42"/>
        <v>14691.16</v>
      </c>
      <c r="CY27" s="78"/>
      <c r="CZ27" s="9"/>
      <c r="DA27" s="49"/>
      <c r="DB27" s="51"/>
      <c r="DC27" s="78"/>
      <c r="DD27" s="9"/>
      <c r="DE27" s="49"/>
      <c r="DF27" s="51"/>
      <c r="DG27" s="189">
        <f t="shared" si="27"/>
        <v>29382.32</v>
      </c>
      <c r="DH27" s="186">
        <f t="shared" si="28"/>
        <v>14691.16</v>
      </c>
      <c r="DI27" s="78">
        <f t="shared" si="29"/>
        <v>3966613.2</v>
      </c>
      <c r="DJ27" s="80">
        <f t="shared" si="30"/>
        <v>14691.16</v>
      </c>
      <c r="DK27" s="59">
        <f t="shared" si="31"/>
        <v>125</v>
      </c>
      <c r="DL27" s="216">
        <f t="shared" si="32"/>
        <v>14691.16</v>
      </c>
      <c r="DM27" s="212"/>
      <c r="DN27" s="212"/>
      <c r="DO27" s="212"/>
      <c r="DP27" s="212"/>
      <c r="DQ27" s="56">
        <f t="shared" si="33"/>
        <v>0</v>
      </c>
      <c r="DR27" s="66">
        <f t="shared" si="34"/>
        <v>0</v>
      </c>
      <c r="DS27" s="78"/>
      <c r="DT27" s="79"/>
      <c r="DU27" s="80"/>
    </row>
    <row r="28" spans="1:125" x14ac:dyDescent="0.3">
      <c r="A28" s="20" t="s">
        <v>54</v>
      </c>
      <c r="B28" s="81" t="s">
        <v>23</v>
      </c>
      <c r="C28" s="78">
        <v>1373670.35</v>
      </c>
      <c r="D28" s="79">
        <v>0</v>
      </c>
      <c r="E28" s="79">
        <v>0</v>
      </c>
      <c r="F28" s="80">
        <v>0</v>
      </c>
      <c r="G28" s="98">
        <v>296</v>
      </c>
      <c r="H28" s="99">
        <v>0</v>
      </c>
      <c r="I28" s="105">
        <v>0</v>
      </c>
      <c r="J28" s="106">
        <v>0</v>
      </c>
      <c r="K28" s="75">
        <v>6305</v>
      </c>
      <c r="L28" s="76">
        <v>0</v>
      </c>
      <c r="M28" s="76">
        <v>0</v>
      </c>
      <c r="N28" s="77">
        <v>0</v>
      </c>
      <c r="O28" s="112">
        <f>C28/G28</f>
        <v>4640.7782094594595</v>
      </c>
      <c r="P28" s="113">
        <v>0</v>
      </c>
      <c r="Q28" s="109">
        <v>0</v>
      </c>
      <c r="R28" s="123">
        <v>0</v>
      </c>
      <c r="S28" s="135">
        <f t="shared" si="35"/>
        <v>296</v>
      </c>
      <c r="T28" s="90">
        <f t="shared" si="36"/>
        <v>0</v>
      </c>
      <c r="U28" s="52">
        <f t="shared" si="37"/>
        <v>4640.7782094594595</v>
      </c>
      <c r="V28" s="80">
        <f t="shared" si="38"/>
        <v>0</v>
      </c>
      <c r="W28" s="75"/>
      <c r="X28" s="66"/>
      <c r="Y28" s="78"/>
      <c r="Z28" s="77"/>
      <c r="AA28" s="49"/>
      <c r="AB28" s="9"/>
      <c r="AC28" s="49"/>
      <c r="AD28" s="9"/>
      <c r="AE28" s="133">
        <f t="shared" si="3"/>
        <v>4640.7782094594595</v>
      </c>
      <c r="AF28" s="66">
        <f t="shared" si="4"/>
        <v>0</v>
      </c>
      <c r="AG28" s="78">
        <f t="shared" si="5"/>
        <v>1373670.35</v>
      </c>
      <c r="AH28" s="80">
        <f t="shared" si="6"/>
        <v>0</v>
      </c>
      <c r="AI28" s="215">
        <f t="shared" si="7"/>
        <v>296</v>
      </c>
      <c r="AJ28" s="216">
        <f t="shared" si="8"/>
        <v>4640.7782094594595</v>
      </c>
      <c r="AK28" s="212"/>
      <c r="AL28" s="212"/>
      <c r="AM28" s="212"/>
      <c r="AN28" s="212"/>
      <c r="AO28" s="219">
        <f t="shared" si="9"/>
        <v>4640.7782094594595</v>
      </c>
      <c r="AP28" s="79">
        <f t="shared" si="10"/>
        <v>1373670.35</v>
      </c>
      <c r="AQ28" s="64">
        <v>1337466.8400000001</v>
      </c>
      <c r="AR28" s="79">
        <v>0</v>
      </c>
      <c r="AS28" s="79">
        <v>0</v>
      </c>
      <c r="AT28" s="80">
        <v>0</v>
      </c>
      <c r="AU28" s="166">
        <v>305</v>
      </c>
      <c r="AV28" s="167">
        <v>0</v>
      </c>
      <c r="AW28" s="94">
        <v>0</v>
      </c>
      <c r="AX28" s="101">
        <v>0</v>
      </c>
      <c r="AY28" s="75">
        <v>5878.2</v>
      </c>
      <c r="AZ28" s="76">
        <v>0</v>
      </c>
      <c r="BA28" s="76">
        <v>0</v>
      </c>
      <c r="BB28" s="77">
        <v>0</v>
      </c>
      <c r="BC28" s="112">
        <f>AQ28/AU28</f>
        <v>4385.1371803278689</v>
      </c>
      <c r="BD28" s="113">
        <v>0</v>
      </c>
      <c r="BE28" s="171">
        <v>0</v>
      </c>
      <c r="BF28" s="179">
        <v>0</v>
      </c>
      <c r="BG28" s="177">
        <f t="shared" si="11"/>
        <v>305</v>
      </c>
      <c r="BH28" s="90">
        <f t="shared" si="12"/>
        <v>0</v>
      </c>
      <c r="BI28" s="52">
        <f t="shared" si="13"/>
        <v>4385.1371803278689</v>
      </c>
      <c r="BJ28" s="80">
        <f t="shared" si="14"/>
        <v>0</v>
      </c>
      <c r="BK28" s="32"/>
      <c r="BL28" s="76"/>
      <c r="BM28" s="76"/>
      <c r="BN28" s="77"/>
      <c r="BO28" s="75"/>
      <c r="BP28" s="76"/>
      <c r="BQ28" s="76"/>
      <c r="BR28" s="90"/>
      <c r="BS28" s="133">
        <f t="shared" si="15"/>
        <v>4385.1371803278689</v>
      </c>
      <c r="BT28" s="66">
        <f t="shared" si="16"/>
        <v>0</v>
      </c>
      <c r="BU28" s="78">
        <f t="shared" si="17"/>
        <v>1337466.8400000001</v>
      </c>
      <c r="BV28" s="80">
        <f t="shared" si="18"/>
        <v>0</v>
      </c>
      <c r="BW28" s="215">
        <f t="shared" si="19"/>
        <v>305</v>
      </c>
      <c r="BX28" s="216">
        <f t="shared" si="20"/>
        <v>4385.1371803278689</v>
      </c>
      <c r="BY28" s="212"/>
      <c r="BZ28" s="212"/>
      <c r="CA28" s="212"/>
      <c r="CB28" s="212"/>
      <c r="CC28" s="219">
        <f t="shared" si="21"/>
        <v>4385.1371803278689</v>
      </c>
      <c r="CD28" s="79">
        <f t="shared" si="22"/>
        <v>1337466.8400000001</v>
      </c>
      <c r="CE28" s="64">
        <v>2215552.81</v>
      </c>
      <c r="CF28" s="79">
        <v>0</v>
      </c>
      <c r="CG28" s="79">
        <v>0</v>
      </c>
      <c r="CH28" s="80">
        <v>0</v>
      </c>
      <c r="CI28" s="75">
        <v>426</v>
      </c>
      <c r="CJ28" s="76">
        <v>0</v>
      </c>
      <c r="CK28" s="76">
        <v>0</v>
      </c>
      <c r="CL28" s="77">
        <v>0</v>
      </c>
      <c r="CM28" s="75">
        <v>9184.4</v>
      </c>
      <c r="CN28" s="76">
        <v>0</v>
      </c>
      <c r="CO28" s="76">
        <v>0</v>
      </c>
      <c r="CP28" s="77">
        <v>0</v>
      </c>
      <c r="CQ28" s="78">
        <f t="shared" si="46"/>
        <v>5200.8281924882631</v>
      </c>
      <c r="CR28" s="79">
        <v>0</v>
      </c>
      <c r="CS28" s="79">
        <v>0</v>
      </c>
      <c r="CT28" s="80">
        <v>0</v>
      </c>
      <c r="CU28" s="193">
        <f t="shared" si="39"/>
        <v>426</v>
      </c>
      <c r="CV28" s="128">
        <f t="shared" si="40"/>
        <v>0</v>
      </c>
      <c r="CW28" s="52">
        <f t="shared" si="41"/>
        <v>5200.8281924882631</v>
      </c>
      <c r="CX28" s="57">
        <f t="shared" si="42"/>
        <v>0</v>
      </c>
      <c r="CY28" s="75"/>
      <c r="CZ28" s="90"/>
      <c r="DA28" s="75"/>
      <c r="DB28" s="77"/>
      <c r="DC28" s="75"/>
      <c r="DD28" s="90"/>
      <c r="DE28" s="75"/>
      <c r="DF28" s="77"/>
      <c r="DG28" s="189">
        <f t="shared" si="27"/>
        <v>5200.8281924882631</v>
      </c>
      <c r="DH28" s="67">
        <f t="shared" si="28"/>
        <v>0</v>
      </c>
      <c r="DI28" s="78">
        <f t="shared" si="29"/>
        <v>2215552.81</v>
      </c>
      <c r="DJ28" s="80">
        <f t="shared" si="30"/>
        <v>0</v>
      </c>
      <c r="DK28" s="215">
        <f t="shared" si="31"/>
        <v>426</v>
      </c>
      <c r="DL28" s="216">
        <f t="shared" si="32"/>
        <v>5200.8281924882631</v>
      </c>
      <c r="DM28" s="212"/>
      <c r="DN28" s="212"/>
      <c r="DO28" s="212"/>
      <c r="DP28" s="212"/>
      <c r="DQ28" s="219">
        <f t="shared" si="33"/>
        <v>5200.8281924882631</v>
      </c>
      <c r="DR28" s="66">
        <f t="shared" si="34"/>
        <v>2215552.81</v>
      </c>
      <c r="DS28" s="78"/>
      <c r="DT28" s="79"/>
      <c r="DU28" s="80"/>
    </row>
    <row r="29" spans="1:125" x14ac:dyDescent="0.3">
      <c r="A29" s="20" t="s">
        <v>55</v>
      </c>
      <c r="B29" s="38" t="s">
        <v>24</v>
      </c>
      <c r="C29" s="78">
        <v>36791.269999999997</v>
      </c>
      <c r="D29" s="79">
        <v>15851.95</v>
      </c>
      <c r="E29" s="79"/>
      <c r="F29" s="80"/>
      <c r="G29" s="98">
        <v>40</v>
      </c>
      <c r="H29" s="99">
        <v>2</v>
      </c>
      <c r="I29" s="105"/>
      <c r="J29" s="106"/>
      <c r="K29" s="75">
        <v>499</v>
      </c>
      <c r="L29" s="76">
        <v>215</v>
      </c>
      <c r="M29" s="76"/>
      <c r="N29" s="77"/>
      <c r="O29" s="112">
        <f>C29/G29</f>
        <v>919.78174999999987</v>
      </c>
      <c r="P29" s="113">
        <f>D29/H29</f>
        <v>7925.9750000000004</v>
      </c>
      <c r="Q29" s="109"/>
      <c r="R29" s="123"/>
      <c r="S29" s="135">
        <f t="shared" si="35"/>
        <v>42</v>
      </c>
      <c r="T29" s="90">
        <f t="shared" si="36"/>
        <v>0</v>
      </c>
      <c r="U29" s="52">
        <f t="shared" si="37"/>
        <v>8845.7567500000005</v>
      </c>
      <c r="V29" s="80">
        <f t="shared" si="38"/>
        <v>0</v>
      </c>
      <c r="W29" s="75"/>
      <c r="X29" s="66"/>
      <c r="Y29" s="78"/>
      <c r="Z29" s="77"/>
      <c r="AA29" s="75"/>
      <c r="AB29" s="90"/>
      <c r="AC29" s="75"/>
      <c r="AD29" s="90"/>
      <c r="AE29" s="133">
        <f t="shared" si="3"/>
        <v>8845.7567500000005</v>
      </c>
      <c r="AF29" s="66">
        <f t="shared" si="4"/>
        <v>0</v>
      </c>
      <c r="AG29" s="78">
        <f t="shared" si="5"/>
        <v>371521.78350000002</v>
      </c>
      <c r="AH29" s="80">
        <f t="shared" si="6"/>
        <v>0</v>
      </c>
      <c r="AI29" s="59">
        <f t="shared" si="7"/>
        <v>40</v>
      </c>
      <c r="AJ29" s="216">
        <f t="shared" si="8"/>
        <v>919.78174999999987</v>
      </c>
      <c r="AK29" s="212"/>
      <c r="AL29" s="212"/>
      <c r="AM29" s="212"/>
      <c r="AN29" s="212"/>
      <c r="AO29" s="79">
        <f t="shared" si="9"/>
        <v>0</v>
      </c>
      <c r="AP29" s="79">
        <f t="shared" si="10"/>
        <v>0</v>
      </c>
      <c r="AQ29" s="64">
        <v>63982.38</v>
      </c>
      <c r="AR29" s="79">
        <v>10575.6</v>
      </c>
      <c r="AS29" s="79"/>
      <c r="AT29" s="80"/>
      <c r="AU29" s="166">
        <v>59</v>
      </c>
      <c r="AV29" s="167">
        <v>2</v>
      </c>
      <c r="AW29" s="94"/>
      <c r="AX29" s="101"/>
      <c r="AY29" s="75">
        <v>847</v>
      </c>
      <c r="AZ29" s="76">
        <v>140</v>
      </c>
      <c r="BA29" s="76"/>
      <c r="BB29" s="77"/>
      <c r="BC29" s="112">
        <f>AQ29/AU29</f>
        <v>1084.4471186440678</v>
      </c>
      <c r="BD29" s="113">
        <f>AR29/AV29</f>
        <v>5287.8</v>
      </c>
      <c r="BE29" s="171"/>
      <c r="BF29" s="179"/>
      <c r="BG29" s="177">
        <f t="shared" si="11"/>
        <v>61</v>
      </c>
      <c r="BH29" s="90">
        <f t="shared" si="12"/>
        <v>0</v>
      </c>
      <c r="BI29" s="52">
        <f t="shared" si="13"/>
        <v>6372.247118644068</v>
      </c>
      <c r="BJ29" s="80">
        <f t="shared" si="14"/>
        <v>0</v>
      </c>
      <c r="BK29" s="32"/>
      <c r="BL29" s="76"/>
      <c r="BM29" s="76"/>
      <c r="BN29" s="77"/>
      <c r="BO29" s="75"/>
      <c r="BP29" s="76"/>
      <c r="BQ29" s="76"/>
      <c r="BR29" s="90"/>
      <c r="BS29" s="133">
        <f t="shared" si="15"/>
        <v>6372.247118644068</v>
      </c>
      <c r="BT29" s="66">
        <f t="shared" si="16"/>
        <v>0</v>
      </c>
      <c r="BU29" s="78">
        <f t="shared" si="17"/>
        <v>388707.07423728815</v>
      </c>
      <c r="BV29" s="80">
        <f t="shared" si="18"/>
        <v>0</v>
      </c>
      <c r="BW29" s="59">
        <f t="shared" si="19"/>
        <v>59</v>
      </c>
      <c r="BX29" s="216">
        <f t="shared" si="20"/>
        <v>1084.4471186440678</v>
      </c>
      <c r="BY29" s="212"/>
      <c r="BZ29" s="212"/>
      <c r="CA29" s="212"/>
      <c r="CB29" s="212"/>
      <c r="CC29" s="56">
        <f t="shared" si="21"/>
        <v>0</v>
      </c>
      <c r="CD29" s="79">
        <f t="shared" si="22"/>
        <v>0</v>
      </c>
      <c r="CE29" s="64">
        <v>70896.600000000006</v>
      </c>
      <c r="CF29" s="79">
        <v>28731.78</v>
      </c>
      <c r="CG29" s="79"/>
      <c r="CH29" s="80"/>
      <c r="CI29" s="75">
        <v>42</v>
      </c>
      <c r="CJ29" s="76">
        <v>2</v>
      </c>
      <c r="CK29" s="76"/>
      <c r="CL29" s="77"/>
      <c r="CM29" s="75">
        <v>570</v>
      </c>
      <c r="CN29" s="76">
        <v>231</v>
      </c>
      <c r="CO29" s="76"/>
      <c r="CP29" s="77"/>
      <c r="CQ29" s="78">
        <f t="shared" si="46"/>
        <v>1688.014285714286</v>
      </c>
      <c r="CR29" s="79">
        <f>CF29/CJ29</f>
        <v>14365.89</v>
      </c>
      <c r="CS29" s="79"/>
      <c r="CT29" s="80"/>
      <c r="CU29" s="193">
        <f t="shared" si="39"/>
        <v>44</v>
      </c>
      <c r="CV29" s="128">
        <f t="shared" si="40"/>
        <v>0</v>
      </c>
      <c r="CW29" s="52">
        <f t="shared" si="41"/>
        <v>16053.904285714285</v>
      </c>
      <c r="CX29" s="57">
        <f t="shared" si="42"/>
        <v>0</v>
      </c>
      <c r="CY29" s="75"/>
      <c r="CZ29" s="90"/>
      <c r="DA29" s="75"/>
      <c r="DB29" s="77"/>
      <c r="DC29" s="75"/>
      <c r="DD29" s="90"/>
      <c r="DE29" s="75"/>
      <c r="DF29" s="77"/>
      <c r="DG29" s="189">
        <f t="shared" si="27"/>
        <v>16053.904285714285</v>
      </c>
      <c r="DH29" s="67">
        <f t="shared" si="28"/>
        <v>0</v>
      </c>
      <c r="DI29" s="78">
        <f t="shared" si="29"/>
        <v>706371.78857142851</v>
      </c>
      <c r="DJ29" s="80">
        <f t="shared" si="30"/>
        <v>0</v>
      </c>
      <c r="DK29" s="215">
        <f t="shared" si="31"/>
        <v>42</v>
      </c>
      <c r="DL29" s="216">
        <f t="shared" si="32"/>
        <v>1688.014285714286</v>
      </c>
      <c r="DM29" s="212"/>
      <c r="DN29" s="212"/>
      <c r="DO29" s="212"/>
      <c r="DP29" s="212"/>
      <c r="DQ29" s="219">
        <f t="shared" si="33"/>
        <v>1688.014285714286</v>
      </c>
      <c r="DR29" s="66">
        <f t="shared" si="34"/>
        <v>70896.600000000006</v>
      </c>
      <c r="DS29" s="78"/>
      <c r="DT29" s="79"/>
      <c r="DU29" s="80"/>
    </row>
    <row r="30" spans="1:125" s="46" customFormat="1" ht="28.8" x14ac:dyDescent="0.3">
      <c r="A30" s="45" t="s">
        <v>56</v>
      </c>
      <c r="B30" s="38" t="s">
        <v>25</v>
      </c>
      <c r="C30" s="55">
        <v>1838890.04</v>
      </c>
      <c r="D30" s="56">
        <v>375283.68</v>
      </c>
      <c r="E30" s="56">
        <v>28146.28</v>
      </c>
      <c r="F30" s="57"/>
      <c r="G30" s="98">
        <v>98</v>
      </c>
      <c r="H30" s="99">
        <v>16</v>
      </c>
      <c r="I30" s="105">
        <v>1</v>
      </c>
      <c r="J30" s="106"/>
      <c r="K30" s="58">
        <v>1066</v>
      </c>
      <c r="L30" s="59">
        <v>760.5</v>
      </c>
      <c r="M30" s="59">
        <v>100</v>
      </c>
      <c r="N30" s="60"/>
      <c r="O30" s="112">
        <f>C30/G30</f>
        <v>18764.184081632655</v>
      </c>
      <c r="P30" s="113">
        <f>D30/H30</f>
        <v>23455.23</v>
      </c>
      <c r="Q30" s="109">
        <f>E30/I30</f>
        <v>28146.28</v>
      </c>
      <c r="R30" s="123"/>
      <c r="S30" s="76">
        <f t="shared" si="35"/>
        <v>114</v>
      </c>
      <c r="T30" s="155">
        <f t="shared" si="36"/>
        <v>1</v>
      </c>
      <c r="U30" s="52">
        <f t="shared" si="37"/>
        <v>42219.414081632654</v>
      </c>
      <c r="V30" s="126">
        <f t="shared" si="38"/>
        <v>28146.28</v>
      </c>
      <c r="W30" s="58"/>
      <c r="X30" s="66"/>
      <c r="Y30" s="78"/>
      <c r="Z30" s="60"/>
      <c r="AA30" s="58"/>
      <c r="AB30" s="128"/>
      <c r="AC30" s="58"/>
      <c r="AD30" s="128"/>
      <c r="AE30" s="78">
        <f t="shared" si="3"/>
        <v>42219.414081632654</v>
      </c>
      <c r="AF30" s="153">
        <f t="shared" si="4"/>
        <v>28146.28</v>
      </c>
      <c r="AG30" s="78">
        <f t="shared" si="5"/>
        <v>4813013.205306123</v>
      </c>
      <c r="AH30" s="80">
        <f t="shared" si="6"/>
        <v>28146.28</v>
      </c>
      <c r="AI30" s="59">
        <f t="shared" si="7"/>
        <v>98</v>
      </c>
      <c r="AJ30" s="216">
        <f t="shared" si="8"/>
        <v>18764.184081632655</v>
      </c>
      <c r="AK30" s="212"/>
      <c r="AL30" s="212"/>
      <c r="AM30" s="212"/>
      <c r="AN30" s="212"/>
      <c r="AO30" s="79">
        <f t="shared" si="9"/>
        <v>0</v>
      </c>
      <c r="AP30" s="79">
        <f t="shared" si="10"/>
        <v>0</v>
      </c>
      <c r="AQ30" s="68">
        <v>1679252.56</v>
      </c>
      <c r="AR30" s="56">
        <v>267153.82</v>
      </c>
      <c r="AS30" s="56">
        <v>28623.62</v>
      </c>
      <c r="AT30" s="57"/>
      <c r="AU30" s="166">
        <v>110</v>
      </c>
      <c r="AV30" s="167">
        <v>14</v>
      </c>
      <c r="AW30" s="94">
        <v>1</v>
      </c>
      <c r="AX30" s="101"/>
      <c r="AY30" s="58">
        <v>1108</v>
      </c>
      <c r="AZ30" s="59">
        <v>698.26</v>
      </c>
      <c r="BA30" s="59">
        <v>200</v>
      </c>
      <c r="BB30" s="60"/>
      <c r="BC30" s="112">
        <f>AQ30/AU30</f>
        <v>15265.932363636364</v>
      </c>
      <c r="BD30" s="113">
        <f>AR30/AV30</f>
        <v>19082.415714285715</v>
      </c>
      <c r="BE30" s="171">
        <f>AS30/AW30</f>
        <v>28623.62</v>
      </c>
      <c r="BF30" s="179"/>
      <c r="BG30" s="75">
        <f t="shared" si="11"/>
        <v>124</v>
      </c>
      <c r="BH30" s="184">
        <f t="shared" si="12"/>
        <v>1</v>
      </c>
      <c r="BI30" s="52">
        <f t="shared" si="13"/>
        <v>34348.348077922077</v>
      </c>
      <c r="BJ30" s="126">
        <f t="shared" si="14"/>
        <v>28623.62</v>
      </c>
      <c r="BK30" s="63"/>
      <c r="BL30" s="59"/>
      <c r="BM30" s="59"/>
      <c r="BN30" s="60"/>
      <c r="BO30" s="58"/>
      <c r="BP30" s="59"/>
      <c r="BQ30" s="59"/>
      <c r="BR30" s="128"/>
      <c r="BS30" s="78">
        <f t="shared" si="15"/>
        <v>34348.348077922077</v>
      </c>
      <c r="BT30" s="186">
        <f t="shared" si="16"/>
        <v>28623.62</v>
      </c>
      <c r="BU30" s="78">
        <f t="shared" si="17"/>
        <v>4259195.1616623374</v>
      </c>
      <c r="BV30" s="80">
        <f t="shared" si="18"/>
        <v>28623.62</v>
      </c>
      <c r="BW30" s="59">
        <f t="shared" si="19"/>
        <v>110</v>
      </c>
      <c r="BX30" s="216">
        <f t="shared" si="20"/>
        <v>15265.932363636364</v>
      </c>
      <c r="BY30" s="212"/>
      <c r="BZ30" s="212"/>
      <c r="CA30" s="212"/>
      <c r="CB30" s="212"/>
      <c r="CC30" s="56">
        <f t="shared" si="21"/>
        <v>0</v>
      </c>
      <c r="CD30" s="79">
        <f t="shared" si="22"/>
        <v>0</v>
      </c>
      <c r="CE30" s="68">
        <v>559593.05000000005</v>
      </c>
      <c r="CF30" s="56">
        <v>90033.54</v>
      </c>
      <c r="CG30" s="56">
        <v>24932.36</v>
      </c>
      <c r="CH30" s="57">
        <v>11081.05</v>
      </c>
      <c r="CI30" s="58">
        <v>101</v>
      </c>
      <c r="CJ30" s="59">
        <v>13</v>
      </c>
      <c r="CK30" s="59">
        <v>3</v>
      </c>
      <c r="CL30" s="60">
        <v>1</v>
      </c>
      <c r="CM30" s="58">
        <v>986.79</v>
      </c>
      <c r="CN30" s="59">
        <v>456.21</v>
      </c>
      <c r="CO30" s="59">
        <v>345.04</v>
      </c>
      <c r="CP30" s="60">
        <v>690</v>
      </c>
      <c r="CQ30" s="55">
        <f t="shared" si="46"/>
        <v>5540.5252475247526</v>
      </c>
      <c r="CR30" s="56">
        <f>CF30/CJ30</f>
        <v>6925.6569230769228</v>
      </c>
      <c r="CS30" s="56">
        <f>CG30/CK30</f>
        <v>8310.7866666666669</v>
      </c>
      <c r="CT30" s="57">
        <f>CH30/CL30</f>
        <v>11081.05</v>
      </c>
      <c r="CU30" s="193">
        <f t="shared" si="39"/>
        <v>114</v>
      </c>
      <c r="CV30" s="184">
        <f t="shared" si="40"/>
        <v>4</v>
      </c>
      <c r="CW30" s="52">
        <f t="shared" si="41"/>
        <v>12466.182170601674</v>
      </c>
      <c r="CX30" s="126">
        <f t="shared" si="42"/>
        <v>19391.836666666666</v>
      </c>
      <c r="CY30" s="58"/>
      <c r="CZ30" s="128"/>
      <c r="DA30" s="58"/>
      <c r="DB30" s="60"/>
      <c r="DC30" s="58"/>
      <c r="DD30" s="128"/>
      <c r="DE30" s="58"/>
      <c r="DF30" s="60"/>
      <c r="DG30" s="189">
        <f t="shared" si="27"/>
        <v>12466.182170601674</v>
      </c>
      <c r="DH30" s="186">
        <f t="shared" si="28"/>
        <v>19391.836666666666</v>
      </c>
      <c r="DI30" s="78">
        <f t="shared" si="29"/>
        <v>1421144.7674485908</v>
      </c>
      <c r="DJ30" s="80">
        <f t="shared" si="30"/>
        <v>77567.346666666665</v>
      </c>
      <c r="DK30" s="215">
        <f t="shared" si="31"/>
        <v>101</v>
      </c>
      <c r="DL30" s="216">
        <f t="shared" si="32"/>
        <v>5540.5252475247526</v>
      </c>
      <c r="DM30" s="212"/>
      <c r="DN30" s="212"/>
      <c r="DO30" s="212"/>
      <c r="DP30" s="212"/>
      <c r="DQ30" s="219">
        <f t="shared" si="33"/>
        <v>5540.5252475247526</v>
      </c>
      <c r="DR30" s="66">
        <f t="shared" si="34"/>
        <v>559593.05000000005</v>
      </c>
      <c r="DS30" s="78"/>
      <c r="DT30" s="79"/>
      <c r="DU30" s="80"/>
    </row>
    <row r="31" spans="1:125" ht="28.8" x14ac:dyDescent="0.3">
      <c r="A31" s="20" t="s">
        <v>57</v>
      </c>
      <c r="B31" s="234" t="s">
        <v>26</v>
      </c>
      <c r="C31" s="78">
        <v>56155.14</v>
      </c>
      <c r="D31" s="79">
        <v>10249.84</v>
      </c>
      <c r="E31" s="79"/>
      <c r="F31" s="80"/>
      <c r="G31" s="98">
        <v>6</v>
      </c>
      <c r="H31" s="99">
        <v>1</v>
      </c>
      <c r="I31" s="105"/>
      <c r="J31" s="106"/>
      <c r="K31" s="75">
        <v>90</v>
      </c>
      <c r="L31" s="76">
        <v>35</v>
      </c>
      <c r="M31" s="76"/>
      <c r="N31" s="77"/>
      <c r="O31" s="112">
        <f>C31/G31</f>
        <v>9359.19</v>
      </c>
      <c r="P31" s="113">
        <f>D31/H31</f>
        <v>10249.84</v>
      </c>
      <c r="Q31" s="109"/>
      <c r="R31" s="123"/>
      <c r="S31" s="135">
        <f t="shared" si="35"/>
        <v>7</v>
      </c>
      <c r="T31" s="90">
        <f t="shared" si="36"/>
        <v>0</v>
      </c>
      <c r="U31" s="52">
        <f t="shared" si="37"/>
        <v>19609.03</v>
      </c>
      <c r="V31" s="80">
        <f t="shared" si="38"/>
        <v>0</v>
      </c>
      <c r="W31" s="75"/>
      <c r="X31" s="66"/>
      <c r="Y31" s="78"/>
      <c r="Z31" s="77"/>
      <c r="AA31" s="49"/>
      <c r="AB31" s="9"/>
      <c r="AC31" s="49"/>
      <c r="AD31" s="9"/>
      <c r="AE31" s="133">
        <f t="shared" si="3"/>
        <v>19609.03</v>
      </c>
      <c r="AF31" s="66">
        <f t="shared" si="4"/>
        <v>0</v>
      </c>
      <c r="AG31" s="78">
        <f t="shared" si="5"/>
        <v>137263.21</v>
      </c>
      <c r="AH31" s="80">
        <f t="shared" si="6"/>
        <v>0</v>
      </c>
      <c r="AI31" s="215">
        <f t="shared" si="7"/>
        <v>6</v>
      </c>
      <c r="AJ31" s="216">
        <f t="shared" si="8"/>
        <v>9359.19</v>
      </c>
      <c r="AK31" s="212"/>
      <c r="AL31" s="212"/>
      <c r="AM31" s="212"/>
      <c r="AN31" s="212"/>
      <c r="AO31" s="219">
        <f t="shared" si="9"/>
        <v>9359.19</v>
      </c>
      <c r="AP31" s="79">
        <f t="shared" si="10"/>
        <v>56155.14</v>
      </c>
      <c r="AQ31" s="64">
        <v>95378.5</v>
      </c>
      <c r="AR31" s="79">
        <v>9537.9500000000007</v>
      </c>
      <c r="AS31" s="79"/>
      <c r="AT31" s="80"/>
      <c r="AU31" s="166">
        <v>10</v>
      </c>
      <c r="AV31" s="167">
        <v>1</v>
      </c>
      <c r="AW31" s="94"/>
      <c r="AX31" s="101"/>
      <c r="AY31" s="75">
        <v>112</v>
      </c>
      <c r="AZ31" s="76">
        <v>74</v>
      </c>
      <c r="BA31" s="76"/>
      <c r="BB31" s="77"/>
      <c r="BC31" s="112">
        <f>AQ31/AU31</f>
        <v>9537.85</v>
      </c>
      <c r="BD31" s="113">
        <f>AR31/AV31</f>
        <v>9537.9500000000007</v>
      </c>
      <c r="BE31" s="171"/>
      <c r="BF31" s="179"/>
      <c r="BG31" s="177">
        <f t="shared" si="11"/>
        <v>11</v>
      </c>
      <c r="BH31" s="90">
        <f t="shared" si="12"/>
        <v>0</v>
      </c>
      <c r="BI31" s="52">
        <f t="shared" si="13"/>
        <v>19075.800000000003</v>
      </c>
      <c r="BJ31" s="80">
        <f t="shared" si="14"/>
        <v>0</v>
      </c>
      <c r="BK31" s="32"/>
      <c r="BL31" s="76"/>
      <c r="BM31" s="76"/>
      <c r="BN31" s="77"/>
      <c r="BO31" s="75"/>
      <c r="BP31" s="76"/>
      <c r="BQ31" s="76"/>
      <c r="BR31" s="90"/>
      <c r="BS31" s="133">
        <f t="shared" si="15"/>
        <v>19075.800000000003</v>
      </c>
      <c r="BT31" s="66">
        <f t="shared" si="16"/>
        <v>0</v>
      </c>
      <c r="BU31" s="78">
        <f t="shared" si="17"/>
        <v>209833.80000000005</v>
      </c>
      <c r="BV31" s="80">
        <f t="shared" si="18"/>
        <v>0</v>
      </c>
      <c r="BW31" s="215">
        <f t="shared" si="19"/>
        <v>10</v>
      </c>
      <c r="BX31" s="216">
        <f t="shared" si="20"/>
        <v>9537.85</v>
      </c>
      <c r="BY31" s="212"/>
      <c r="BZ31" s="212"/>
      <c r="CA31" s="212"/>
      <c r="CB31" s="212"/>
      <c r="CC31" s="219">
        <f t="shared" si="21"/>
        <v>9537.85</v>
      </c>
      <c r="CD31" s="79">
        <f t="shared" si="22"/>
        <v>95378.5</v>
      </c>
      <c r="CE31" s="64">
        <v>111553.44</v>
      </c>
      <c r="CF31" s="79">
        <v>10104.209999999999</v>
      </c>
      <c r="CG31" s="79"/>
      <c r="CH31" s="80"/>
      <c r="CI31" s="75">
        <v>12</v>
      </c>
      <c r="CJ31" s="76">
        <v>1</v>
      </c>
      <c r="CK31" s="76"/>
      <c r="CL31" s="77"/>
      <c r="CM31" s="75">
        <v>120</v>
      </c>
      <c r="CN31" s="76">
        <v>35</v>
      </c>
      <c r="CO31" s="76"/>
      <c r="CP31" s="77"/>
      <c r="CQ31" s="55">
        <f t="shared" ref="CQ31" si="47">CE31/CI31</f>
        <v>9296.1200000000008</v>
      </c>
      <c r="CR31" s="79">
        <f>CF31/CJ31</f>
        <v>10104.209999999999</v>
      </c>
      <c r="CS31" s="79"/>
      <c r="CT31" s="80"/>
      <c r="CU31" s="193">
        <f t="shared" si="39"/>
        <v>13</v>
      </c>
      <c r="CV31" s="128">
        <f t="shared" si="40"/>
        <v>0</v>
      </c>
      <c r="CW31" s="52">
        <f t="shared" si="41"/>
        <v>19400.330000000002</v>
      </c>
      <c r="CX31" s="57">
        <f t="shared" si="42"/>
        <v>0</v>
      </c>
      <c r="CY31" s="75"/>
      <c r="CZ31" s="90"/>
      <c r="DA31" s="75"/>
      <c r="DB31" s="77"/>
      <c r="DC31" s="75"/>
      <c r="DD31" s="90"/>
      <c r="DE31" s="75"/>
      <c r="DF31" s="77"/>
      <c r="DG31" s="189">
        <f t="shared" si="27"/>
        <v>19400.330000000002</v>
      </c>
      <c r="DH31" s="67">
        <f t="shared" si="28"/>
        <v>0</v>
      </c>
      <c r="DI31" s="78">
        <f t="shared" si="29"/>
        <v>252204.29000000004</v>
      </c>
      <c r="DJ31" s="80">
        <f t="shared" si="30"/>
        <v>0</v>
      </c>
      <c r="DK31" s="215">
        <f t="shared" si="31"/>
        <v>12</v>
      </c>
      <c r="DL31" s="216">
        <f t="shared" si="32"/>
        <v>9296.1200000000008</v>
      </c>
      <c r="DM31" s="212"/>
      <c r="DN31" s="212"/>
      <c r="DO31" s="212"/>
      <c r="DP31" s="212"/>
      <c r="DQ31" s="219">
        <f t="shared" si="33"/>
        <v>9296.1200000000008</v>
      </c>
      <c r="DR31" s="66">
        <f t="shared" si="34"/>
        <v>111553.44</v>
      </c>
      <c r="DS31" s="78"/>
      <c r="DT31" s="79"/>
      <c r="DU31" s="80"/>
    </row>
    <row r="32" spans="1:125" x14ac:dyDescent="0.3">
      <c r="A32" s="20" t="s">
        <v>58</v>
      </c>
      <c r="B32" s="42" t="s">
        <v>27</v>
      </c>
      <c r="C32" s="78"/>
      <c r="D32" s="79"/>
      <c r="E32" s="79"/>
      <c r="F32" s="80"/>
      <c r="G32" s="98"/>
      <c r="H32" s="99"/>
      <c r="I32" s="105"/>
      <c r="J32" s="106"/>
      <c r="K32" s="75"/>
      <c r="L32" s="76"/>
      <c r="M32" s="76"/>
      <c r="N32" s="77"/>
      <c r="O32" s="112"/>
      <c r="P32" s="113"/>
      <c r="Q32" s="109"/>
      <c r="R32" s="123"/>
      <c r="S32" s="76">
        <f t="shared" si="35"/>
        <v>0</v>
      </c>
      <c r="T32" s="90">
        <f t="shared" si="36"/>
        <v>0</v>
      </c>
      <c r="U32" s="78">
        <f t="shared" si="37"/>
        <v>0</v>
      </c>
      <c r="V32" s="80">
        <f t="shared" si="38"/>
        <v>0</v>
      </c>
      <c r="W32" s="75"/>
      <c r="X32" s="66"/>
      <c r="Y32" s="78"/>
      <c r="Z32" s="77"/>
      <c r="AA32" s="49"/>
      <c r="AB32" s="9"/>
      <c r="AC32" s="49"/>
      <c r="AD32" s="9"/>
      <c r="AE32" s="78">
        <f t="shared" si="3"/>
        <v>0</v>
      </c>
      <c r="AF32" s="66">
        <f t="shared" si="4"/>
        <v>0</v>
      </c>
      <c r="AG32" s="78">
        <f t="shared" si="5"/>
        <v>0</v>
      </c>
      <c r="AH32" s="80">
        <f t="shared" si="6"/>
        <v>0</v>
      </c>
      <c r="AI32" s="59">
        <f t="shared" si="7"/>
        <v>0</v>
      </c>
      <c r="AJ32" s="56">
        <f t="shared" si="8"/>
        <v>0</v>
      </c>
      <c r="AK32" s="212"/>
      <c r="AL32" s="212"/>
      <c r="AM32" s="212"/>
      <c r="AN32" s="212"/>
      <c r="AO32" s="79">
        <f t="shared" si="9"/>
        <v>0</v>
      </c>
      <c r="AP32" s="79">
        <f t="shared" si="10"/>
        <v>0</v>
      </c>
      <c r="AQ32" s="64"/>
      <c r="AR32" s="79"/>
      <c r="AS32" s="79"/>
      <c r="AT32" s="80"/>
      <c r="AU32" s="166"/>
      <c r="AV32" s="167"/>
      <c r="AW32" s="94"/>
      <c r="AX32" s="101"/>
      <c r="AY32" s="75"/>
      <c r="AZ32" s="76"/>
      <c r="BA32" s="76"/>
      <c r="BB32" s="77"/>
      <c r="BC32" s="112"/>
      <c r="BD32" s="113"/>
      <c r="BE32" s="171"/>
      <c r="BF32" s="179"/>
      <c r="BG32" s="75">
        <f t="shared" si="11"/>
        <v>0</v>
      </c>
      <c r="BH32" s="90">
        <f t="shared" si="12"/>
        <v>0</v>
      </c>
      <c r="BI32" s="78">
        <f t="shared" si="13"/>
        <v>0</v>
      </c>
      <c r="BJ32" s="80">
        <f t="shared" si="14"/>
        <v>0</v>
      </c>
      <c r="BK32" s="32"/>
      <c r="BL32" s="76"/>
      <c r="BM32" s="76"/>
      <c r="BN32" s="77"/>
      <c r="BO32" s="75"/>
      <c r="BP32" s="76"/>
      <c r="BQ32" s="76"/>
      <c r="BR32" s="90"/>
      <c r="BS32" s="78">
        <f t="shared" si="15"/>
        <v>0</v>
      </c>
      <c r="BT32" s="66">
        <f t="shared" si="16"/>
        <v>0</v>
      </c>
      <c r="BU32" s="78">
        <f t="shared" si="17"/>
        <v>0</v>
      </c>
      <c r="BV32" s="80">
        <f t="shared" si="18"/>
        <v>0</v>
      </c>
      <c r="BW32" s="59">
        <f t="shared" si="19"/>
        <v>0</v>
      </c>
      <c r="BX32" s="56">
        <f t="shared" si="20"/>
        <v>0</v>
      </c>
      <c r="BY32" s="212"/>
      <c r="BZ32" s="212"/>
      <c r="CA32" s="212"/>
      <c r="CB32" s="212"/>
      <c r="CC32" s="56">
        <f t="shared" si="21"/>
        <v>0</v>
      </c>
      <c r="CD32" s="79">
        <f t="shared" si="22"/>
        <v>0</v>
      </c>
      <c r="CE32" s="64">
        <v>59504.4</v>
      </c>
      <c r="CF32" s="79"/>
      <c r="CG32" s="79"/>
      <c r="CH32" s="80"/>
      <c r="CI32" s="75">
        <v>9</v>
      </c>
      <c r="CJ32" s="76"/>
      <c r="CK32" s="76"/>
      <c r="CL32" s="77"/>
      <c r="CM32" s="75">
        <v>120</v>
      </c>
      <c r="CN32" s="76"/>
      <c r="CO32" s="76"/>
      <c r="CP32" s="77"/>
      <c r="CQ32" s="78">
        <v>6611.6</v>
      </c>
      <c r="CR32" s="79"/>
      <c r="CS32" s="79"/>
      <c r="CT32" s="80"/>
      <c r="CU32" s="193">
        <f t="shared" si="39"/>
        <v>9</v>
      </c>
      <c r="CV32" s="128">
        <f t="shared" si="40"/>
        <v>0</v>
      </c>
      <c r="CW32" s="52">
        <f t="shared" si="41"/>
        <v>6611.6</v>
      </c>
      <c r="CX32" s="57">
        <f t="shared" si="42"/>
        <v>0</v>
      </c>
      <c r="CY32" s="75"/>
      <c r="CZ32" s="90"/>
      <c r="DA32" s="75"/>
      <c r="DB32" s="77"/>
      <c r="DC32" s="75"/>
      <c r="DD32" s="90"/>
      <c r="DE32" s="75"/>
      <c r="DF32" s="77"/>
      <c r="DG32" s="189">
        <f t="shared" si="27"/>
        <v>6611.6</v>
      </c>
      <c r="DH32" s="67">
        <f t="shared" si="28"/>
        <v>0</v>
      </c>
      <c r="DI32" s="78">
        <f t="shared" si="29"/>
        <v>59504.4</v>
      </c>
      <c r="DJ32" s="80">
        <f t="shared" si="30"/>
        <v>0</v>
      </c>
      <c r="DK32" s="215">
        <f t="shared" si="31"/>
        <v>9</v>
      </c>
      <c r="DL32" s="216">
        <f t="shared" si="32"/>
        <v>6611.6</v>
      </c>
      <c r="DM32" s="212"/>
      <c r="DN32" s="212"/>
      <c r="DO32" s="212"/>
      <c r="DP32" s="212"/>
      <c r="DQ32" s="219">
        <f t="shared" si="33"/>
        <v>6611.6</v>
      </c>
      <c r="DR32" s="66">
        <f t="shared" si="34"/>
        <v>59504.4</v>
      </c>
      <c r="DS32" s="78"/>
      <c r="DT32" s="79"/>
      <c r="DU32" s="80"/>
    </row>
    <row r="33" spans="1:125" x14ac:dyDescent="0.3">
      <c r="A33" s="20" t="s">
        <v>59</v>
      </c>
      <c r="B33" s="38" t="s">
        <v>28</v>
      </c>
      <c r="C33" s="78"/>
      <c r="D33" s="79">
        <v>160599</v>
      </c>
      <c r="E33" s="79"/>
      <c r="F33" s="80"/>
      <c r="G33" s="98"/>
      <c r="H33" s="99">
        <v>9</v>
      </c>
      <c r="I33" s="105"/>
      <c r="J33" s="106"/>
      <c r="K33" s="75"/>
      <c r="L33" s="76">
        <v>310</v>
      </c>
      <c r="M33" s="76"/>
      <c r="N33" s="77"/>
      <c r="O33" s="112"/>
      <c r="P33" s="113">
        <f>D33/H33</f>
        <v>17844.333333333332</v>
      </c>
      <c r="Q33" s="109"/>
      <c r="R33" s="123"/>
      <c r="S33" s="135">
        <f t="shared" si="35"/>
        <v>9</v>
      </c>
      <c r="T33" s="90">
        <f t="shared" si="36"/>
        <v>0</v>
      </c>
      <c r="U33" s="52">
        <f t="shared" si="37"/>
        <v>17844.333333333332</v>
      </c>
      <c r="V33" s="80">
        <f t="shared" si="38"/>
        <v>0</v>
      </c>
      <c r="W33" s="78"/>
      <c r="X33" s="66"/>
      <c r="Y33" s="78"/>
      <c r="Z33" s="80"/>
      <c r="AA33" s="78"/>
      <c r="AB33" s="66"/>
      <c r="AC33" s="78"/>
      <c r="AD33" s="66"/>
      <c r="AE33" s="133">
        <f t="shared" si="3"/>
        <v>17844.333333333332</v>
      </c>
      <c r="AF33" s="66">
        <f t="shared" si="4"/>
        <v>0</v>
      </c>
      <c r="AG33" s="78">
        <f t="shared" si="5"/>
        <v>160599</v>
      </c>
      <c r="AH33" s="80">
        <f t="shared" si="6"/>
        <v>0</v>
      </c>
      <c r="AI33" s="59">
        <f t="shared" si="7"/>
        <v>0</v>
      </c>
      <c r="AJ33" s="56">
        <f t="shared" si="8"/>
        <v>0</v>
      </c>
      <c r="AK33" s="212"/>
      <c r="AL33" s="212"/>
      <c r="AM33" s="212"/>
      <c r="AN33" s="212"/>
      <c r="AO33" s="79">
        <f t="shared" si="9"/>
        <v>0</v>
      </c>
      <c r="AP33" s="79">
        <f t="shared" si="10"/>
        <v>0</v>
      </c>
      <c r="AQ33" s="64"/>
      <c r="AR33" s="79">
        <v>135278</v>
      </c>
      <c r="AS33" s="79">
        <v>19448</v>
      </c>
      <c r="AT33" s="80"/>
      <c r="AU33" s="166"/>
      <c r="AV33" s="167">
        <v>7</v>
      </c>
      <c r="AW33" s="94">
        <v>1</v>
      </c>
      <c r="AX33" s="101"/>
      <c r="AY33" s="75"/>
      <c r="AZ33" s="76">
        <v>220.65</v>
      </c>
      <c r="BA33" s="76">
        <v>200</v>
      </c>
      <c r="BB33" s="77"/>
      <c r="BC33" s="112"/>
      <c r="BD33" s="113">
        <f>AR33/AV33</f>
        <v>19325.428571428572</v>
      </c>
      <c r="BE33" s="171">
        <f>AS33/AW33</f>
        <v>19448</v>
      </c>
      <c r="BF33" s="179"/>
      <c r="BG33" s="177">
        <f t="shared" si="11"/>
        <v>7</v>
      </c>
      <c r="BH33" s="184">
        <f t="shared" si="12"/>
        <v>1</v>
      </c>
      <c r="BI33" s="52">
        <f t="shared" si="13"/>
        <v>19325.428571428572</v>
      </c>
      <c r="BJ33" s="126">
        <f t="shared" si="14"/>
        <v>19448</v>
      </c>
      <c r="BK33" s="64"/>
      <c r="BL33" s="79"/>
      <c r="BM33" s="79"/>
      <c r="BN33" s="80"/>
      <c r="BO33" s="78"/>
      <c r="BP33" s="79"/>
      <c r="BQ33" s="79"/>
      <c r="BR33" s="66"/>
      <c r="BS33" s="133">
        <f t="shared" si="15"/>
        <v>19325.428571428572</v>
      </c>
      <c r="BT33" s="186">
        <f t="shared" si="16"/>
        <v>19448</v>
      </c>
      <c r="BU33" s="78">
        <f t="shared" si="17"/>
        <v>135278</v>
      </c>
      <c r="BV33" s="80">
        <f t="shared" si="18"/>
        <v>19448</v>
      </c>
      <c r="BW33" s="59">
        <f t="shared" si="19"/>
        <v>0</v>
      </c>
      <c r="BX33" s="56">
        <f t="shared" si="20"/>
        <v>0</v>
      </c>
      <c r="BY33" s="212"/>
      <c r="BZ33" s="212"/>
      <c r="CA33" s="212"/>
      <c r="CB33" s="212"/>
      <c r="CC33" s="56">
        <f t="shared" si="21"/>
        <v>0</v>
      </c>
      <c r="CD33" s="79">
        <f t="shared" si="22"/>
        <v>0</v>
      </c>
      <c r="CE33" s="64">
        <v>62477</v>
      </c>
      <c r="CF33" s="79">
        <v>103681</v>
      </c>
      <c r="CG33" s="79"/>
      <c r="CH33" s="80"/>
      <c r="CI33" s="75">
        <v>3</v>
      </c>
      <c r="CJ33" s="76">
        <v>5</v>
      </c>
      <c r="CK33" s="76"/>
      <c r="CL33" s="77"/>
      <c r="CM33" s="75">
        <v>25</v>
      </c>
      <c r="CN33" s="76">
        <v>120</v>
      </c>
      <c r="CO33" s="76"/>
      <c r="CP33" s="77"/>
      <c r="CQ33" s="78">
        <f>CE33/CI33</f>
        <v>20825.666666666668</v>
      </c>
      <c r="CR33" s="79">
        <f>CF33/CJ33</f>
        <v>20736.2</v>
      </c>
      <c r="CS33" s="79"/>
      <c r="CT33" s="80"/>
      <c r="CU33" s="75">
        <f t="shared" si="39"/>
        <v>8</v>
      </c>
      <c r="CV33" s="128">
        <f t="shared" si="40"/>
        <v>0</v>
      </c>
      <c r="CW33" s="52">
        <f t="shared" si="41"/>
        <v>41561.866666666669</v>
      </c>
      <c r="CX33" s="57">
        <f t="shared" si="42"/>
        <v>0</v>
      </c>
      <c r="CY33" s="78"/>
      <c r="CZ33" s="66"/>
      <c r="DA33" s="78"/>
      <c r="DB33" s="80"/>
      <c r="DC33" s="78"/>
      <c r="DD33" s="66"/>
      <c r="DE33" s="78"/>
      <c r="DF33" s="80"/>
      <c r="DG33" s="55">
        <f t="shared" si="27"/>
        <v>41561.866666666669</v>
      </c>
      <c r="DH33" s="67">
        <f t="shared" si="28"/>
        <v>0</v>
      </c>
      <c r="DI33" s="78">
        <f t="shared" si="29"/>
        <v>332494.93333333335</v>
      </c>
      <c r="DJ33" s="80">
        <f t="shared" si="30"/>
        <v>0</v>
      </c>
      <c r="DK33" s="59">
        <f t="shared" si="31"/>
        <v>3</v>
      </c>
      <c r="DL33" s="216">
        <f t="shared" si="32"/>
        <v>20825.666666666668</v>
      </c>
      <c r="DM33" s="212"/>
      <c r="DN33" s="212"/>
      <c r="DO33" s="212"/>
      <c r="DP33" s="212"/>
      <c r="DQ33" s="56">
        <f t="shared" si="33"/>
        <v>0</v>
      </c>
      <c r="DR33" s="66">
        <f t="shared" si="34"/>
        <v>0</v>
      </c>
      <c r="DS33" s="78"/>
      <c r="DT33" s="79"/>
      <c r="DU33" s="80"/>
    </row>
    <row r="34" spans="1:125" x14ac:dyDescent="0.3">
      <c r="A34" s="20" t="s">
        <v>60</v>
      </c>
      <c r="B34" s="42" t="s">
        <v>29</v>
      </c>
      <c r="C34" s="78"/>
      <c r="D34" s="79"/>
      <c r="E34" s="79"/>
      <c r="F34" s="80"/>
      <c r="G34" s="98"/>
      <c r="H34" s="99"/>
      <c r="I34" s="105"/>
      <c r="J34" s="106"/>
      <c r="K34" s="75"/>
      <c r="L34" s="76"/>
      <c r="M34" s="76"/>
      <c r="N34" s="77"/>
      <c r="O34" s="112"/>
      <c r="P34" s="113"/>
      <c r="Q34" s="109"/>
      <c r="R34" s="123"/>
      <c r="S34" s="76">
        <f t="shared" si="35"/>
        <v>0</v>
      </c>
      <c r="T34" s="90">
        <f t="shared" si="36"/>
        <v>0</v>
      </c>
      <c r="U34" s="78">
        <f t="shared" si="37"/>
        <v>0</v>
      </c>
      <c r="V34" s="80">
        <f t="shared" si="38"/>
        <v>0</v>
      </c>
      <c r="W34" s="75"/>
      <c r="X34" s="66"/>
      <c r="Y34" s="78"/>
      <c r="Z34" s="77"/>
      <c r="AA34" s="49"/>
      <c r="AB34" s="9"/>
      <c r="AC34" s="49"/>
      <c r="AD34" s="9"/>
      <c r="AE34" s="78">
        <f t="shared" si="3"/>
        <v>0</v>
      </c>
      <c r="AF34" s="66">
        <f t="shared" si="4"/>
        <v>0</v>
      </c>
      <c r="AG34" s="78">
        <f t="shared" si="5"/>
        <v>0</v>
      </c>
      <c r="AH34" s="80">
        <f t="shared" si="6"/>
        <v>0</v>
      </c>
      <c r="AI34" s="59">
        <f t="shared" si="7"/>
        <v>0</v>
      </c>
      <c r="AJ34" s="56">
        <f t="shared" si="8"/>
        <v>0</v>
      </c>
      <c r="AK34" s="212"/>
      <c r="AL34" s="212"/>
      <c r="AM34" s="212"/>
      <c r="AN34" s="212"/>
      <c r="AO34" s="79">
        <f t="shared" si="9"/>
        <v>0</v>
      </c>
      <c r="AP34" s="79">
        <f t="shared" si="10"/>
        <v>0</v>
      </c>
      <c r="AQ34" s="64"/>
      <c r="AR34" s="79"/>
      <c r="AS34" s="79"/>
      <c r="AT34" s="80"/>
      <c r="AU34" s="166"/>
      <c r="AV34" s="167"/>
      <c r="AW34" s="94"/>
      <c r="AX34" s="101"/>
      <c r="AY34" s="75"/>
      <c r="AZ34" s="76"/>
      <c r="BA34" s="76"/>
      <c r="BB34" s="77"/>
      <c r="BC34" s="112"/>
      <c r="BD34" s="113"/>
      <c r="BE34" s="171"/>
      <c r="BF34" s="179"/>
      <c r="BG34" s="75">
        <f t="shared" si="11"/>
        <v>0</v>
      </c>
      <c r="BH34" s="90">
        <f t="shared" si="12"/>
        <v>0</v>
      </c>
      <c r="BI34" s="78">
        <f t="shared" si="13"/>
        <v>0</v>
      </c>
      <c r="BJ34" s="80">
        <f t="shared" si="14"/>
        <v>0</v>
      </c>
      <c r="BK34" s="32"/>
      <c r="BL34" s="76"/>
      <c r="BM34" s="76"/>
      <c r="BN34" s="77"/>
      <c r="BO34" s="75"/>
      <c r="BP34" s="76"/>
      <c r="BQ34" s="76"/>
      <c r="BR34" s="90"/>
      <c r="BS34" s="78">
        <f t="shared" si="15"/>
        <v>0</v>
      </c>
      <c r="BT34" s="66">
        <f t="shared" si="16"/>
        <v>0</v>
      </c>
      <c r="BU34" s="78">
        <f t="shared" si="17"/>
        <v>0</v>
      </c>
      <c r="BV34" s="80">
        <f t="shared" si="18"/>
        <v>0</v>
      </c>
      <c r="BW34" s="59">
        <f t="shared" si="19"/>
        <v>0</v>
      </c>
      <c r="BX34" s="56">
        <f t="shared" si="20"/>
        <v>0</v>
      </c>
      <c r="BY34" s="212"/>
      <c r="BZ34" s="212"/>
      <c r="CA34" s="212"/>
      <c r="CB34" s="212"/>
      <c r="CC34" s="56">
        <f t="shared" si="21"/>
        <v>0</v>
      </c>
      <c r="CD34" s="79">
        <f t="shared" si="22"/>
        <v>0</v>
      </c>
      <c r="CE34" s="64"/>
      <c r="CF34" s="79"/>
      <c r="CG34" s="79"/>
      <c r="CH34" s="80"/>
      <c r="CI34" s="75"/>
      <c r="CJ34" s="76"/>
      <c r="CK34" s="76"/>
      <c r="CL34" s="77"/>
      <c r="CM34" s="75"/>
      <c r="CN34" s="76"/>
      <c r="CO34" s="76"/>
      <c r="CP34" s="77"/>
      <c r="CQ34" s="78"/>
      <c r="CR34" s="79"/>
      <c r="CS34" s="79"/>
      <c r="CT34" s="80"/>
      <c r="CU34" s="75">
        <f t="shared" si="39"/>
        <v>0</v>
      </c>
      <c r="CV34" s="128">
        <f t="shared" si="40"/>
        <v>0</v>
      </c>
      <c r="CW34" s="55">
        <f t="shared" si="41"/>
        <v>0</v>
      </c>
      <c r="CX34" s="57">
        <f t="shared" si="42"/>
        <v>0</v>
      </c>
      <c r="CY34" s="75"/>
      <c r="CZ34" s="90"/>
      <c r="DA34" s="75"/>
      <c r="DB34" s="77"/>
      <c r="DC34" s="75"/>
      <c r="DD34" s="90"/>
      <c r="DE34" s="75"/>
      <c r="DF34" s="77"/>
      <c r="DG34" s="55">
        <f t="shared" si="27"/>
        <v>0</v>
      </c>
      <c r="DH34" s="67">
        <f t="shared" si="28"/>
        <v>0</v>
      </c>
      <c r="DI34" s="78">
        <f t="shared" si="29"/>
        <v>0</v>
      </c>
      <c r="DJ34" s="80">
        <f t="shared" si="30"/>
        <v>0</v>
      </c>
      <c r="DK34" s="59">
        <f t="shared" si="31"/>
        <v>0</v>
      </c>
      <c r="DL34" s="56">
        <f t="shared" si="32"/>
        <v>0</v>
      </c>
      <c r="DM34" s="212"/>
      <c r="DN34" s="212"/>
      <c r="DO34" s="212"/>
      <c r="DP34" s="212"/>
      <c r="DQ34" s="56">
        <f t="shared" si="33"/>
        <v>0</v>
      </c>
      <c r="DR34" s="66">
        <f t="shared" si="34"/>
        <v>0</v>
      </c>
      <c r="DS34" s="78"/>
      <c r="DT34" s="79"/>
      <c r="DU34" s="80"/>
    </row>
    <row r="35" spans="1:125" ht="28.8" x14ac:dyDescent="0.3">
      <c r="A35" s="40" t="s">
        <v>61</v>
      </c>
      <c r="B35" s="82" t="s">
        <v>67</v>
      </c>
      <c r="C35" s="78">
        <v>0</v>
      </c>
      <c r="D35" s="79">
        <v>0</v>
      </c>
      <c r="E35" s="79">
        <v>0</v>
      </c>
      <c r="F35" s="80">
        <v>0</v>
      </c>
      <c r="G35" s="98">
        <v>0</v>
      </c>
      <c r="H35" s="99">
        <v>0</v>
      </c>
      <c r="I35" s="105">
        <v>0</v>
      </c>
      <c r="J35" s="106">
        <v>0</v>
      </c>
      <c r="K35" s="75">
        <v>0</v>
      </c>
      <c r="L35" s="76">
        <v>0</v>
      </c>
      <c r="M35" s="76">
        <v>0</v>
      </c>
      <c r="N35" s="77">
        <v>0</v>
      </c>
      <c r="O35" s="112">
        <v>0</v>
      </c>
      <c r="P35" s="113">
        <v>0</v>
      </c>
      <c r="Q35" s="109">
        <v>0</v>
      </c>
      <c r="R35" s="123">
        <v>0</v>
      </c>
      <c r="S35" s="76">
        <f t="shared" si="35"/>
        <v>0</v>
      </c>
      <c r="T35" s="90">
        <f t="shared" si="36"/>
        <v>0</v>
      </c>
      <c r="U35" s="78">
        <f t="shared" si="37"/>
        <v>0</v>
      </c>
      <c r="V35" s="80">
        <f t="shared" si="38"/>
        <v>0</v>
      </c>
      <c r="W35" s="75"/>
      <c r="X35" s="66"/>
      <c r="Y35" s="78"/>
      <c r="Z35" s="77"/>
      <c r="AA35" s="49"/>
      <c r="AB35" s="9"/>
      <c r="AC35" s="49"/>
      <c r="AD35" s="9"/>
      <c r="AE35" s="78">
        <f t="shared" si="3"/>
        <v>0</v>
      </c>
      <c r="AF35" s="66">
        <f t="shared" si="4"/>
        <v>0</v>
      </c>
      <c r="AG35" s="78">
        <f t="shared" si="5"/>
        <v>0</v>
      </c>
      <c r="AH35" s="80">
        <f t="shared" si="6"/>
        <v>0</v>
      </c>
      <c r="AI35" s="59">
        <f t="shared" si="7"/>
        <v>0</v>
      </c>
      <c r="AJ35" s="56">
        <f t="shared" si="8"/>
        <v>0</v>
      </c>
      <c r="AK35" s="212"/>
      <c r="AL35" s="212"/>
      <c r="AM35" s="212"/>
      <c r="AN35" s="212"/>
      <c r="AO35" s="79">
        <f t="shared" si="9"/>
        <v>0</v>
      </c>
      <c r="AP35" s="79">
        <f t="shared" si="10"/>
        <v>0</v>
      </c>
      <c r="AQ35" s="64">
        <v>81383.56</v>
      </c>
      <c r="AR35" s="79">
        <v>0</v>
      </c>
      <c r="AS35" s="79">
        <v>0</v>
      </c>
      <c r="AT35" s="80">
        <v>0</v>
      </c>
      <c r="AU35" s="166">
        <v>21</v>
      </c>
      <c r="AV35" s="167">
        <v>0</v>
      </c>
      <c r="AW35" s="94">
        <v>0</v>
      </c>
      <c r="AX35" s="101">
        <v>0</v>
      </c>
      <c r="AY35" s="75">
        <v>1299</v>
      </c>
      <c r="AZ35" s="76">
        <v>0</v>
      </c>
      <c r="BA35" s="76">
        <v>0</v>
      </c>
      <c r="BB35" s="77">
        <v>0</v>
      </c>
      <c r="BC35" s="112">
        <f>AQ35/AU35</f>
        <v>3875.4076190476189</v>
      </c>
      <c r="BD35" s="113">
        <v>0</v>
      </c>
      <c r="BE35" s="171">
        <v>0</v>
      </c>
      <c r="BF35" s="179">
        <v>0</v>
      </c>
      <c r="BG35" s="177">
        <f t="shared" si="11"/>
        <v>21</v>
      </c>
      <c r="BH35" s="90">
        <f t="shared" si="12"/>
        <v>0</v>
      </c>
      <c r="BI35" s="52">
        <f t="shared" si="13"/>
        <v>3875.4076190476189</v>
      </c>
      <c r="BJ35" s="80">
        <f t="shared" si="14"/>
        <v>0</v>
      </c>
      <c r="BK35" s="32"/>
      <c r="BL35" s="76"/>
      <c r="BM35" s="76"/>
      <c r="BN35" s="77"/>
      <c r="BO35" s="75"/>
      <c r="BP35" s="76"/>
      <c r="BQ35" s="76"/>
      <c r="BR35" s="90"/>
      <c r="BS35" s="133">
        <f t="shared" si="15"/>
        <v>3875.4076190476189</v>
      </c>
      <c r="BT35" s="66">
        <f t="shared" si="16"/>
        <v>0</v>
      </c>
      <c r="BU35" s="78">
        <f t="shared" si="17"/>
        <v>81383.56</v>
      </c>
      <c r="BV35" s="80">
        <f t="shared" si="18"/>
        <v>0</v>
      </c>
      <c r="BW35" s="215">
        <f t="shared" si="19"/>
        <v>21</v>
      </c>
      <c r="BX35" s="216">
        <f t="shared" si="20"/>
        <v>3875.4076190476189</v>
      </c>
      <c r="BY35" s="212"/>
      <c r="BZ35" s="212"/>
      <c r="CA35" s="212"/>
      <c r="CB35" s="212"/>
      <c r="CC35" s="219">
        <f t="shared" si="21"/>
        <v>3875.4076190476189</v>
      </c>
      <c r="CD35" s="79">
        <f t="shared" si="22"/>
        <v>81383.56</v>
      </c>
      <c r="CE35" s="64">
        <v>118922.97</v>
      </c>
      <c r="CF35" s="79">
        <v>0</v>
      </c>
      <c r="CG35" s="79">
        <v>0</v>
      </c>
      <c r="CH35" s="80">
        <v>0</v>
      </c>
      <c r="CI35" s="75">
        <v>37</v>
      </c>
      <c r="CJ35" s="76">
        <v>0</v>
      </c>
      <c r="CK35" s="76">
        <v>0</v>
      </c>
      <c r="CL35" s="77">
        <v>0</v>
      </c>
      <c r="CM35" s="75">
        <v>5213</v>
      </c>
      <c r="CN35" s="76">
        <v>0</v>
      </c>
      <c r="CO35" s="76">
        <v>0</v>
      </c>
      <c r="CP35" s="77">
        <v>0</v>
      </c>
      <c r="CQ35" s="78">
        <f>CE35/CI35</f>
        <v>3214.1343243243246</v>
      </c>
      <c r="CR35" s="79">
        <v>0</v>
      </c>
      <c r="CS35" s="79">
        <v>0</v>
      </c>
      <c r="CT35" s="80">
        <v>0</v>
      </c>
      <c r="CU35" s="193">
        <f t="shared" si="39"/>
        <v>37</v>
      </c>
      <c r="CV35" s="128">
        <f t="shared" si="40"/>
        <v>0</v>
      </c>
      <c r="CW35" s="52">
        <f t="shared" si="41"/>
        <v>3214.1343243243246</v>
      </c>
      <c r="CX35" s="57">
        <f t="shared" si="42"/>
        <v>0</v>
      </c>
      <c r="CY35" s="75"/>
      <c r="CZ35" s="90"/>
      <c r="DA35" s="75"/>
      <c r="DB35" s="77"/>
      <c r="DC35" s="75"/>
      <c r="DD35" s="90"/>
      <c r="DE35" s="75"/>
      <c r="DF35" s="77"/>
      <c r="DG35" s="189">
        <f t="shared" si="27"/>
        <v>3214.1343243243246</v>
      </c>
      <c r="DH35" s="67">
        <f t="shared" si="28"/>
        <v>0</v>
      </c>
      <c r="DI35" s="78">
        <f t="shared" si="29"/>
        <v>118922.97</v>
      </c>
      <c r="DJ35" s="80">
        <f t="shared" si="30"/>
        <v>0</v>
      </c>
      <c r="DK35" s="215">
        <f t="shared" si="31"/>
        <v>37</v>
      </c>
      <c r="DL35" s="216">
        <f t="shared" si="32"/>
        <v>3214.1343243243246</v>
      </c>
      <c r="DM35" s="212"/>
      <c r="DN35" s="212"/>
      <c r="DO35" s="212"/>
      <c r="DP35" s="212"/>
      <c r="DQ35" s="219">
        <f t="shared" si="33"/>
        <v>3214.1343243243246</v>
      </c>
      <c r="DR35" s="66">
        <f t="shared" si="34"/>
        <v>118922.97</v>
      </c>
      <c r="DS35" s="78"/>
      <c r="DT35" s="79"/>
      <c r="DU35" s="80"/>
    </row>
    <row r="36" spans="1:125" ht="29.4" thickBot="1" x14ac:dyDescent="0.35">
      <c r="A36" s="21" t="s">
        <v>68</v>
      </c>
      <c r="B36" s="74" t="s">
        <v>30</v>
      </c>
      <c r="C36" s="243">
        <f>318.36*6</f>
        <v>1910.16</v>
      </c>
      <c r="D36" s="244"/>
      <c r="E36" s="244"/>
      <c r="F36" s="245"/>
      <c r="G36" s="246">
        <v>6</v>
      </c>
      <c r="H36" s="247"/>
      <c r="I36" s="247"/>
      <c r="J36" s="248"/>
      <c r="K36" s="246">
        <f>15*6</f>
        <v>90</v>
      </c>
      <c r="L36" s="247"/>
      <c r="M36" s="247"/>
      <c r="N36" s="248"/>
      <c r="O36" s="243">
        <v>318.36</v>
      </c>
      <c r="P36" s="244"/>
      <c r="Q36" s="244"/>
      <c r="R36" s="245"/>
      <c r="S36" s="41">
        <f t="shared" si="35"/>
        <v>6</v>
      </c>
      <c r="T36" s="151">
        <f t="shared" si="36"/>
        <v>0</v>
      </c>
      <c r="U36" s="78">
        <f t="shared" si="37"/>
        <v>318.36</v>
      </c>
      <c r="V36" s="80">
        <f t="shared" si="38"/>
        <v>0</v>
      </c>
      <c r="W36" s="29"/>
      <c r="X36" s="34"/>
      <c r="Y36" s="26"/>
      <c r="Z36" s="31"/>
      <c r="AA36" s="50"/>
      <c r="AB36" s="7"/>
      <c r="AC36" s="50"/>
      <c r="AD36" s="7"/>
      <c r="AE36" s="26">
        <f t="shared" si="3"/>
        <v>318.36</v>
      </c>
      <c r="AF36" s="34">
        <f t="shared" si="4"/>
        <v>0</v>
      </c>
      <c r="AG36" s="26">
        <f t="shared" si="5"/>
        <v>1910.16</v>
      </c>
      <c r="AH36" s="28">
        <f t="shared" si="6"/>
        <v>0</v>
      </c>
      <c r="AI36" s="59">
        <f t="shared" si="7"/>
        <v>6</v>
      </c>
      <c r="AJ36" s="56">
        <f t="shared" si="8"/>
        <v>318.36</v>
      </c>
      <c r="AK36" s="213"/>
      <c r="AL36" s="213"/>
      <c r="AM36" s="213"/>
      <c r="AN36" s="213"/>
      <c r="AO36" s="79">
        <f t="shared" si="9"/>
        <v>0</v>
      </c>
      <c r="AP36" s="79">
        <f>AO36*AI36</f>
        <v>0</v>
      </c>
      <c r="AQ36" s="129"/>
      <c r="AR36" s="27"/>
      <c r="AS36" s="27"/>
      <c r="AT36" s="28"/>
      <c r="AU36" s="168"/>
      <c r="AV36" s="169"/>
      <c r="AW36" s="95"/>
      <c r="AX36" s="102"/>
      <c r="AY36" s="29"/>
      <c r="AZ36" s="30"/>
      <c r="BA36" s="30"/>
      <c r="BB36" s="31"/>
      <c r="BC36" s="114"/>
      <c r="BD36" s="115"/>
      <c r="BE36" s="172"/>
      <c r="BF36" s="180"/>
      <c r="BG36" s="29">
        <f t="shared" si="11"/>
        <v>0</v>
      </c>
      <c r="BH36" s="91">
        <f t="shared" si="12"/>
        <v>0</v>
      </c>
      <c r="BI36" s="26">
        <f t="shared" si="13"/>
        <v>0</v>
      </c>
      <c r="BJ36" s="28">
        <f t="shared" si="14"/>
        <v>0</v>
      </c>
      <c r="BK36" s="33"/>
      <c r="BL36" s="30"/>
      <c r="BM36" s="30"/>
      <c r="BN36" s="31"/>
      <c r="BO36" s="29"/>
      <c r="BP36" s="30"/>
      <c r="BQ36" s="30"/>
      <c r="BR36" s="91"/>
      <c r="BS36" s="26">
        <f t="shared" si="15"/>
        <v>0</v>
      </c>
      <c r="BT36" s="34">
        <f t="shared" si="16"/>
        <v>0</v>
      </c>
      <c r="BU36" s="26">
        <f t="shared" si="17"/>
        <v>0</v>
      </c>
      <c r="BV36" s="28">
        <f t="shared" si="18"/>
        <v>0</v>
      </c>
      <c r="BW36" s="59">
        <f t="shared" si="19"/>
        <v>0</v>
      </c>
      <c r="BX36" s="56">
        <f t="shared" si="20"/>
        <v>0</v>
      </c>
      <c r="BY36" s="213"/>
      <c r="BZ36" s="213"/>
      <c r="CA36" s="213"/>
      <c r="CB36" s="213"/>
      <c r="CC36" s="56">
        <f t="shared" si="21"/>
        <v>0</v>
      </c>
      <c r="CD36" s="79">
        <f>CC36*BW36</f>
        <v>0</v>
      </c>
      <c r="CE36" s="129">
        <v>1282.3800000000001</v>
      </c>
      <c r="CF36" s="27">
        <v>0</v>
      </c>
      <c r="CG36" s="27">
        <v>0</v>
      </c>
      <c r="CH36" s="28">
        <v>0</v>
      </c>
      <c r="CI36" s="29">
        <v>6</v>
      </c>
      <c r="CJ36" s="30">
        <v>0</v>
      </c>
      <c r="CK36" s="30">
        <v>0</v>
      </c>
      <c r="CL36" s="31">
        <v>0</v>
      </c>
      <c r="CM36" s="29">
        <v>75</v>
      </c>
      <c r="CN36" s="30">
        <v>0</v>
      </c>
      <c r="CO36" s="30">
        <v>0</v>
      </c>
      <c r="CP36" s="31">
        <v>0</v>
      </c>
      <c r="CQ36" s="26">
        <v>213.73</v>
      </c>
      <c r="CR36" s="27">
        <v>0</v>
      </c>
      <c r="CS36" s="27">
        <v>0</v>
      </c>
      <c r="CT36" s="28">
        <v>0</v>
      </c>
      <c r="CU36" s="194">
        <f t="shared" si="39"/>
        <v>6</v>
      </c>
      <c r="CV36" s="195">
        <f t="shared" si="40"/>
        <v>0</v>
      </c>
      <c r="CW36" s="52">
        <f t="shared" si="41"/>
        <v>213.73</v>
      </c>
      <c r="CX36" s="57">
        <f t="shared" si="42"/>
        <v>0</v>
      </c>
      <c r="CY36" s="29"/>
      <c r="CZ36" s="91"/>
      <c r="DA36" s="29"/>
      <c r="DB36" s="31"/>
      <c r="DC36" s="29"/>
      <c r="DD36" s="91"/>
      <c r="DE36" s="29"/>
      <c r="DF36" s="31"/>
      <c r="DG36" s="190">
        <f t="shared" si="27"/>
        <v>213.73</v>
      </c>
      <c r="DH36" s="198">
        <f t="shared" si="28"/>
        <v>0</v>
      </c>
      <c r="DI36" s="26">
        <f t="shared" si="29"/>
        <v>1282.3799999999999</v>
      </c>
      <c r="DJ36" s="28">
        <f t="shared" si="30"/>
        <v>0</v>
      </c>
      <c r="DK36" s="59">
        <f t="shared" si="31"/>
        <v>6</v>
      </c>
      <c r="DL36" s="216">
        <f t="shared" si="32"/>
        <v>213.73</v>
      </c>
      <c r="DM36" s="213"/>
      <c r="DN36" s="213"/>
      <c r="DO36" s="213"/>
      <c r="DP36" s="213"/>
      <c r="DQ36" s="56">
        <f t="shared" si="33"/>
        <v>0</v>
      </c>
      <c r="DR36" s="66">
        <f>DQ36*DK36</f>
        <v>0</v>
      </c>
      <c r="DS36" s="26"/>
      <c r="DT36" s="27"/>
      <c r="DU36" s="28"/>
    </row>
    <row r="37" spans="1:125" ht="15" thickBot="1" x14ac:dyDescent="0.35">
      <c r="A37" s="136"/>
      <c r="B37" s="146"/>
      <c r="C37" s="137"/>
      <c r="D37" s="137"/>
      <c r="E37" s="137"/>
      <c r="F37" s="137"/>
      <c r="G37" s="138"/>
      <c r="H37" s="138"/>
      <c r="I37" s="139"/>
      <c r="J37" s="139"/>
      <c r="K37" s="140"/>
      <c r="L37" s="140"/>
      <c r="M37" s="140"/>
      <c r="N37" s="140"/>
      <c r="O37" s="141"/>
      <c r="P37" s="141"/>
      <c r="Q37" s="142"/>
      <c r="R37" s="142"/>
      <c r="S37" s="157">
        <f>SUM(S13,S16,S17,S18,S19,S20,S22,S23,S24,S25,S26,S27,S28,S29,S31,S33)</f>
        <v>5101</v>
      </c>
      <c r="T37" s="157">
        <f>SUM(T13,T25,T27,T30,T14)</f>
        <v>235</v>
      </c>
      <c r="U37" s="137"/>
      <c r="V37" s="137"/>
      <c r="W37" s="140"/>
      <c r="X37" s="137"/>
      <c r="Y37" s="137"/>
      <c r="Z37" s="140"/>
      <c r="AA37" s="143"/>
      <c r="AB37" s="143"/>
      <c r="AC37" s="143"/>
      <c r="AD37" s="143"/>
      <c r="AE37" s="137"/>
      <c r="AF37" s="137"/>
      <c r="AG37" s="160">
        <f>SUM(AG13:AG36)</f>
        <v>151659659.79310438</v>
      </c>
      <c r="AH37" s="161">
        <f>SUM(AH13:AH36)</f>
        <v>7311605.3616666673</v>
      </c>
      <c r="AI37" s="214">
        <f>SUM(AI13,AI17:AI19,AI21:AI24,AI26,AI28,AI31)</f>
        <v>4106</v>
      </c>
      <c r="AJ37" s="217"/>
      <c r="AK37" s="217"/>
      <c r="AL37" s="217"/>
      <c r="AM37" s="217"/>
      <c r="AN37" s="217"/>
      <c r="AO37" s="217"/>
      <c r="AP37" s="214">
        <f>SUM(AP13:AP36)</f>
        <v>40672726.409999996</v>
      </c>
      <c r="AQ37" s="137"/>
      <c r="AR37" s="137"/>
      <c r="AS37" s="137"/>
      <c r="AT37" s="137"/>
      <c r="AU37" s="140"/>
      <c r="AV37" s="140"/>
      <c r="AW37" s="140"/>
      <c r="AX37" s="140"/>
      <c r="AY37" s="140"/>
      <c r="AZ37" s="140"/>
      <c r="BA37" s="140"/>
      <c r="BB37" s="140"/>
      <c r="BC37" s="137"/>
      <c r="BD37" s="137"/>
      <c r="BE37" s="137"/>
      <c r="BF37" s="137"/>
      <c r="BG37" s="162">
        <f>SUM(BG13,BG15,BG16,BG17,BG18,BG20,BG21,BG22,BG24,BG25,BG26,BG27,BG28,BG29,BG31,BG33,BG35)</f>
        <v>4965</v>
      </c>
      <c r="BH37" s="163">
        <f>SUM(BH13,BH14,BH23,BH24,BH25,BH26,BH30,BH33)</f>
        <v>370</v>
      </c>
      <c r="BI37" s="137"/>
      <c r="BJ37" s="137"/>
      <c r="BK37" s="140"/>
      <c r="BL37" s="140"/>
      <c r="BM37" s="140"/>
      <c r="BN37" s="140"/>
      <c r="BO37" s="140"/>
      <c r="BP37" s="140"/>
      <c r="BQ37" s="140"/>
      <c r="BR37" s="140"/>
      <c r="BS37" s="137"/>
      <c r="BT37" s="137"/>
      <c r="BU37" s="162">
        <f>SUM(BU13:BU36)</f>
        <v>117649255.52944972</v>
      </c>
      <c r="BV37" s="163">
        <f>SUM(BV13:BV36)</f>
        <v>10982511.591454543</v>
      </c>
      <c r="BW37" s="214">
        <f>SUM(BW17:BW19,BW21:BW24,BW26,BW28,BW31,BW35)</f>
        <v>1392</v>
      </c>
      <c r="BX37" s="217"/>
      <c r="BY37" s="217"/>
      <c r="BZ37" s="217"/>
      <c r="CA37" s="217"/>
      <c r="CB37" s="217"/>
      <c r="CC37" s="217"/>
      <c r="CD37" s="214">
        <f>SUM(CD13:CD36)</f>
        <v>7523937.7000000002</v>
      </c>
      <c r="CE37" s="137"/>
      <c r="CF37" s="137"/>
      <c r="CG37" s="137"/>
      <c r="CH37" s="137"/>
      <c r="CI37" s="140"/>
      <c r="CJ37" s="140"/>
      <c r="CK37" s="140"/>
      <c r="CL37" s="140"/>
      <c r="CM37" s="140"/>
      <c r="CN37" s="140"/>
      <c r="CO37" s="140"/>
      <c r="CP37" s="140"/>
      <c r="CQ37" s="137"/>
      <c r="CR37" s="137"/>
      <c r="CS37" s="137"/>
      <c r="CT37" s="144"/>
      <c r="CU37" s="196">
        <f>SUM(CU16,CU17,CU18,CU19,CU20,CU21,CU22,CU23,CU24,CU26,CU27,CU28,CU29,CU30,CU31,CU32,CU35,CU36)</f>
        <v>2284</v>
      </c>
      <c r="CV37" s="197">
        <f>SUM(CV13,CV14,CV23,CV25,CV30,CV30,CV27,CV30)</f>
        <v>271</v>
      </c>
      <c r="CW37" s="137"/>
      <c r="CX37" s="137"/>
      <c r="CY37" s="140"/>
      <c r="CZ37" s="140"/>
      <c r="DA37" s="140"/>
      <c r="DB37" s="140"/>
      <c r="DC37" s="140"/>
      <c r="DD37" s="140"/>
      <c r="DE37" s="140"/>
      <c r="DF37" s="140"/>
      <c r="DG37" s="137"/>
      <c r="DH37" s="137"/>
      <c r="DI37" s="159">
        <f>SUM(DI13:DI36)</f>
        <v>133280195.85709086</v>
      </c>
      <c r="DJ37" s="207">
        <f>SUM(DJ13:DJ36)</f>
        <v>9325670.0859160498</v>
      </c>
      <c r="DK37" s="214">
        <f>SUM(DK17:DK19,DK21:DK24,DK26,DK28:DK32,DK35)</f>
        <v>1608</v>
      </c>
      <c r="DL37" s="217"/>
      <c r="DM37" s="217"/>
      <c r="DN37" s="217"/>
      <c r="DO37" s="217"/>
      <c r="DP37" s="217"/>
      <c r="DQ37" s="217"/>
      <c r="DR37" s="214">
        <f>SUM(DR13:DR36)</f>
        <v>9433311.7700000014</v>
      </c>
      <c r="DS37" s="147"/>
      <c r="DT37" s="222"/>
      <c r="DU37" s="222"/>
    </row>
    <row r="38" spans="1:125" s="46" customFormat="1" ht="43.8" thickBot="1" x14ac:dyDescent="0.35">
      <c r="A38" s="145"/>
      <c r="B38" s="146"/>
      <c r="C38" s="147"/>
      <c r="D38" s="147"/>
      <c r="E38" s="147"/>
      <c r="F38" s="147"/>
      <c r="G38" s="148"/>
      <c r="H38" s="148"/>
      <c r="I38" s="148"/>
      <c r="J38" s="148"/>
      <c r="K38" s="148"/>
      <c r="L38" s="148"/>
      <c r="M38" s="148"/>
      <c r="N38" s="148"/>
      <c r="O38" s="147"/>
      <c r="P38" s="147"/>
      <c r="Q38" s="147"/>
      <c r="R38" s="147"/>
      <c r="S38" s="158"/>
      <c r="T38" s="158"/>
      <c r="U38" s="147"/>
      <c r="V38" s="147"/>
      <c r="W38" s="148"/>
      <c r="X38" s="147"/>
      <c r="Y38" s="147"/>
      <c r="Z38" s="148"/>
      <c r="AA38" s="149"/>
      <c r="AB38" s="149"/>
      <c r="AC38" s="149"/>
      <c r="AD38" s="149"/>
      <c r="AE38" s="147"/>
      <c r="AF38" s="225" t="s">
        <v>77</v>
      </c>
      <c r="AG38" s="226">
        <f>AG37/S37</f>
        <v>29731.358516585842</v>
      </c>
      <c r="AH38" s="227">
        <f>AH37/T37</f>
        <v>31113.214304964542</v>
      </c>
      <c r="AI38" s="147"/>
      <c r="AJ38" s="147"/>
      <c r="AK38" s="147"/>
      <c r="AL38" s="147"/>
      <c r="AM38" s="147"/>
      <c r="AN38" s="147"/>
      <c r="AO38" s="147"/>
      <c r="AP38" s="225">
        <f>AP37/AI37</f>
        <v>9905.6810545543103</v>
      </c>
      <c r="AQ38" s="147"/>
      <c r="AR38" s="147"/>
      <c r="AS38" s="147"/>
      <c r="AT38" s="147"/>
      <c r="AU38" s="148"/>
      <c r="AV38" s="148"/>
      <c r="AW38" s="148"/>
      <c r="AX38" s="148"/>
      <c r="AY38" s="148"/>
      <c r="AZ38" s="148"/>
      <c r="BA38" s="148"/>
      <c r="BB38" s="148"/>
      <c r="BC38" s="147"/>
      <c r="BD38" s="147"/>
      <c r="BE38" s="147"/>
      <c r="BF38" s="147"/>
      <c r="BG38" s="147"/>
      <c r="BH38" s="147"/>
      <c r="BI38" s="147"/>
      <c r="BJ38" s="147"/>
      <c r="BK38" s="148"/>
      <c r="BL38" s="148"/>
      <c r="BM38" s="148"/>
      <c r="BN38" s="148"/>
      <c r="BO38" s="148"/>
      <c r="BP38" s="148"/>
      <c r="BQ38" s="148"/>
      <c r="BR38" s="148"/>
      <c r="BS38" s="147"/>
      <c r="BT38" s="225" t="s">
        <v>77</v>
      </c>
      <c r="BU38" s="226">
        <f>BU37/BG37</f>
        <v>23695.721153967716</v>
      </c>
      <c r="BV38" s="227">
        <f>BV37/BH37</f>
        <v>29682.463760687955</v>
      </c>
      <c r="BW38" s="147"/>
      <c r="BX38" s="147"/>
      <c r="BY38" s="147"/>
      <c r="BZ38" s="147"/>
      <c r="CA38" s="147"/>
      <c r="CB38" s="147"/>
      <c r="CC38" s="147"/>
      <c r="CD38" s="225">
        <f>CD37/BW37</f>
        <v>5405.1276580459771</v>
      </c>
      <c r="CE38" s="147"/>
      <c r="CF38" s="147"/>
      <c r="CG38" s="147"/>
      <c r="CH38" s="147"/>
      <c r="CI38" s="148"/>
      <c r="CJ38" s="148"/>
      <c r="CK38" s="148"/>
      <c r="CL38" s="148"/>
      <c r="CM38" s="148"/>
      <c r="CN38" s="148"/>
      <c r="CO38" s="148"/>
      <c r="CP38" s="148"/>
      <c r="CQ38" s="147"/>
      <c r="CR38" s="147"/>
      <c r="CS38" s="147"/>
      <c r="CT38" s="150"/>
      <c r="CU38" s="147"/>
      <c r="CV38" s="147"/>
      <c r="CW38" s="147"/>
      <c r="CX38" s="147"/>
      <c r="CY38" s="148"/>
      <c r="CZ38" s="148"/>
      <c r="DA38" s="148"/>
      <c r="DB38" s="148"/>
      <c r="DC38" s="148"/>
      <c r="DD38" s="148"/>
      <c r="DE38" s="148"/>
      <c r="DF38" s="148"/>
      <c r="DG38" s="147"/>
      <c r="DH38" s="225" t="s">
        <v>77</v>
      </c>
      <c r="DI38" s="226">
        <f>DI37/CU37</f>
        <v>58353.851075784092</v>
      </c>
      <c r="DJ38" s="226">
        <f>DJ37/CV37</f>
        <v>34412.066737697598</v>
      </c>
      <c r="DK38" s="147"/>
      <c r="DL38" s="147"/>
      <c r="DM38" s="147"/>
      <c r="DN38" s="147"/>
      <c r="DO38" s="147"/>
      <c r="DP38" s="147"/>
      <c r="DQ38" s="147"/>
      <c r="DR38" s="225">
        <f>DR37/DK37</f>
        <v>5866.4874191542294</v>
      </c>
      <c r="DS38" s="228">
        <f>(((AP38*115.5%*107.1%)+(CD38*107.1%)+DR38)/3)*103.9%*103.7%</f>
        <v>8586.7739783603683</v>
      </c>
      <c r="DT38" s="228">
        <f>(((AG38*115.5%*107.1%)+(BU38*107.1%)+DI38)/3)*103.9%*103.7%</f>
        <v>43280.816200468929</v>
      </c>
      <c r="DU38" s="228">
        <f>(((AH38*115.5%*107.1%)+(BV38*107.1%)+DJ38)/3)*103.9%*103.7%</f>
        <v>37598.877267420976</v>
      </c>
    </row>
    <row r="39" spans="1:125" ht="15" thickBot="1" x14ac:dyDescent="0.35">
      <c r="A39" s="656" t="s">
        <v>62</v>
      </c>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8"/>
      <c r="AF39" s="658"/>
      <c r="AG39" s="657"/>
      <c r="AH39" s="657"/>
      <c r="AI39" s="657"/>
      <c r="AJ39" s="657"/>
      <c r="AK39" s="657"/>
      <c r="AL39" s="657"/>
      <c r="AM39" s="657"/>
      <c r="AN39" s="657"/>
      <c r="AO39" s="657"/>
      <c r="AP39" s="657"/>
      <c r="AQ39" s="657"/>
      <c r="AR39" s="657"/>
      <c r="AS39" s="657"/>
      <c r="AT39" s="657"/>
      <c r="AU39" s="657"/>
      <c r="AV39" s="657"/>
      <c r="AW39" s="657"/>
      <c r="AX39" s="657"/>
      <c r="AY39" s="657"/>
      <c r="AZ39" s="657"/>
      <c r="BA39" s="657"/>
      <c r="BB39" s="657"/>
      <c r="BC39" s="657"/>
      <c r="BD39" s="657"/>
      <c r="BE39" s="657"/>
      <c r="BF39" s="657"/>
      <c r="BG39" s="657"/>
      <c r="BH39" s="657"/>
      <c r="BI39" s="657"/>
      <c r="BJ39" s="657"/>
      <c r="BK39" s="657"/>
      <c r="BL39" s="657"/>
      <c r="BM39" s="657"/>
      <c r="BN39" s="657"/>
      <c r="BO39" s="657"/>
      <c r="BP39" s="657"/>
      <c r="BQ39" s="657"/>
      <c r="BR39" s="657"/>
      <c r="BS39" s="658"/>
      <c r="BT39" s="658"/>
      <c r="BU39" s="657"/>
      <c r="BV39" s="657"/>
      <c r="BW39" s="657"/>
      <c r="BX39" s="657"/>
      <c r="BY39" s="657"/>
      <c r="BZ39" s="657"/>
      <c r="CA39" s="657"/>
      <c r="CB39" s="657"/>
      <c r="CC39" s="657"/>
      <c r="CD39" s="657"/>
      <c r="CE39" s="657"/>
      <c r="CF39" s="657"/>
      <c r="CG39" s="657"/>
      <c r="CH39" s="657"/>
      <c r="CI39" s="657"/>
      <c r="CJ39" s="657"/>
      <c r="CK39" s="657"/>
      <c r="CL39" s="657"/>
      <c r="CM39" s="657"/>
      <c r="CN39" s="657"/>
      <c r="CO39" s="657"/>
      <c r="CP39" s="657"/>
      <c r="CQ39" s="657"/>
      <c r="CR39" s="657"/>
      <c r="CS39" s="657"/>
      <c r="CT39" s="659"/>
      <c r="DJ39" s="44"/>
      <c r="DK39" s="36"/>
      <c r="DL39" s="36"/>
      <c r="DM39" s="36"/>
      <c r="DN39" s="36"/>
      <c r="DO39" s="36"/>
      <c r="DP39" s="36"/>
      <c r="DQ39" s="36"/>
      <c r="DR39" s="36"/>
      <c r="DS39" s="36"/>
    </row>
    <row r="40" spans="1:125" x14ac:dyDescent="0.3">
      <c r="A40" s="19" t="s">
        <v>3</v>
      </c>
      <c r="B40" s="236" t="s">
        <v>9</v>
      </c>
      <c r="C40" s="85">
        <v>40922981.950000003</v>
      </c>
      <c r="D40" s="86">
        <v>2607403.8199999998</v>
      </c>
      <c r="E40" s="86">
        <v>972252.27</v>
      </c>
      <c r="F40" s="87">
        <v>1458378.41</v>
      </c>
      <c r="G40" s="96">
        <v>2778</v>
      </c>
      <c r="H40" s="97">
        <v>177</v>
      </c>
      <c r="I40" s="103">
        <v>66</v>
      </c>
      <c r="J40" s="104">
        <v>99</v>
      </c>
      <c r="K40" s="69">
        <v>34096</v>
      </c>
      <c r="L40" s="70">
        <v>8059</v>
      </c>
      <c r="M40" s="70">
        <v>16027</v>
      </c>
      <c r="N40" s="71">
        <v>74749</v>
      </c>
      <c r="O40" s="110">
        <f t="shared" ref="O40:R41" si="48">C40/G40</f>
        <v>14731.095014398848</v>
      </c>
      <c r="P40" s="111">
        <f t="shared" si="48"/>
        <v>14731.095028248586</v>
      </c>
      <c r="Q40" s="108">
        <f t="shared" si="48"/>
        <v>14731.095000000001</v>
      </c>
      <c r="R40" s="122">
        <f t="shared" si="48"/>
        <v>14731.09505050505</v>
      </c>
      <c r="S40" s="134">
        <f>G40+H40</f>
        <v>2955</v>
      </c>
      <c r="T40" s="183">
        <f>I40+J40</f>
        <v>165</v>
      </c>
      <c r="U40" s="124">
        <f>O40+P40</f>
        <v>29462.190042647435</v>
      </c>
      <c r="V40" s="125">
        <f>Q40+R40</f>
        <v>29462.190050505051</v>
      </c>
      <c r="W40" s="85">
        <f>AVERAGE(U40:U58,U60)</f>
        <v>33869.175073870967</v>
      </c>
      <c r="X40" s="92">
        <f>AVERAGE(V40:V41,V46,V52,V54,V57)</f>
        <v>67641.439452861945</v>
      </c>
      <c r="Y40" s="85">
        <f>_xlfn.STDEV.S(U40:U58,U60)</f>
        <v>52110.304952117018</v>
      </c>
      <c r="Z40" s="87">
        <f>_xlfn.STDEV.S(V40:V41,V46,V52,V54,V57)</f>
        <v>75811.220377171965</v>
      </c>
      <c r="AA40" s="131">
        <f>W40-Y40</f>
        <v>-18241.129878246051</v>
      </c>
      <c r="AB40" s="130">
        <f>X40-Z40</f>
        <v>-8169.7809243100201</v>
      </c>
      <c r="AC40" s="131">
        <f>W40+Y40</f>
        <v>85979.480025987985</v>
      </c>
      <c r="AD40" s="130">
        <f>X40+Z40</f>
        <v>143452.6598300339</v>
      </c>
      <c r="AE40" s="188">
        <f>IF(AND(U40&gt;$AA$40,U40&lt;$AC$40),U40,0)</f>
        <v>29462.190042647435</v>
      </c>
      <c r="AF40" s="181">
        <f>IF(AND(V40&gt;$AB$40,V40&lt;$AD$40),V40,0)</f>
        <v>29462.190050505051</v>
      </c>
      <c r="AG40" s="88">
        <f>AE40*S40</f>
        <v>87060771.576023176</v>
      </c>
      <c r="AH40" s="87">
        <f>AF40*T40</f>
        <v>4861261.3583333334</v>
      </c>
      <c r="AI40" s="215">
        <f>G40</f>
        <v>2778</v>
      </c>
      <c r="AJ40" s="216">
        <f>O40</f>
        <v>14731.095014398848</v>
      </c>
      <c r="AK40" s="211">
        <f>AVERAGE(AJ40,AJ44:AJ51,AJ53:AJ58)</f>
        <v>6888.5952765091224</v>
      </c>
      <c r="AL40" s="211">
        <f>_xlfn.STDEV.S(AJ40,AJ44:AJ51,AJ53:AJ58)</f>
        <v>6015.8516524008901</v>
      </c>
      <c r="AM40" s="211">
        <f>AK40-AL40</f>
        <v>872.74362410823232</v>
      </c>
      <c r="AN40" s="211">
        <f>AK40+AL40</f>
        <v>12904.446928910013</v>
      </c>
      <c r="AO40" s="219">
        <f>IF(AND(AJ40&gt;$AM$40,AJ40&lt;$AN$40),AJ40,0)</f>
        <v>0</v>
      </c>
      <c r="AP40" s="79">
        <f>AO40*AI40</f>
        <v>0</v>
      </c>
      <c r="AQ40" s="85">
        <v>34465633.950000003</v>
      </c>
      <c r="AR40" s="86">
        <v>3573446.65</v>
      </c>
      <c r="AS40" s="86">
        <v>2136299.62</v>
      </c>
      <c r="AT40" s="87">
        <v>1566619.72</v>
      </c>
      <c r="AU40" s="203">
        <v>2662</v>
      </c>
      <c r="AV40" s="103">
        <v>276</v>
      </c>
      <c r="AW40" s="93">
        <v>165</v>
      </c>
      <c r="AX40" s="100">
        <v>121</v>
      </c>
      <c r="AY40" s="69">
        <v>31792</v>
      </c>
      <c r="AZ40" s="70">
        <v>13498</v>
      </c>
      <c r="BA40" s="70">
        <v>30316</v>
      </c>
      <c r="BB40" s="71">
        <v>84282</v>
      </c>
      <c r="BC40" s="110">
        <f t="shared" ref="BC40:BF41" si="49">AQ40/AU40</f>
        <v>12947.270454545456</v>
      </c>
      <c r="BD40" s="111">
        <f t="shared" si="49"/>
        <v>12947.270471014492</v>
      </c>
      <c r="BE40" s="116">
        <f t="shared" si="49"/>
        <v>12947.270424242424</v>
      </c>
      <c r="BF40" s="117">
        <f t="shared" si="49"/>
        <v>12947.270413223141</v>
      </c>
      <c r="BG40" s="199">
        <f>AU40+AV40</f>
        <v>2938</v>
      </c>
      <c r="BH40" s="183">
        <f>AW40+AX40</f>
        <v>286</v>
      </c>
      <c r="BI40" s="124">
        <f>BC40+BD40</f>
        <v>25894.540925559948</v>
      </c>
      <c r="BJ40" s="125">
        <f>BE40+BF40</f>
        <v>25894.540837465567</v>
      </c>
      <c r="BK40" s="85">
        <f>AVERAGE(BI40:BI58,BI60,BI62)</f>
        <v>29648.670189893357</v>
      </c>
      <c r="BL40" s="92">
        <f>AVERAGE(BJ40:BJ41,BJ46,BJ50:BJ54,BJ57,BJ60)</f>
        <v>66147.000083746563</v>
      </c>
      <c r="BM40" s="85">
        <f>_xlfn.STDEV.S(BI40:BI58,BI60,BI62)</f>
        <v>42871.10111287389</v>
      </c>
      <c r="BN40" s="87">
        <f>_xlfn.STDEV.S(BJ40:BJ41,BJ46,BJ50:BJ54,BJ57,BJ60)</f>
        <v>138642.17064137573</v>
      </c>
      <c r="BO40" s="131">
        <f>BK40-BM40</f>
        <v>-13222.430922980533</v>
      </c>
      <c r="BP40" s="130">
        <f>BL40-BN40</f>
        <v>-72495.170557629172</v>
      </c>
      <c r="BQ40" s="131">
        <f>BK40+BM40</f>
        <v>72519.771302767243</v>
      </c>
      <c r="BR40" s="130">
        <f>BL40+BN40</f>
        <v>204789.1707251223</v>
      </c>
      <c r="BS40" s="188">
        <f>IF(AND(BI40&gt;$BO$40,BI40&lt;$BQ$40),BI40,0)</f>
        <v>25894.540925559948</v>
      </c>
      <c r="BT40" s="181">
        <f>IF(AND(BJ40&gt;$BP$40,BJ40&lt;$BR$40),BJ40,0)</f>
        <v>25894.540837465567</v>
      </c>
      <c r="BU40" s="88">
        <f>BS40*BG40</f>
        <v>76078161.239295125</v>
      </c>
      <c r="BV40" s="87">
        <f>BT40*BH40</f>
        <v>7405838.6795151522</v>
      </c>
      <c r="BW40" s="215">
        <f>AU40</f>
        <v>2662</v>
      </c>
      <c r="BX40" s="216">
        <f>BC40</f>
        <v>12947.270454545456</v>
      </c>
      <c r="BY40" s="211">
        <f>AVERAGE(BX40,BX44:BX51,BX53:BX58,BX62)</f>
        <v>6761.5034942622869</v>
      </c>
      <c r="BZ40" s="211">
        <f>_xlfn.STDEV.S(BX40,BX44:BX51,BX53:BX58,BX62)</f>
        <v>6606.0315514190397</v>
      </c>
      <c r="CA40" s="211">
        <f>BY40-BZ40</f>
        <v>155.47194284324723</v>
      </c>
      <c r="CB40" s="211">
        <f>BY40+BZ40</f>
        <v>13367.535045681327</v>
      </c>
      <c r="CC40" s="219">
        <f>IF(AND(BX40&gt;$CA$40,BX40&lt;$CB$40),BX40,0)</f>
        <v>12947.270454545456</v>
      </c>
      <c r="CD40" s="79">
        <f>CC40*BW40</f>
        <v>34465633.950000003</v>
      </c>
      <c r="CE40" s="85">
        <v>34777913.380000003</v>
      </c>
      <c r="CF40" s="86">
        <v>2185497.29</v>
      </c>
      <c r="CG40" s="86">
        <v>1187770.27</v>
      </c>
      <c r="CH40" s="87">
        <v>962093.92</v>
      </c>
      <c r="CI40" s="69">
        <v>2928</v>
      </c>
      <c r="CJ40" s="70">
        <v>184</v>
      </c>
      <c r="CK40" s="70">
        <v>100</v>
      </c>
      <c r="CL40" s="71">
        <v>81</v>
      </c>
      <c r="CM40" s="69">
        <v>35262</v>
      </c>
      <c r="CN40" s="70">
        <v>7918</v>
      </c>
      <c r="CO40" s="70">
        <v>17968</v>
      </c>
      <c r="CP40" s="71">
        <v>56691</v>
      </c>
      <c r="CQ40" s="85">
        <f t="shared" ref="CQ40:CT41" si="50">CE40/CI40</f>
        <v>11877.702657103826</v>
      </c>
      <c r="CR40" s="86">
        <f t="shared" si="50"/>
        <v>11877.702663043479</v>
      </c>
      <c r="CS40" s="86">
        <f t="shared" si="50"/>
        <v>11877.7027</v>
      </c>
      <c r="CT40" s="87">
        <f t="shared" si="50"/>
        <v>11877.702716049384</v>
      </c>
      <c r="CU40" s="199">
        <f>CI40+CJ40</f>
        <v>3112</v>
      </c>
      <c r="CV40" s="183">
        <f>CK40+CL40</f>
        <v>181</v>
      </c>
      <c r="CW40" s="124">
        <f>CQ40+CR40</f>
        <v>23755.405320147307</v>
      </c>
      <c r="CX40" s="125">
        <f>CS40+CT40</f>
        <v>23755.405416049383</v>
      </c>
      <c r="CY40" s="85">
        <f>AVERAGE(CW40:CW60,CW62,CW63)</f>
        <v>32815.601536626411</v>
      </c>
      <c r="CZ40" s="92">
        <f>AVERAGE(CX40:CX41,CX46,CX50,CX52,CX54,CX57)</f>
        <v>88006.105357054665</v>
      </c>
      <c r="DA40" s="85">
        <f>_xlfn.STDEV.S(CW40:CW60,CW62:CW63)</f>
        <v>64992.544218925977</v>
      </c>
      <c r="DB40" s="87">
        <f>_xlfn.STDEV.S(CX40:CX41,CX46,CX50,CX52,CX54,CX57)</f>
        <v>145511.0767403116</v>
      </c>
      <c r="DC40" s="131">
        <f>CY40-DA40</f>
        <v>-32176.942682299567</v>
      </c>
      <c r="DD40" s="130">
        <f>CZ40-DB40</f>
        <v>-57504.97138325694</v>
      </c>
      <c r="DE40" s="131">
        <f>CY40+DA40</f>
        <v>97808.145755552396</v>
      </c>
      <c r="DF40" s="130">
        <f>CZ40+DB40</f>
        <v>233517.18209736625</v>
      </c>
      <c r="DG40" s="188">
        <f>IF(AND(CW40&gt;$DC$40,CW40&lt;$DE$40),CW40,0)</f>
        <v>23755.405320147307</v>
      </c>
      <c r="DH40" s="181">
        <f>IF(AND(CX40&gt;$DD$40,CX40&lt;$DF$40),CX40,0)</f>
        <v>23755.405416049383</v>
      </c>
      <c r="DI40" s="88">
        <f>DG40*CU40</f>
        <v>73926821.356298417</v>
      </c>
      <c r="DJ40" s="87">
        <f>DH40*CV40</f>
        <v>4299728.3803049382</v>
      </c>
      <c r="DK40" s="59">
        <f>CI40</f>
        <v>2928</v>
      </c>
      <c r="DL40" s="216">
        <f>CQ40</f>
        <v>11877.702657103826</v>
      </c>
      <c r="DM40" s="211">
        <f>AVERAGE(DL40,DL44:DL51,DL53:DL60,DL62:DL63)</f>
        <v>6070.7916777432911</v>
      </c>
      <c r="DN40" s="211">
        <f>_xlfn.STDEV.S(DL40,DL44:DL51,DL53:DL60,DL62:DL63)</f>
        <v>5988.9853190095846</v>
      </c>
      <c r="DO40" s="211">
        <f>DM40-DN40</f>
        <v>81.806358733706475</v>
      </c>
      <c r="DP40" s="211">
        <f>DM40+DN40</f>
        <v>12059.776996752877</v>
      </c>
      <c r="DQ40" s="56">
        <f>IF(AND(DL40&gt;$DO$40,DL40&lt;$DP$40),DL40,0)</f>
        <v>11877.702657103826</v>
      </c>
      <c r="DR40" s="79">
        <f>DQ40*DK40</f>
        <v>34777913.380000003</v>
      </c>
      <c r="DS40" s="211"/>
      <c r="DT40" s="85"/>
      <c r="DU40" s="87"/>
    </row>
    <row r="41" spans="1:125" x14ac:dyDescent="0.3">
      <c r="A41" s="20" t="s">
        <v>4</v>
      </c>
      <c r="B41" s="39" t="s">
        <v>10</v>
      </c>
      <c r="C41" s="78">
        <v>15925917.700000001</v>
      </c>
      <c r="D41" s="79">
        <v>9385454.5259199999</v>
      </c>
      <c r="E41" s="79">
        <v>2033974.8</v>
      </c>
      <c r="F41" s="80">
        <v>156459.6</v>
      </c>
      <c r="G41" s="98">
        <v>497</v>
      </c>
      <c r="H41" s="99">
        <v>244</v>
      </c>
      <c r="I41" s="105">
        <v>52</v>
      </c>
      <c r="J41" s="106">
        <v>4</v>
      </c>
      <c r="K41" s="75">
        <v>7066.2</v>
      </c>
      <c r="L41" s="76">
        <v>16149.9</v>
      </c>
      <c r="M41" s="76">
        <v>14647</v>
      </c>
      <c r="N41" s="77">
        <v>3224</v>
      </c>
      <c r="O41" s="112">
        <f t="shared" si="48"/>
        <v>32044.100000000002</v>
      </c>
      <c r="P41" s="113">
        <f t="shared" si="48"/>
        <v>38464.977565245899</v>
      </c>
      <c r="Q41" s="109">
        <f t="shared" si="48"/>
        <v>39114.9</v>
      </c>
      <c r="R41" s="123">
        <f t="shared" si="48"/>
        <v>39114.9</v>
      </c>
      <c r="S41" s="59">
        <f>G41+H41</f>
        <v>741</v>
      </c>
      <c r="T41" s="184">
        <f>I41+J41</f>
        <v>56</v>
      </c>
      <c r="U41" s="52">
        <f>O41+P41</f>
        <v>70509.077565245898</v>
      </c>
      <c r="V41" s="126">
        <f>Q41+R41</f>
        <v>78229.8</v>
      </c>
      <c r="W41" s="75"/>
      <c r="X41" s="66"/>
      <c r="Y41" s="78"/>
      <c r="Z41" s="77"/>
      <c r="AA41" s="49"/>
      <c r="AB41" s="9"/>
      <c r="AC41" s="49"/>
      <c r="AD41" s="9"/>
      <c r="AE41" s="55">
        <f t="shared" ref="AE41:AE63" si="51">IF(AND(U41&gt;$AA$40,U41&lt;$AC$40),U41,0)</f>
        <v>70509.077565245898</v>
      </c>
      <c r="AF41" s="182">
        <f t="shared" ref="AF41:AF63" si="52">IF(AND(V41&gt;$AB$40,V41&lt;$AD$40),V41,0)</f>
        <v>78229.8</v>
      </c>
      <c r="AG41" s="64">
        <f>AE41*S41</f>
        <v>52247226.475847207</v>
      </c>
      <c r="AH41" s="80">
        <f>AF41*T41</f>
        <v>4380868.8</v>
      </c>
      <c r="AI41" s="59">
        <f t="shared" ref="AI41:AI63" si="53">G41</f>
        <v>497</v>
      </c>
      <c r="AJ41" s="229">
        <f t="shared" ref="AJ41:AJ63" si="54">O41</f>
        <v>32044.100000000002</v>
      </c>
      <c r="AK41" s="212"/>
      <c r="AL41" s="212"/>
      <c r="AM41" s="212"/>
      <c r="AN41" s="212"/>
      <c r="AO41" s="79">
        <f t="shared" ref="AO41:AO63" si="55">IF(AND(AJ41&gt;$AM$40,AJ41&lt;$AN$40),AJ41,0)</f>
        <v>0</v>
      </c>
      <c r="AP41" s="79">
        <f t="shared" ref="AP41:AP62" si="56">AO41*AI41</f>
        <v>0</v>
      </c>
      <c r="AQ41" s="78">
        <v>20480118.999999996</v>
      </c>
      <c r="AR41" s="79">
        <v>8577667.9999999981</v>
      </c>
      <c r="AS41" s="79">
        <v>2259156.7999999993</v>
      </c>
      <c r="AT41" s="80">
        <v>255753.59999999995</v>
      </c>
      <c r="AU41" s="204">
        <v>589</v>
      </c>
      <c r="AV41" s="105">
        <v>247</v>
      </c>
      <c r="AW41" s="94">
        <v>53</v>
      </c>
      <c r="AX41" s="101">
        <v>6</v>
      </c>
      <c r="AY41" s="75">
        <v>8242</v>
      </c>
      <c r="AZ41" s="76">
        <v>16046.4</v>
      </c>
      <c r="BA41" s="76">
        <v>17373.400000000001</v>
      </c>
      <c r="BB41" s="77">
        <v>5442</v>
      </c>
      <c r="BC41" s="112">
        <f t="shared" si="49"/>
        <v>34770.999999999993</v>
      </c>
      <c r="BD41" s="113">
        <f t="shared" si="49"/>
        <v>34727.400809716593</v>
      </c>
      <c r="BE41" s="118">
        <f t="shared" si="49"/>
        <v>42625.599999999991</v>
      </c>
      <c r="BF41" s="119">
        <f t="shared" si="49"/>
        <v>42625.599999999991</v>
      </c>
      <c r="BG41" s="59">
        <f>AU41+AV41</f>
        <v>836</v>
      </c>
      <c r="BH41" s="184">
        <f>AW41+AX41</f>
        <v>59</v>
      </c>
      <c r="BI41" s="52">
        <f>BC41+BD41</f>
        <v>69498.400809716579</v>
      </c>
      <c r="BJ41" s="126">
        <f>BE41+BF41</f>
        <v>85251.199999999983</v>
      </c>
      <c r="BK41" s="75"/>
      <c r="BL41" s="66"/>
      <c r="BM41" s="78"/>
      <c r="BN41" s="77"/>
      <c r="BO41" s="49"/>
      <c r="BP41" s="9"/>
      <c r="BQ41" s="49"/>
      <c r="BR41" s="9"/>
      <c r="BS41" s="55">
        <f t="shared" ref="BS41:BS62" si="57">IF(AND(BI41&gt;$BO$40,BI41&lt;$BQ$40),BI41,0)</f>
        <v>69498.400809716579</v>
      </c>
      <c r="BT41" s="182">
        <f t="shared" ref="BT41:BT63" si="58">IF(AND(BJ41&gt;$BP$40,BJ41&lt;$BR$40),BJ41,0)</f>
        <v>85251.199999999983</v>
      </c>
      <c r="BU41" s="64">
        <f>BS41*BG41</f>
        <v>58100663.076923057</v>
      </c>
      <c r="BV41" s="80">
        <f>BT41*BH41</f>
        <v>5029820.7999999989</v>
      </c>
      <c r="BW41" s="59">
        <f t="shared" ref="BW41:BW63" si="59">AU41</f>
        <v>589</v>
      </c>
      <c r="BX41" s="229">
        <f t="shared" ref="BX41:BX55" si="60">BC41</f>
        <v>34770.999999999993</v>
      </c>
      <c r="BY41" s="212"/>
      <c r="BZ41" s="212"/>
      <c r="CA41" s="212"/>
      <c r="CB41" s="212"/>
      <c r="CC41" s="56">
        <f t="shared" ref="CC41:CC63" si="61">IF(AND(BX41&gt;$CA$40,BX41&lt;$CB$40),BX41,0)</f>
        <v>0</v>
      </c>
      <c r="CD41" s="79">
        <f t="shared" ref="CD41:CD62" si="62">CC41*BW41</f>
        <v>0</v>
      </c>
      <c r="CE41" s="78">
        <v>18953170.700000003</v>
      </c>
      <c r="CF41" s="79">
        <v>7022346.8000000007</v>
      </c>
      <c r="CG41" s="79">
        <v>2812825.6000000001</v>
      </c>
      <c r="CH41" s="80">
        <v>175801.60000000001</v>
      </c>
      <c r="CI41" s="75">
        <v>529</v>
      </c>
      <c r="CJ41" s="76">
        <v>196</v>
      </c>
      <c r="CK41" s="76">
        <v>64</v>
      </c>
      <c r="CL41" s="77">
        <v>4</v>
      </c>
      <c r="CM41" s="75">
        <v>7314.9</v>
      </c>
      <c r="CN41" s="76">
        <v>12206.3</v>
      </c>
      <c r="CO41" s="76">
        <v>20830</v>
      </c>
      <c r="CP41" s="77">
        <v>3130</v>
      </c>
      <c r="CQ41" s="52">
        <f t="shared" si="50"/>
        <v>35828.300000000003</v>
      </c>
      <c r="CR41" s="53">
        <f t="shared" si="50"/>
        <v>35828.300000000003</v>
      </c>
      <c r="CS41" s="53">
        <f t="shared" si="50"/>
        <v>43950.400000000001</v>
      </c>
      <c r="CT41" s="54">
        <f t="shared" si="50"/>
        <v>43950.400000000001</v>
      </c>
      <c r="CU41" s="59">
        <f>CI41+CJ41</f>
        <v>725</v>
      </c>
      <c r="CV41" s="184">
        <f>CK41+CL41</f>
        <v>68</v>
      </c>
      <c r="CW41" s="52">
        <f>CQ41+CR41</f>
        <v>71656.600000000006</v>
      </c>
      <c r="CX41" s="126">
        <f>CS41+CT41</f>
        <v>87900.800000000003</v>
      </c>
      <c r="CY41" s="75"/>
      <c r="CZ41" s="66"/>
      <c r="DA41" s="78"/>
      <c r="DB41" s="77"/>
      <c r="DC41" s="49"/>
      <c r="DD41" s="9"/>
      <c r="DE41" s="49"/>
      <c r="DF41" s="9"/>
      <c r="DG41" s="55">
        <f t="shared" ref="DG41:DG63" si="63">IF(AND(CW41&gt;$DC$40,CW41&lt;$DE$40),CW41,0)</f>
        <v>71656.600000000006</v>
      </c>
      <c r="DH41" s="182">
        <f t="shared" ref="DH41:DH63" si="64">IF(AND(CX41&gt;$DD$40,CX41&lt;$DF$40),CX41,0)</f>
        <v>87900.800000000003</v>
      </c>
      <c r="DI41" s="64">
        <f>DG41*CU41</f>
        <v>51951035.000000007</v>
      </c>
      <c r="DJ41" s="80">
        <f t="shared" ref="DJ41:DJ43" si="65">DH41*CV41</f>
        <v>5977254.4000000004</v>
      </c>
      <c r="DK41" s="59">
        <f t="shared" ref="DK41:DK63" si="66">CI41</f>
        <v>529</v>
      </c>
      <c r="DL41" s="229">
        <f t="shared" ref="DL41:DL55" si="67">CQ41</f>
        <v>35828.300000000003</v>
      </c>
      <c r="DM41" s="224"/>
      <c r="DN41" s="224"/>
      <c r="DO41" s="224"/>
      <c r="DP41" s="224"/>
      <c r="DQ41" s="56">
        <f t="shared" ref="DQ41:DQ63" si="68">IF(AND(DL41&gt;$DO$40,DL41&lt;$DP$40),DL41,0)</f>
        <v>0</v>
      </c>
      <c r="DR41" s="79">
        <f t="shared" ref="DR41:DR62" si="69">DQ41*DK41</f>
        <v>0</v>
      </c>
      <c r="DS41" s="212"/>
      <c r="DT41" s="78"/>
      <c r="DU41" s="80"/>
    </row>
    <row r="42" spans="1:125" ht="28.8" x14ac:dyDescent="0.3">
      <c r="A42" s="20" t="s">
        <v>5</v>
      </c>
      <c r="B42" s="83" t="s">
        <v>11</v>
      </c>
      <c r="C42" s="237">
        <v>2394544</v>
      </c>
      <c r="D42" s="237">
        <v>5649133</v>
      </c>
      <c r="E42" s="238"/>
      <c r="F42" s="239"/>
      <c r="G42" s="240">
        <v>356</v>
      </c>
      <c r="H42" s="240">
        <v>35</v>
      </c>
      <c r="I42" s="241"/>
      <c r="J42" s="242"/>
      <c r="K42" s="240">
        <v>4550</v>
      </c>
      <c r="L42" s="240">
        <v>2439</v>
      </c>
      <c r="M42" s="241"/>
      <c r="N42" s="242"/>
      <c r="O42" s="237">
        <v>67263</v>
      </c>
      <c r="P42" s="237">
        <v>161404</v>
      </c>
      <c r="Q42" s="238"/>
      <c r="R42" s="239"/>
      <c r="S42" s="59">
        <f t="shared" ref="S42:S63" si="70">G42+H42</f>
        <v>391</v>
      </c>
      <c r="T42" s="128">
        <f t="shared" ref="T42:T63" si="71">I42+J42</f>
        <v>0</v>
      </c>
      <c r="U42" s="52">
        <f t="shared" ref="U42:U63" si="72">O42+P42</f>
        <v>228667</v>
      </c>
      <c r="V42" s="57">
        <f t="shared" ref="V42:V63" si="73">Q42+R42</f>
        <v>0</v>
      </c>
      <c r="W42" s="75"/>
      <c r="X42" s="66"/>
      <c r="Y42" s="78"/>
      <c r="Z42" s="77"/>
      <c r="AA42" s="49"/>
      <c r="AB42" s="9"/>
      <c r="AC42" s="49"/>
      <c r="AD42" s="9"/>
      <c r="AE42" s="55">
        <f t="shared" si="51"/>
        <v>0</v>
      </c>
      <c r="AF42" s="57">
        <f t="shared" si="52"/>
        <v>0</v>
      </c>
      <c r="AG42" s="64">
        <f t="shared" ref="AG42:AG63" si="74">AE42*S42</f>
        <v>0</v>
      </c>
      <c r="AH42" s="80">
        <f t="shared" ref="AH42:AH63" si="75">AF42*T42</f>
        <v>0</v>
      </c>
      <c r="AI42" s="59">
        <f t="shared" si="53"/>
        <v>356</v>
      </c>
      <c r="AJ42" s="56">
        <f t="shared" si="54"/>
        <v>67263</v>
      </c>
      <c r="AK42" s="212"/>
      <c r="AL42" s="212"/>
      <c r="AM42" s="212"/>
      <c r="AN42" s="212"/>
      <c r="AO42" s="79">
        <f t="shared" si="55"/>
        <v>0</v>
      </c>
      <c r="AP42" s="79">
        <f t="shared" si="56"/>
        <v>0</v>
      </c>
      <c r="AQ42" s="237">
        <v>15088003</v>
      </c>
      <c r="AR42" s="237">
        <v>369109</v>
      </c>
      <c r="AS42" s="238">
        <v>84328</v>
      </c>
      <c r="AT42" s="239"/>
      <c r="AU42" s="240">
        <v>402</v>
      </c>
      <c r="AV42" s="240">
        <v>3</v>
      </c>
      <c r="AW42" s="241">
        <v>1</v>
      </c>
      <c r="AX42" s="242"/>
      <c r="AY42" s="240">
        <v>7753</v>
      </c>
      <c r="AZ42" s="240">
        <v>208</v>
      </c>
      <c r="BA42" s="241">
        <v>225</v>
      </c>
      <c r="BB42" s="242"/>
      <c r="BC42" s="237">
        <v>37532</v>
      </c>
      <c r="BD42" s="237">
        <v>123036</v>
      </c>
      <c r="BE42" s="238">
        <v>84328</v>
      </c>
      <c r="BF42" s="239"/>
      <c r="BG42" s="200">
        <f t="shared" ref="BG42:BG63" si="76">AU42+AV42</f>
        <v>405</v>
      </c>
      <c r="BH42" s="128">
        <f t="shared" ref="BH42:BH63" si="77">AW42+AX42</f>
        <v>1</v>
      </c>
      <c r="BI42" s="52">
        <f t="shared" ref="BI42:BI63" si="78">BC42+BD42</f>
        <v>160568</v>
      </c>
      <c r="BJ42" s="57">
        <f t="shared" ref="BJ42:BJ63" si="79">BE42+BF42</f>
        <v>84328</v>
      </c>
      <c r="BK42" s="75"/>
      <c r="BL42" s="66"/>
      <c r="BM42" s="78"/>
      <c r="BN42" s="77"/>
      <c r="BO42" s="49"/>
      <c r="BP42" s="9"/>
      <c r="BQ42" s="49"/>
      <c r="BR42" s="9"/>
      <c r="BS42" s="189">
        <f t="shared" si="57"/>
        <v>0</v>
      </c>
      <c r="BT42" s="57">
        <f t="shared" si="58"/>
        <v>84328</v>
      </c>
      <c r="BU42" s="64">
        <f t="shared" ref="BU42:BU44" si="80">BS42*BG42</f>
        <v>0</v>
      </c>
      <c r="BV42" s="80">
        <f t="shared" ref="BV42:BV63" si="81">BT42*BH42</f>
        <v>84328</v>
      </c>
      <c r="BW42" s="59">
        <f t="shared" si="59"/>
        <v>402</v>
      </c>
      <c r="BX42" s="56">
        <f t="shared" si="60"/>
        <v>37532</v>
      </c>
      <c r="BY42" s="212"/>
      <c r="BZ42" s="212"/>
      <c r="CA42" s="212"/>
      <c r="CB42" s="212"/>
      <c r="CC42" s="56">
        <f t="shared" si="61"/>
        <v>0</v>
      </c>
      <c r="CD42" s="79">
        <f t="shared" si="62"/>
        <v>0</v>
      </c>
      <c r="CE42" s="237">
        <v>17524326</v>
      </c>
      <c r="CF42" s="237">
        <v>711564</v>
      </c>
      <c r="CG42" s="238"/>
      <c r="CH42" s="239"/>
      <c r="CI42" s="240">
        <v>256</v>
      </c>
      <c r="CJ42" s="240">
        <v>3</v>
      </c>
      <c r="CK42" s="241"/>
      <c r="CL42" s="242"/>
      <c r="CM42" s="240">
        <v>216</v>
      </c>
      <c r="CN42" s="240">
        <v>3840</v>
      </c>
      <c r="CO42" s="241"/>
      <c r="CP42" s="242"/>
      <c r="CQ42" s="237">
        <v>68454</v>
      </c>
      <c r="CR42" s="237">
        <f>CF42/CJ42</f>
        <v>237188</v>
      </c>
      <c r="CS42" s="238"/>
      <c r="CT42" s="239"/>
      <c r="CU42" s="59">
        <f t="shared" ref="CU42:CU63" si="82">CI42+CJ42</f>
        <v>259</v>
      </c>
      <c r="CV42" s="128">
        <f t="shared" ref="CV42:CV63" si="83">CK42+CL42</f>
        <v>0</v>
      </c>
      <c r="CW42" s="52">
        <f t="shared" ref="CW42:CW63" si="84">CQ42+CR42</f>
        <v>305642</v>
      </c>
      <c r="CX42" s="57">
        <f t="shared" ref="CX42:CX63" si="85">CS42+CT42</f>
        <v>0</v>
      </c>
      <c r="CY42" s="75"/>
      <c r="CZ42" s="66"/>
      <c r="DA42" s="78"/>
      <c r="DB42" s="77"/>
      <c r="DC42" s="49"/>
      <c r="DD42" s="9"/>
      <c r="DE42" s="49"/>
      <c r="DF42" s="9"/>
      <c r="DG42" s="55">
        <f t="shared" si="63"/>
        <v>0</v>
      </c>
      <c r="DH42" s="57">
        <f t="shared" si="64"/>
        <v>0</v>
      </c>
      <c r="DI42" s="64">
        <f t="shared" ref="DI42:DI44" si="86">DG42*CU42</f>
        <v>0</v>
      </c>
      <c r="DJ42" s="80">
        <f t="shared" si="65"/>
        <v>0</v>
      </c>
      <c r="DK42" s="59">
        <f t="shared" si="66"/>
        <v>256</v>
      </c>
      <c r="DL42" s="56">
        <f t="shared" si="67"/>
        <v>68454</v>
      </c>
      <c r="DM42" s="224"/>
      <c r="DN42" s="224"/>
      <c r="DO42" s="224"/>
      <c r="DP42" s="224"/>
      <c r="DQ42" s="56">
        <f t="shared" si="68"/>
        <v>0</v>
      </c>
      <c r="DR42" s="79">
        <f t="shared" si="69"/>
        <v>0</v>
      </c>
      <c r="DS42" s="212"/>
      <c r="DT42" s="78"/>
      <c r="DU42" s="80"/>
    </row>
    <row r="43" spans="1:125" s="46" customFormat="1" ht="15" thickBot="1" x14ac:dyDescent="0.35">
      <c r="A43" s="45" t="s">
        <v>6</v>
      </c>
      <c r="B43" s="74" t="s">
        <v>12</v>
      </c>
      <c r="C43" s="237">
        <v>5072643</v>
      </c>
      <c r="D43" s="237">
        <v>3630673</v>
      </c>
      <c r="E43" s="238">
        <v>2025624</v>
      </c>
      <c r="F43" s="239"/>
      <c r="G43" s="240">
        <v>139</v>
      </c>
      <c r="H43" s="240">
        <v>98</v>
      </c>
      <c r="I43" s="241">
        <v>5</v>
      </c>
      <c r="J43" s="242"/>
      <c r="K43" s="240">
        <v>1703.54</v>
      </c>
      <c r="L43" s="240">
        <v>2897.67</v>
      </c>
      <c r="M43" s="241">
        <v>1884</v>
      </c>
      <c r="N43" s="242"/>
      <c r="O43" s="237">
        <v>36493.83</v>
      </c>
      <c r="P43" s="237">
        <v>37047.69</v>
      </c>
      <c r="Q43" s="238">
        <v>405124.76</v>
      </c>
      <c r="R43" s="239"/>
      <c r="S43" s="200">
        <f t="shared" si="70"/>
        <v>237</v>
      </c>
      <c r="T43" s="128">
        <f t="shared" si="71"/>
        <v>5</v>
      </c>
      <c r="U43" s="52">
        <f t="shared" si="72"/>
        <v>73541.52</v>
      </c>
      <c r="V43" s="57">
        <f t="shared" si="73"/>
        <v>405124.76</v>
      </c>
      <c r="W43" s="58"/>
      <c r="X43" s="66"/>
      <c r="Y43" s="78"/>
      <c r="Z43" s="60"/>
      <c r="AA43" s="5"/>
      <c r="AB43" s="65"/>
      <c r="AC43" s="5"/>
      <c r="AD43" s="65"/>
      <c r="AE43" s="189">
        <f t="shared" si="51"/>
        <v>73541.52</v>
      </c>
      <c r="AF43" s="57">
        <f t="shared" si="52"/>
        <v>0</v>
      </c>
      <c r="AG43" s="64">
        <f t="shared" si="74"/>
        <v>17429340.240000002</v>
      </c>
      <c r="AH43" s="80">
        <f t="shared" si="75"/>
        <v>0</v>
      </c>
      <c r="AI43" s="59">
        <f t="shared" si="53"/>
        <v>139</v>
      </c>
      <c r="AJ43" s="56">
        <f t="shared" si="54"/>
        <v>36493.83</v>
      </c>
      <c r="AK43" s="212"/>
      <c r="AL43" s="212"/>
      <c r="AM43" s="212"/>
      <c r="AN43" s="212"/>
      <c r="AO43" s="79">
        <f t="shared" si="55"/>
        <v>0</v>
      </c>
      <c r="AP43" s="79">
        <f t="shared" si="56"/>
        <v>0</v>
      </c>
      <c r="AQ43" s="237">
        <v>8178327</v>
      </c>
      <c r="AR43" s="237">
        <v>3625119</v>
      </c>
      <c r="AS43" s="238">
        <v>312594</v>
      </c>
      <c r="AT43" s="239"/>
      <c r="AU43" s="240">
        <v>229</v>
      </c>
      <c r="AV43" s="240">
        <v>69</v>
      </c>
      <c r="AW43" s="241">
        <v>4</v>
      </c>
      <c r="AX43" s="242"/>
      <c r="AY43" s="240">
        <v>2552.6</v>
      </c>
      <c r="AZ43" s="240">
        <v>3132</v>
      </c>
      <c r="BA43" s="241">
        <v>564</v>
      </c>
      <c r="BB43" s="242"/>
      <c r="BC43" s="237">
        <v>35713.22</v>
      </c>
      <c r="BD43" s="237">
        <f>AR43/AV43</f>
        <v>52537.956521739128</v>
      </c>
      <c r="BE43" s="238">
        <v>78148.460000000006</v>
      </c>
      <c r="BF43" s="239"/>
      <c r="BG43" s="200">
        <f t="shared" si="76"/>
        <v>298</v>
      </c>
      <c r="BH43" s="128">
        <f t="shared" si="77"/>
        <v>4</v>
      </c>
      <c r="BI43" s="52">
        <f t="shared" si="78"/>
        <v>88251.176521739137</v>
      </c>
      <c r="BJ43" s="57">
        <f t="shared" si="79"/>
        <v>78148.460000000006</v>
      </c>
      <c r="BK43" s="58"/>
      <c r="BL43" s="66"/>
      <c r="BM43" s="78"/>
      <c r="BN43" s="60"/>
      <c r="BO43" s="5"/>
      <c r="BP43" s="65"/>
      <c r="BQ43" s="5"/>
      <c r="BR43" s="65"/>
      <c r="BS43" s="189">
        <f t="shared" si="57"/>
        <v>0</v>
      </c>
      <c r="BT43" s="57">
        <f t="shared" si="58"/>
        <v>78148.460000000006</v>
      </c>
      <c r="BU43" s="64">
        <f t="shared" si="80"/>
        <v>0</v>
      </c>
      <c r="BV43" s="80">
        <f t="shared" si="81"/>
        <v>312593.84000000003</v>
      </c>
      <c r="BW43" s="59">
        <f t="shared" si="59"/>
        <v>229</v>
      </c>
      <c r="BX43" s="56">
        <f t="shared" si="60"/>
        <v>35713.22</v>
      </c>
      <c r="BY43" s="212"/>
      <c r="BZ43" s="212"/>
      <c r="CA43" s="212"/>
      <c r="CB43" s="212"/>
      <c r="CC43" s="56">
        <f t="shared" si="61"/>
        <v>0</v>
      </c>
      <c r="CD43" s="79">
        <f t="shared" si="62"/>
        <v>0</v>
      </c>
      <c r="CE43" s="237">
        <v>7671719</v>
      </c>
      <c r="CF43" s="237">
        <v>3101638</v>
      </c>
      <c r="CG43" s="238">
        <v>1165203</v>
      </c>
      <c r="CH43" s="239"/>
      <c r="CI43" s="240">
        <v>245</v>
      </c>
      <c r="CJ43" s="240">
        <v>60</v>
      </c>
      <c r="CK43" s="241">
        <v>7</v>
      </c>
      <c r="CL43" s="242"/>
      <c r="CM43" s="240">
        <v>2511.09</v>
      </c>
      <c r="CN43" s="240">
        <v>2807</v>
      </c>
      <c r="CO43" s="241">
        <v>2315</v>
      </c>
      <c r="CP43" s="242"/>
      <c r="CQ43" s="237">
        <v>31313.14</v>
      </c>
      <c r="CR43" s="237">
        <f>CF43/CJ43</f>
        <v>51693.966666666667</v>
      </c>
      <c r="CS43" s="238">
        <v>166457.64000000001</v>
      </c>
      <c r="CT43" s="239"/>
      <c r="CU43" s="200">
        <f t="shared" si="82"/>
        <v>305</v>
      </c>
      <c r="CV43" s="128">
        <f t="shared" si="83"/>
        <v>7</v>
      </c>
      <c r="CW43" s="52">
        <f t="shared" si="84"/>
        <v>83007.106666666659</v>
      </c>
      <c r="CX43" s="57">
        <f t="shared" si="85"/>
        <v>166457.64000000001</v>
      </c>
      <c r="CY43" s="58"/>
      <c r="CZ43" s="66"/>
      <c r="DA43" s="78"/>
      <c r="DB43" s="60"/>
      <c r="DC43" s="5"/>
      <c r="DD43" s="65"/>
      <c r="DE43" s="5"/>
      <c r="DF43" s="65"/>
      <c r="DG43" s="189">
        <f t="shared" si="63"/>
        <v>83007.106666666659</v>
      </c>
      <c r="DH43" s="57">
        <f t="shared" si="64"/>
        <v>166457.64000000001</v>
      </c>
      <c r="DI43" s="64">
        <f t="shared" si="86"/>
        <v>25317167.533333331</v>
      </c>
      <c r="DJ43" s="80">
        <f t="shared" si="65"/>
        <v>1165203.48</v>
      </c>
      <c r="DK43" s="59">
        <f t="shared" si="66"/>
        <v>245</v>
      </c>
      <c r="DL43" s="56">
        <f t="shared" si="67"/>
        <v>31313.14</v>
      </c>
      <c r="DM43" s="224"/>
      <c r="DN43" s="224"/>
      <c r="DO43" s="224"/>
      <c r="DP43" s="224"/>
      <c r="DQ43" s="56">
        <f t="shared" si="68"/>
        <v>0</v>
      </c>
      <c r="DR43" s="79">
        <f t="shared" si="69"/>
        <v>0</v>
      </c>
      <c r="DS43" s="212"/>
      <c r="DT43" s="78"/>
      <c r="DU43" s="80"/>
    </row>
    <row r="44" spans="1:125" x14ac:dyDescent="0.3">
      <c r="A44" s="20" t="s">
        <v>7</v>
      </c>
      <c r="B44" s="235" t="s">
        <v>13</v>
      </c>
      <c r="C44" s="78">
        <v>271275</v>
      </c>
      <c r="D44" s="79"/>
      <c r="E44" s="79"/>
      <c r="F44" s="80"/>
      <c r="G44" s="98">
        <v>119</v>
      </c>
      <c r="H44" s="99"/>
      <c r="I44" s="105"/>
      <c r="J44" s="106"/>
      <c r="K44" s="75">
        <v>1201</v>
      </c>
      <c r="L44" s="76"/>
      <c r="M44" s="76"/>
      <c r="N44" s="77"/>
      <c r="O44" s="112">
        <f>C44/G44</f>
        <v>2279.6218487394958</v>
      </c>
      <c r="P44" s="113"/>
      <c r="Q44" s="109"/>
      <c r="R44" s="123"/>
      <c r="S44" s="200">
        <f t="shared" si="70"/>
        <v>119</v>
      </c>
      <c r="T44" s="128">
        <f t="shared" si="71"/>
        <v>0</v>
      </c>
      <c r="U44" s="52">
        <f t="shared" si="72"/>
        <v>2279.6218487394958</v>
      </c>
      <c r="V44" s="57">
        <f t="shared" si="73"/>
        <v>0</v>
      </c>
      <c r="W44" s="75"/>
      <c r="X44" s="66"/>
      <c r="Y44" s="78"/>
      <c r="Z44" s="77"/>
      <c r="AA44" s="49"/>
      <c r="AB44" s="9"/>
      <c r="AC44" s="49"/>
      <c r="AD44" s="9"/>
      <c r="AE44" s="189">
        <f t="shared" si="51"/>
        <v>2279.6218487394958</v>
      </c>
      <c r="AF44" s="57">
        <f t="shared" si="52"/>
        <v>0</v>
      </c>
      <c r="AG44" s="64">
        <f t="shared" si="74"/>
        <v>271275</v>
      </c>
      <c r="AH44" s="80">
        <f t="shared" si="75"/>
        <v>0</v>
      </c>
      <c r="AI44" s="215">
        <f t="shared" si="53"/>
        <v>119</v>
      </c>
      <c r="AJ44" s="216">
        <f t="shared" si="54"/>
        <v>2279.6218487394958</v>
      </c>
      <c r="AK44" s="212"/>
      <c r="AL44" s="212"/>
      <c r="AM44" s="212"/>
      <c r="AN44" s="212"/>
      <c r="AO44" s="219">
        <f t="shared" si="55"/>
        <v>2279.6218487394958</v>
      </c>
      <c r="AP44" s="79">
        <f t="shared" si="56"/>
        <v>271275</v>
      </c>
      <c r="AQ44" s="78">
        <v>67251</v>
      </c>
      <c r="AR44" s="79"/>
      <c r="AS44" s="79"/>
      <c r="AT44" s="80"/>
      <c r="AU44" s="204">
        <v>79</v>
      </c>
      <c r="AV44" s="105"/>
      <c r="AW44" s="94"/>
      <c r="AX44" s="101"/>
      <c r="AY44" s="75">
        <v>877.875</v>
      </c>
      <c r="AZ44" s="76"/>
      <c r="BA44" s="76"/>
      <c r="BB44" s="77"/>
      <c r="BC44" s="112">
        <f>AQ44/AU44</f>
        <v>851.27848101265818</v>
      </c>
      <c r="BD44" s="113"/>
      <c r="BE44" s="118"/>
      <c r="BF44" s="119"/>
      <c r="BG44" s="200">
        <f t="shared" si="76"/>
        <v>79</v>
      </c>
      <c r="BH44" s="128">
        <f t="shared" si="77"/>
        <v>0</v>
      </c>
      <c r="BI44" s="52">
        <f t="shared" si="78"/>
        <v>851.27848101265818</v>
      </c>
      <c r="BJ44" s="57">
        <f t="shared" si="79"/>
        <v>0</v>
      </c>
      <c r="BK44" s="75"/>
      <c r="BL44" s="66"/>
      <c r="BM44" s="78"/>
      <c r="BN44" s="77"/>
      <c r="BO44" s="49"/>
      <c r="BP44" s="9"/>
      <c r="BQ44" s="49"/>
      <c r="BR44" s="9"/>
      <c r="BS44" s="189">
        <f t="shared" si="57"/>
        <v>851.27848101265818</v>
      </c>
      <c r="BT44" s="57">
        <f t="shared" si="58"/>
        <v>0</v>
      </c>
      <c r="BU44" s="64">
        <f t="shared" si="80"/>
        <v>67251</v>
      </c>
      <c r="BV44" s="80">
        <f t="shared" si="81"/>
        <v>0</v>
      </c>
      <c r="BW44" s="215">
        <f t="shared" si="59"/>
        <v>79</v>
      </c>
      <c r="BX44" s="216">
        <f t="shared" si="60"/>
        <v>851.27848101265818</v>
      </c>
      <c r="BY44" s="212"/>
      <c r="BZ44" s="212"/>
      <c r="CA44" s="212"/>
      <c r="CB44" s="212"/>
      <c r="CC44" s="219">
        <f t="shared" si="61"/>
        <v>851.27848101265818</v>
      </c>
      <c r="CD44" s="79">
        <f t="shared" si="62"/>
        <v>67251</v>
      </c>
      <c r="CE44" s="78">
        <v>62778</v>
      </c>
      <c r="CF44" s="79"/>
      <c r="CG44" s="79"/>
      <c r="CH44" s="80"/>
      <c r="CI44" s="75">
        <v>107</v>
      </c>
      <c r="CJ44" s="76"/>
      <c r="CK44" s="76"/>
      <c r="CL44" s="77"/>
      <c r="CM44" s="75">
        <v>1134.06</v>
      </c>
      <c r="CN44" s="76"/>
      <c r="CO44" s="76"/>
      <c r="CP44" s="77"/>
      <c r="CQ44" s="78">
        <f>CE44/CI44</f>
        <v>586.71028037383178</v>
      </c>
      <c r="CR44" s="79"/>
      <c r="CS44" s="79"/>
      <c r="CT44" s="80"/>
      <c r="CU44" s="200">
        <f t="shared" si="82"/>
        <v>107</v>
      </c>
      <c r="CV44" s="128">
        <f t="shared" si="83"/>
        <v>0</v>
      </c>
      <c r="CW44" s="52">
        <f t="shared" si="84"/>
        <v>586.71028037383178</v>
      </c>
      <c r="CX44" s="57">
        <f t="shared" si="85"/>
        <v>0</v>
      </c>
      <c r="CY44" s="75"/>
      <c r="CZ44" s="66"/>
      <c r="DA44" s="78"/>
      <c r="DB44" s="77"/>
      <c r="DC44" s="49"/>
      <c r="DD44" s="9"/>
      <c r="DE44" s="49"/>
      <c r="DF44" s="9"/>
      <c r="DG44" s="189">
        <f t="shared" si="63"/>
        <v>586.71028037383178</v>
      </c>
      <c r="DH44" s="57">
        <f t="shared" si="64"/>
        <v>0</v>
      </c>
      <c r="DI44" s="64">
        <f t="shared" si="86"/>
        <v>62778</v>
      </c>
      <c r="DJ44" s="80">
        <f>DH44*CV44</f>
        <v>0</v>
      </c>
      <c r="DK44" s="215">
        <f t="shared" si="66"/>
        <v>107</v>
      </c>
      <c r="DL44" s="216">
        <f t="shared" si="67"/>
        <v>586.71028037383178</v>
      </c>
      <c r="DM44" s="224"/>
      <c r="DN44" s="224"/>
      <c r="DO44" s="224"/>
      <c r="DP44" s="224"/>
      <c r="DQ44" s="219">
        <f t="shared" si="68"/>
        <v>586.71028037383178</v>
      </c>
      <c r="DR44" s="79">
        <f t="shared" si="69"/>
        <v>62778</v>
      </c>
      <c r="DS44" s="212"/>
      <c r="DT44" s="78"/>
      <c r="DU44" s="80"/>
    </row>
    <row r="45" spans="1:125" x14ac:dyDescent="0.3">
      <c r="A45" s="20" t="s">
        <v>8</v>
      </c>
      <c r="B45" s="43" t="s">
        <v>14</v>
      </c>
      <c r="C45" s="78">
        <v>138865</v>
      </c>
      <c r="D45" s="79"/>
      <c r="E45" s="79"/>
      <c r="F45" s="80"/>
      <c r="G45" s="98">
        <v>50</v>
      </c>
      <c r="H45" s="99"/>
      <c r="I45" s="105"/>
      <c r="J45" s="106"/>
      <c r="K45" s="75">
        <v>1303.4680000000001</v>
      </c>
      <c r="L45" s="76"/>
      <c r="M45" s="76"/>
      <c r="N45" s="77"/>
      <c r="O45" s="112">
        <f>C45/G45</f>
        <v>2777.3</v>
      </c>
      <c r="P45" s="113"/>
      <c r="Q45" s="109"/>
      <c r="R45" s="123"/>
      <c r="S45" s="200">
        <f t="shared" si="70"/>
        <v>50</v>
      </c>
      <c r="T45" s="128">
        <f t="shared" si="71"/>
        <v>0</v>
      </c>
      <c r="U45" s="52">
        <f t="shared" si="72"/>
        <v>2777.3</v>
      </c>
      <c r="V45" s="57">
        <f t="shared" si="73"/>
        <v>0</v>
      </c>
      <c r="W45" s="75"/>
      <c r="X45" s="66"/>
      <c r="Y45" s="78"/>
      <c r="Z45" s="77"/>
      <c r="AA45" s="49"/>
      <c r="AB45" s="9"/>
      <c r="AC45" s="49"/>
      <c r="AD45" s="9"/>
      <c r="AE45" s="189">
        <f t="shared" si="51"/>
        <v>2777.3</v>
      </c>
      <c r="AF45" s="57">
        <f t="shared" si="52"/>
        <v>0</v>
      </c>
      <c r="AG45" s="64">
        <f>AE45*S45</f>
        <v>138865</v>
      </c>
      <c r="AH45" s="80">
        <f t="shared" si="75"/>
        <v>0</v>
      </c>
      <c r="AI45" s="215">
        <f t="shared" si="53"/>
        <v>50</v>
      </c>
      <c r="AJ45" s="216">
        <f t="shared" si="54"/>
        <v>2777.3</v>
      </c>
      <c r="AK45" s="212"/>
      <c r="AL45" s="212"/>
      <c r="AM45" s="212"/>
      <c r="AN45" s="212"/>
      <c r="AO45" s="219">
        <f t="shared" si="55"/>
        <v>2777.3</v>
      </c>
      <c r="AP45" s="79">
        <f t="shared" si="56"/>
        <v>138865</v>
      </c>
      <c r="AQ45" s="78">
        <v>110894</v>
      </c>
      <c r="AR45" s="79"/>
      <c r="AS45" s="79"/>
      <c r="AT45" s="80"/>
      <c r="AU45" s="204">
        <v>89</v>
      </c>
      <c r="AV45" s="105"/>
      <c r="AW45" s="94"/>
      <c r="AX45" s="101"/>
      <c r="AY45" s="75">
        <v>1243.425</v>
      </c>
      <c r="AZ45" s="76"/>
      <c r="BA45" s="76"/>
      <c r="BB45" s="77"/>
      <c r="BC45" s="112">
        <f>AQ45/AU45</f>
        <v>1246</v>
      </c>
      <c r="BD45" s="113"/>
      <c r="BE45" s="118"/>
      <c r="BF45" s="119"/>
      <c r="BG45" s="200">
        <f t="shared" si="76"/>
        <v>89</v>
      </c>
      <c r="BH45" s="128">
        <f t="shared" si="77"/>
        <v>0</v>
      </c>
      <c r="BI45" s="52">
        <f t="shared" si="78"/>
        <v>1246</v>
      </c>
      <c r="BJ45" s="57">
        <f t="shared" si="79"/>
        <v>0</v>
      </c>
      <c r="BK45" s="75"/>
      <c r="BL45" s="66"/>
      <c r="BM45" s="78"/>
      <c r="BN45" s="77"/>
      <c r="BO45" s="49"/>
      <c r="BP45" s="9"/>
      <c r="BQ45" s="49"/>
      <c r="BR45" s="9"/>
      <c r="BS45" s="189">
        <f t="shared" si="57"/>
        <v>1246</v>
      </c>
      <c r="BT45" s="57">
        <f t="shared" si="58"/>
        <v>0</v>
      </c>
      <c r="BU45" s="64">
        <f>BS45*BG45</f>
        <v>110894</v>
      </c>
      <c r="BV45" s="80">
        <f t="shared" si="81"/>
        <v>0</v>
      </c>
      <c r="BW45" s="215">
        <f t="shared" si="59"/>
        <v>89</v>
      </c>
      <c r="BX45" s="216">
        <f t="shared" si="60"/>
        <v>1246</v>
      </c>
      <c r="BY45" s="212"/>
      <c r="BZ45" s="212"/>
      <c r="CA45" s="212"/>
      <c r="CB45" s="212"/>
      <c r="CC45" s="219">
        <f t="shared" si="61"/>
        <v>1246</v>
      </c>
      <c r="CD45" s="79">
        <f t="shared" si="62"/>
        <v>110894</v>
      </c>
      <c r="CE45" s="78">
        <v>32593</v>
      </c>
      <c r="CF45" s="79"/>
      <c r="CG45" s="79"/>
      <c r="CH45" s="80"/>
      <c r="CI45" s="75">
        <v>50</v>
      </c>
      <c r="CJ45" s="76"/>
      <c r="CK45" s="76"/>
      <c r="CL45" s="77"/>
      <c r="CM45" s="75">
        <v>741.52499999999998</v>
      </c>
      <c r="CN45" s="76"/>
      <c r="CO45" s="76"/>
      <c r="CP45" s="77"/>
      <c r="CQ45" s="78">
        <f>CE45/CI45</f>
        <v>651.86</v>
      </c>
      <c r="CR45" s="79"/>
      <c r="CS45" s="79"/>
      <c r="CT45" s="80"/>
      <c r="CU45" s="200">
        <f t="shared" si="82"/>
        <v>50</v>
      </c>
      <c r="CV45" s="128">
        <f t="shared" si="83"/>
        <v>0</v>
      </c>
      <c r="CW45" s="52">
        <f t="shared" si="84"/>
        <v>651.86</v>
      </c>
      <c r="CX45" s="57">
        <f t="shared" si="85"/>
        <v>0</v>
      </c>
      <c r="CY45" s="75"/>
      <c r="CZ45" s="66"/>
      <c r="DA45" s="78"/>
      <c r="DB45" s="77"/>
      <c r="DC45" s="49"/>
      <c r="DD45" s="9"/>
      <c r="DE45" s="49"/>
      <c r="DF45" s="9"/>
      <c r="DG45" s="189">
        <f t="shared" si="63"/>
        <v>651.86</v>
      </c>
      <c r="DH45" s="57">
        <f t="shared" si="64"/>
        <v>0</v>
      </c>
      <c r="DI45" s="64">
        <f>DG45*CU45</f>
        <v>32593</v>
      </c>
      <c r="DJ45" s="80">
        <f t="shared" ref="DJ45:DJ51" si="87">DH45*CV45</f>
        <v>0</v>
      </c>
      <c r="DK45" s="215">
        <f t="shared" si="66"/>
        <v>50</v>
      </c>
      <c r="DL45" s="216">
        <f t="shared" si="67"/>
        <v>651.86</v>
      </c>
      <c r="DM45" s="224"/>
      <c r="DN45" s="224"/>
      <c r="DO45" s="224"/>
      <c r="DP45" s="224"/>
      <c r="DQ45" s="219">
        <f t="shared" si="68"/>
        <v>651.86</v>
      </c>
      <c r="DR45" s="79">
        <f t="shared" si="69"/>
        <v>32593</v>
      </c>
      <c r="DS45" s="212"/>
      <c r="DT45" s="78"/>
      <c r="DU45" s="80"/>
    </row>
    <row r="46" spans="1:125" x14ac:dyDescent="0.3">
      <c r="A46" s="20" t="s">
        <v>44</v>
      </c>
      <c r="B46" s="73" t="s">
        <v>15</v>
      </c>
      <c r="C46" s="237">
        <v>3409561.42</v>
      </c>
      <c r="D46" s="238">
        <v>2632650.64</v>
      </c>
      <c r="E46" s="238">
        <v>3668691.94</v>
      </c>
      <c r="F46" s="239">
        <v>0</v>
      </c>
      <c r="G46" s="240">
        <v>525</v>
      </c>
      <c r="H46" s="241">
        <v>116</v>
      </c>
      <c r="I46" s="241">
        <v>17</v>
      </c>
      <c r="J46" s="242">
        <v>0</v>
      </c>
      <c r="K46" s="240">
        <v>7092</v>
      </c>
      <c r="L46" s="241">
        <v>5476</v>
      </c>
      <c r="M46" s="241">
        <v>7631</v>
      </c>
      <c r="N46" s="242">
        <v>0</v>
      </c>
      <c r="O46" s="237">
        <v>6494</v>
      </c>
      <c r="P46" s="238">
        <v>22695.26</v>
      </c>
      <c r="Q46" s="238">
        <v>215805.41</v>
      </c>
      <c r="R46" s="239">
        <v>0</v>
      </c>
      <c r="S46" s="59">
        <f t="shared" si="70"/>
        <v>641</v>
      </c>
      <c r="T46" s="128">
        <f t="shared" si="71"/>
        <v>17</v>
      </c>
      <c r="U46" s="52">
        <f t="shared" si="72"/>
        <v>29189.26</v>
      </c>
      <c r="V46" s="126">
        <f t="shared" si="73"/>
        <v>215805.41</v>
      </c>
      <c r="W46" s="75"/>
      <c r="X46" s="66"/>
      <c r="Y46" s="78"/>
      <c r="Z46" s="77"/>
      <c r="AA46" s="49"/>
      <c r="AB46" s="9"/>
      <c r="AC46" s="49"/>
      <c r="AD46" s="9"/>
      <c r="AE46" s="55">
        <f t="shared" si="51"/>
        <v>29189.26</v>
      </c>
      <c r="AF46" s="57">
        <f t="shared" si="52"/>
        <v>0</v>
      </c>
      <c r="AG46" s="64">
        <f t="shared" si="74"/>
        <v>18710315.66</v>
      </c>
      <c r="AH46" s="80">
        <f t="shared" si="75"/>
        <v>0</v>
      </c>
      <c r="AI46" s="59">
        <f t="shared" si="53"/>
        <v>525</v>
      </c>
      <c r="AJ46" s="216">
        <f t="shared" si="54"/>
        <v>6494</v>
      </c>
      <c r="AK46" s="212"/>
      <c r="AL46" s="212"/>
      <c r="AM46" s="212"/>
      <c r="AN46" s="212"/>
      <c r="AO46" s="56">
        <f t="shared" si="55"/>
        <v>6494</v>
      </c>
      <c r="AP46" s="79">
        <f t="shared" si="56"/>
        <v>3409350</v>
      </c>
      <c r="AQ46" s="78">
        <v>10953946.289999999</v>
      </c>
      <c r="AR46" s="79">
        <v>10281400.24</v>
      </c>
      <c r="AS46" s="79">
        <v>7274116.4800000004</v>
      </c>
      <c r="AT46" s="80">
        <v>0</v>
      </c>
      <c r="AU46" s="204">
        <v>531</v>
      </c>
      <c r="AV46" s="105">
        <v>112</v>
      </c>
      <c r="AW46" s="94">
        <v>16</v>
      </c>
      <c r="AX46" s="101">
        <v>0</v>
      </c>
      <c r="AY46" s="75">
        <v>7427</v>
      </c>
      <c r="AZ46" s="76">
        <v>6971</v>
      </c>
      <c r="BA46" s="76">
        <v>4932</v>
      </c>
      <c r="BB46" s="77">
        <v>0</v>
      </c>
      <c r="BC46" s="112">
        <v>20628.900000000001</v>
      </c>
      <c r="BD46" s="113">
        <v>91798.22</v>
      </c>
      <c r="BE46" s="118">
        <v>454632.28</v>
      </c>
      <c r="BF46" s="119">
        <v>0</v>
      </c>
      <c r="BG46" s="59">
        <f t="shared" si="76"/>
        <v>643</v>
      </c>
      <c r="BH46" s="128">
        <f t="shared" si="77"/>
        <v>16</v>
      </c>
      <c r="BI46" s="52">
        <f t="shared" si="78"/>
        <v>112427.12</v>
      </c>
      <c r="BJ46" s="126">
        <f t="shared" si="79"/>
        <v>454632.28</v>
      </c>
      <c r="BK46" s="75"/>
      <c r="BL46" s="66"/>
      <c r="BM46" s="78"/>
      <c r="BN46" s="77"/>
      <c r="BO46" s="49"/>
      <c r="BP46" s="9"/>
      <c r="BQ46" s="49"/>
      <c r="BR46" s="9"/>
      <c r="BS46" s="55">
        <f t="shared" si="57"/>
        <v>0</v>
      </c>
      <c r="BT46" s="57">
        <f t="shared" si="58"/>
        <v>0</v>
      </c>
      <c r="BU46" s="64">
        <f t="shared" ref="BU46:BU63" si="88">BS46*BG46</f>
        <v>0</v>
      </c>
      <c r="BV46" s="80">
        <f t="shared" si="81"/>
        <v>0</v>
      </c>
      <c r="BW46" s="59">
        <f t="shared" si="59"/>
        <v>531</v>
      </c>
      <c r="BX46" s="216">
        <f t="shared" si="60"/>
        <v>20628.900000000001</v>
      </c>
      <c r="BY46" s="212"/>
      <c r="BZ46" s="212"/>
      <c r="CA46" s="212"/>
      <c r="CB46" s="212"/>
      <c r="CC46" s="56">
        <f t="shared" si="61"/>
        <v>0</v>
      </c>
      <c r="CD46" s="79">
        <f t="shared" si="62"/>
        <v>0</v>
      </c>
      <c r="CE46" s="78">
        <v>11115067</v>
      </c>
      <c r="CF46" s="79">
        <v>8623356.9100000001</v>
      </c>
      <c r="CG46" s="79">
        <v>8261986.0899999999</v>
      </c>
      <c r="CH46" s="80">
        <v>0</v>
      </c>
      <c r="CI46" s="75">
        <v>523</v>
      </c>
      <c r="CJ46" s="76">
        <v>131</v>
      </c>
      <c r="CK46" s="76">
        <v>20</v>
      </c>
      <c r="CL46" s="77">
        <v>0</v>
      </c>
      <c r="CM46" s="75">
        <v>7628</v>
      </c>
      <c r="CN46" s="76">
        <v>5918</v>
      </c>
      <c r="CO46" s="76">
        <v>5670</v>
      </c>
      <c r="CP46" s="77">
        <v>0</v>
      </c>
      <c r="CQ46" s="78">
        <v>21252.52</v>
      </c>
      <c r="CR46" s="79">
        <v>65827.149999999994</v>
      </c>
      <c r="CS46" s="79">
        <v>413099.3</v>
      </c>
      <c r="CT46" s="80">
        <v>0</v>
      </c>
      <c r="CU46" s="59">
        <f t="shared" si="82"/>
        <v>654</v>
      </c>
      <c r="CV46" s="128">
        <f t="shared" si="83"/>
        <v>20</v>
      </c>
      <c r="CW46" s="52">
        <f t="shared" si="84"/>
        <v>87079.67</v>
      </c>
      <c r="CX46" s="126">
        <f t="shared" si="85"/>
        <v>413099.3</v>
      </c>
      <c r="CY46" s="75"/>
      <c r="CZ46" s="66"/>
      <c r="DA46" s="78"/>
      <c r="DB46" s="77"/>
      <c r="DC46" s="49"/>
      <c r="DD46" s="9"/>
      <c r="DE46" s="49"/>
      <c r="DF46" s="9"/>
      <c r="DG46" s="55">
        <f t="shared" si="63"/>
        <v>87079.67</v>
      </c>
      <c r="DH46" s="57">
        <f t="shared" si="64"/>
        <v>0</v>
      </c>
      <c r="DI46" s="64">
        <f t="shared" ref="DI46:DI63" si="89">DG46*CU46</f>
        <v>56950104.18</v>
      </c>
      <c r="DJ46" s="80">
        <f t="shared" si="87"/>
        <v>0</v>
      </c>
      <c r="DK46" s="59">
        <f t="shared" si="66"/>
        <v>523</v>
      </c>
      <c r="DL46" s="216">
        <f t="shared" si="67"/>
        <v>21252.52</v>
      </c>
      <c r="DM46" s="224"/>
      <c r="DN46" s="224"/>
      <c r="DO46" s="224"/>
      <c r="DP46" s="224"/>
      <c r="DQ46" s="56">
        <f t="shared" si="68"/>
        <v>0</v>
      </c>
      <c r="DR46" s="79">
        <f t="shared" si="69"/>
        <v>0</v>
      </c>
      <c r="DS46" s="212"/>
      <c r="DT46" s="78"/>
      <c r="DU46" s="80"/>
    </row>
    <row r="47" spans="1:125" x14ac:dyDescent="0.3">
      <c r="A47" s="20" t="s">
        <v>45</v>
      </c>
      <c r="B47" s="235" t="s">
        <v>16</v>
      </c>
      <c r="C47" s="78">
        <v>422794.74</v>
      </c>
      <c r="D47" s="79">
        <v>11365.68</v>
      </c>
      <c r="E47" s="79">
        <v>0</v>
      </c>
      <c r="F47" s="80">
        <v>0</v>
      </c>
      <c r="G47" s="98">
        <v>69</v>
      </c>
      <c r="H47" s="99">
        <v>1</v>
      </c>
      <c r="I47" s="105">
        <v>0</v>
      </c>
      <c r="J47" s="106">
        <v>0</v>
      </c>
      <c r="K47" s="75">
        <v>849</v>
      </c>
      <c r="L47" s="76">
        <v>18</v>
      </c>
      <c r="M47" s="76">
        <v>0</v>
      </c>
      <c r="N47" s="77">
        <v>0</v>
      </c>
      <c r="O47" s="112">
        <f>C47/G47</f>
        <v>6127.46</v>
      </c>
      <c r="P47" s="113">
        <f>D47/H47</f>
        <v>11365.68</v>
      </c>
      <c r="Q47" s="109">
        <v>0</v>
      </c>
      <c r="R47" s="123">
        <v>0</v>
      </c>
      <c r="S47" s="200">
        <f t="shared" si="70"/>
        <v>70</v>
      </c>
      <c r="T47" s="128">
        <f t="shared" si="71"/>
        <v>0</v>
      </c>
      <c r="U47" s="52">
        <f t="shared" si="72"/>
        <v>17493.14</v>
      </c>
      <c r="V47" s="57">
        <f t="shared" si="73"/>
        <v>0</v>
      </c>
      <c r="W47" s="75"/>
      <c r="X47" s="66"/>
      <c r="Y47" s="78"/>
      <c r="Z47" s="77"/>
      <c r="AA47" s="49"/>
      <c r="AB47" s="9"/>
      <c r="AC47" s="49"/>
      <c r="AD47" s="9"/>
      <c r="AE47" s="189">
        <f t="shared" si="51"/>
        <v>17493.14</v>
      </c>
      <c r="AF47" s="57">
        <f t="shared" si="52"/>
        <v>0</v>
      </c>
      <c r="AG47" s="64">
        <f t="shared" si="74"/>
        <v>1224519.8</v>
      </c>
      <c r="AH47" s="80">
        <f t="shared" si="75"/>
        <v>0</v>
      </c>
      <c r="AI47" s="215">
        <f t="shared" si="53"/>
        <v>69</v>
      </c>
      <c r="AJ47" s="216">
        <f t="shared" si="54"/>
        <v>6127.46</v>
      </c>
      <c r="AK47" s="212"/>
      <c r="AL47" s="212"/>
      <c r="AM47" s="212"/>
      <c r="AN47" s="212"/>
      <c r="AO47" s="219">
        <f t="shared" si="55"/>
        <v>6127.46</v>
      </c>
      <c r="AP47" s="79">
        <f t="shared" si="56"/>
        <v>422794.74</v>
      </c>
      <c r="AQ47" s="78">
        <v>233546.4</v>
      </c>
      <c r="AR47" s="79">
        <v>18342.400000000001</v>
      </c>
      <c r="AS47" s="79">
        <v>0</v>
      </c>
      <c r="AT47" s="80">
        <v>0</v>
      </c>
      <c r="AU47" s="204">
        <v>60</v>
      </c>
      <c r="AV47" s="105">
        <v>4</v>
      </c>
      <c r="AW47" s="94">
        <v>0</v>
      </c>
      <c r="AX47" s="101">
        <v>0</v>
      </c>
      <c r="AY47" s="75">
        <v>840</v>
      </c>
      <c r="AZ47" s="76">
        <v>879</v>
      </c>
      <c r="BA47" s="76">
        <v>0</v>
      </c>
      <c r="BB47" s="77">
        <v>0</v>
      </c>
      <c r="BC47" s="112">
        <f>AQ47/AU47</f>
        <v>3892.44</v>
      </c>
      <c r="BD47" s="113">
        <f>AR47/AV47</f>
        <v>4585.6000000000004</v>
      </c>
      <c r="BE47" s="118">
        <v>0</v>
      </c>
      <c r="BF47" s="119">
        <v>0</v>
      </c>
      <c r="BG47" s="200">
        <f t="shared" si="76"/>
        <v>64</v>
      </c>
      <c r="BH47" s="128">
        <f t="shared" si="77"/>
        <v>0</v>
      </c>
      <c r="BI47" s="52">
        <f t="shared" si="78"/>
        <v>8478.0400000000009</v>
      </c>
      <c r="BJ47" s="57">
        <f t="shared" si="79"/>
        <v>0</v>
      </c>
      <c r="BK47" s="75"/>
      <c r="BL47" s="66"/>
      <c r="BM47" s="78"/>
      <c r="BN47" s="77"/>
      <c r="BO47" s="49"/>
      <c r="BP47" s="9"/>
      <c r="BQ47" s="49"/>
      <c r="BR47" s="9"/>
      <c r="BS47" s="189">
        <f t="shared" si="57"/>
        <v>8478.0400000000009</v>
      </c>
      <c r="BT47" s="57">
        <f t="shared" si="58"/>
        <v>0</v>
      </c>
      <c r="BU47" s="64">
        <f t="shared" si="88"/>
        <v>542594.56000000006</v>
      </c>
      <c r="BV47" s="80">
        <f t="shared" si="81"/>
        <v>0</v>
      </c>
      <c r="BW47" s="215">
        <f t="shared" si="59"/>
        <v>60</v>
      </c>
      <c r="BX47" s="216">
        <f t="shared" si="60"/>
        <v>3892.44</v>
      </c>
      <c r="BY47" s="212"/>
      <c r="BZ47" s="212"/>
      <c r="CA47" s="212"/>
      <c r="CB47" s="212"/>
      <c r="CC47" s="219">
        <f t="shared" si="61"/>
        <v>3892.44</v>
      </c>
      <c r="CD47" s="79">
        <f t="shared" si="62"/>
        <v>233546.4</v>
      </c>
      <c r="CE47" s="78">
        <v>415513.86</v>
      </c>
      <c r="CF47" s="79">
        <v>32547.25</v>
      </c>
      <c r="CG47" s="79">
        <v>0</v>
      </c>
      <c r="CH47" s="80">
        <v>0</v>
      </c>
      <c r="CI47" s="75">
        <v>69</v>
      </c>
      <c r="CJ47" s="76">
        <v>5</v>
      </c>
      <c r="CK47" s="76">
        <v>0</v>
      </c>
      <c r="CL47" s="77">
        <v>0</v>
      </c>
      <c r="CM47" s="75">
        <v>926.5</v>
      </c>
      <c r="CN47" s="76">
        <v>751</v>
      </c>
      <c r="CO47" s="76">
        <v>0</v>
      </c>
      <c r="CP47" s="77">
        <v>0</v>
      </c>
      <c r="CQ47" s="78">
        <f>CE47/CI47</f>
        <v>6021.94</v>
      </c>
      <c r="CR47" s="79">
        <f>CF47/CJ47</f>
        <v>6509.45</v>
      </c>
      <c r="CS47" s="79">
        <v>0</v>
      </c>
      <c r="CT47" s="80">
        <v>0</v>
      </c>
      <c r="CU47" s="200">
        <f t="shared" si="82"/>
        <v>74</v>
      </c>
      <c r="CV47" s="128">
        <f t="shared" si="83"/>
        <v>0</v>
      </c>
      <c r="CW47" s="52">
        <f t="shared" si="84"/>
        <v>12531.39</v>
      </c>
      <c r="CX47" s="57">
        <f t="shared" si="85"/>
        <v>0</v>
      </c>
      <c r="CY47" s="75"/>
      <c r="CZ47" s="66"/>
      <c r="DA47" s="78"/>
      <c r="DB47" s="77"/>
      <c r="DC47" s="49"/>
      <c r="DD47" s="9"/>
      <c r="DE47" s="49"/>
      <c r="DF47" s="9"/>
      <c r="DG47" s="189">
        <f t="shared" si="63"/>
        <v>12531.39</v>
      </c>
      <c r="DH47" s="57">
        <f t="shared" si="64"/>
        <v>0</v>
      </c>
      <c r="DI47" s="64">
        <f t="shared" si="89"/>
        <v>927322.86</v>
      </c>
      <c r="DJ47" s="80">
        <f t="shared" si="87"/>
        <v>0</v>
      </c>
      <c r="DK47" s="215">
        <f t="shared" si="66"/>
        <v>69</v>
      </c>
      <c r="DL47" s="216">
        <f t="shared" si="67"/>
        <v>6021.94</v>
      </c>
      <c r="DM47" s="224"/>
      <c r="DN47" s="224"/>
      <c r="DO47" s="224"/>
      <c r="DP47" s="224"/>
      <c r="DQ47" s="219">
        <f t="shared" si="68"/>
        <v>6021.94</v>
      </c>
      <c r="DR47" s="79">
        <f t="shared" si="69"/>
        <v>415513.86</v>
      </c>
      <c r="DS47" s="212"/>
      <c r="DT47" s="78"/>
      <c r="DU47" s="80"/>
    </row>
    <row r="48" spans="1:125" x14ac:dyDescent="0.3">
      <c r="A48" s="20" t="s">
        <v>46</v>
      </c>
      <c r="B48" s="235" t="s">
        <v>17</v>
      </c>
      <c r="C48" s="78">
        <v>75391.360000000001</v>
      </c>
      <c r="D48" s="79"/>
      <c r="E48" s="79"/>
      <c r="F48" s="80"/>
      <c r="G48" s="98">
        <v>22</v>
      </c>
      <c r="H48" s="99"/>
      <c r="I48" s="105"/>
      <c r="J48" s="106"/>
      <c r="K48" s="75">
        <v>169</v>
      </c>
      <c r="L48" s="76"/>
      <c r="M48" s="76"/>
      <c r="N48" s="77"/>
      <c r="O48" s="112">
        <f>C48/G48</f>
        <v>3426.88</v>
      </c>
      <c r="P48" s="113"/>
      <c r="Q48" s="109"/>
      <c r="R48" s="123"/>
      <c r="S48" s="200">
        <f t="shared" si="70"/>
        <v>22</v>
      </c>
      <c r="T48" s="128">
        <f t="shared" si="71"/>
        <v>0</v>
      </c>
      <c r="U48" s="52">
        <f t="shared" si="72"/>
        <v>3426.88</v>
      </c>
      <c r="V48" s="57">
        <f t="shared" si="73"/>
        <v>0</v>
      </c>
      <c r="W48" s="75"/>
      <c r="X48" s="66"/>
      <c r="Y48" s="78"/>
      <c r="Z48" s="77"/>
      <c r="AA48" s="49"/>
      <c r="AB48" s="9"/>
      <c r="AC48" s="49"/>
      <c r="AD48" s="9"/>
      <c r="AE48" s="189">
        <f t="shared" si="51"/>
        <v>3426.88</v>
      </c>
      <c r="AF48" s="57">
        <f t="shared" si="52"/>
        <v>0</v>
      </c>
      <c r="AG48" s="64">
        <f t="shared" si="74"/>
        <v>75391.360000000001</v>
      </c>
      <c r="AH48" s="80">
        <f t="shared" si="75"/>
        <v>0</v>
      </c>
      <c r="AI48" s="215">
        <f t="shared" si="53"/>
        <v>22</v>
      </c>
      <c r="AJ48" s="216">
        <f t="shared" si="54"/>
        <v>3426.88</v>
      </c>
      <c r="AK48" s="212"/>
      <c r="AL48" s="212"/>
      <c r="AM48" s="212"/>
      <c r="AN48" s="212"/>
      <c r="AO48" s="219">
        <f t="shared" si="55"/>
        <v>3426.88</v>
      </c>
      <c r="AP48" s="79">
        <f t="shared" si="56"/>
        <v>75391.360000000001</v>
      </c>
      <c r="AQ48" s="78">
        <v>74432.490000000005</v>
      </c>
      <c r="AR48" s="79"/>
      <c r="AS48" s="79">
        <v>1583.67</v>
      </c>
      <c r="AT48" s="80"/>
      <c r="AU48" s="204">
        <v>47</v>
      </c>
      <c r="AV48" s="105"/>
      <c r="AW48" s="94">
        <v>1</v>
      </c>
      <c r="AX48" s="101"/>
      <c r="AY48" s="75">
        <v>513.29999999999995</v>
      </c>
      <c r="AZ48" s="76"/>
      <c r="BA48" s="76">
        <v>500</v>
      </c>
      <c r="BB48" s="77"/>
      <c r="BC48" s="112">
        <f>AQ48/AU48</f>
        <v>1583.67</v>
      </c>
      <c r="BD48" s="113"/>
      <c r="BE48" s="118">
        <f>AS48/AW48</f>
        <v>1583.67</v>
      </c>
      <c r="BF48" s="119"/>
      <c r="BG48" s="200">
        <f t="shared" si="76"/>
        <v>47</v>
      </c>
      <c r="BH48" s="128">
        <f t="shared" si="77"/>
        <v>1</v>
      </c>
      <c r="BI48" s="52">
        <f t="shared" si="78"/>
        <v>1583.67</v>
      </c>
      <c r="BJ48" s="57">
        <f t="shared" si="79"/>
        <v>1583.67</v>
      </c>
      <c r="BK48" s="75"/>
      <c r="BL48" s="66"/>
      <c r="BM48" s="78"/>
      <c r="BN48" s="77"/>
      <c r="BO48" s="49"/>
      <c r="BP48" s="9"/>
      <c r="BQ48" s="49"/>
      <c r="BR48" s="9"/>
      <c r="BS48" s="189">
        <f t="shared" si="57"/>
        <v>1583.67</v>
      </c>
      <c r="BT48" s="57">
        <f t="shared" si="58"/>
        <v>1583.67</v>
      </c>
      <c r="BU48" s="64">
        <f t="shared" si="88"/>
        <v>74432.490000000005</v>
      </c>
      <c r="BV48" s="80">
        <f t="shared" si="81"/>
        <v>1583.67</v>
      </c>
      <c r="BW48" s="215">
        <f t="shared" si="59"/>
        <v>47</v>
      </c>
      <c r="BX48" s="216">
        <f t="shared" si="60"/>
        <v>1583.67</v>
      </c>
      <c r="BY48" s="212"/>
      <c r="BZ48" s="212"/>
      <c r="CA48" s="212"/>
      <c r="CB48" s="212"/>
      <c r="CC48" s="219">
        <f t="shared" si="61"/>
        <v>1583.67</v>
      </c>
      <c r="CD48" s="79">
        <f t="shared" si="62"/>
        <v>74432.490000000005</v>
      </c>
      <c r="CE48" s="78">
        <v>60256.35</v>
      </c>
      <c r="CF48" s="79"/>
      <c r="CG48" s="79"/>
      <c r="CH48" s="80"/>
      <c r="CI48" s="75">
        <v>35</v>
      </c>
      <c r="CJ48" s="76"/>
      <c r="CK48" s="76"/>
      <c r="CL48" s="77"/>
      <c r="CM48" s="75">
        <v>446</v>
      </c>
      <c r="CN48" s="76"/>
      <c r="CO48" s="76"/>
      <c r="CP48" s="77"/>
      <c r="CQ48" s="78">
        <f>CE48/CI48</f>
        <v>1721.61</v>
      </c>
      <c r="CR48" s="79"/>
      <c r="CS48" s="79"/>
      <c r="CT48" s="80"/>
      <c r="CU48" s="200">
        <f t="shared" si="82"/>
        <v>35</v>
      </c>
      <c r="CV48" s="128">
        <f t="shared" si="83"/>
        <v>0</v>
      </c>
      <c r="CW48" s="52">
        <f t="shared" si="84"/>
        <v>1721.61</v>
      </c>
      <c r="CX48" s="57">
        <f t="shared" si="85"/>
        <v>0</v>
      </c>
      <c r="CY48" s="75"/>
      <c r="CZ48" s="66"/>
      <c r="DA48" s="78"/>
      <c r="DB48" s="77"/>
      <c r="DC48" s="49"/>
      <c r="DD48" s="9"/>
      <c r="DE48" s="49"/>
      <c r="DF48" s="9"/>
      <c r="DG48" s="189">
        <f t="shared" si="63"/>
        <v>1721.61</v>
      </c>
      <c r="DH48" s="57">
        <f t="shared" si="64"/>
        <v>0</v>
      </c>
      <c r="DI48" s="64">
        <f t="shared" si="89"/>
        <v>60256.35</v>
      </c>
      <c r="DJ48" s="80">
        <f t="shared" si="87"/>
        <v>0</v>
      </c>
      <c r="DK48" s="215">
        <f t="shared" si="66"/>
        <v>35</v>
      </c>
      <c r="DL48" s="216">
        <f t="shared" si="67"/>
        <v>1721.61</v>
      </c>
      <c r="DM48" s="224"/>
      <c r="DN48" s="224"/>
      <c r="DO48" s="224"/>
      <c r="DP48" s="224"/>
      <c r="DQ48" s="219">
        <f t="shared" si="68"/>
        <v>1721.61</v>
      </c>
      <c r="DR48" s="79">
        <f t="shared" si="69"/>
        <v>60256.35</v>
      </c>
      <c r="DS48" s="212"/>
      <c r="DT48" s="78"/>
      <c r="DU48" s="80"/>
    </row>
    <row r="49" spans="1:125" ht="30" customHeight="1" x14ac:dyDescent="0.3">
      <c r="A49" s="20" t="s">
        <v>47</v>
      </c>
      <c r="B49" s="83" t="s">
        <v>48</v>
      </c>
      <c r="C49" s="78">
        <v>362703.8</v>
      </c>
      <c r="D49" s="79"/>
      <c r="E49" s="79"/>
      <c r="F49" s="80"/>
      <c r="G49" s="98">
        <v>92</v>
      </c>
      <c r="H49" s="99"/>
      <c r="I49" s="105"/>
      <c r="J49" s="106"/>
      <c r="K49" s="75">
        <v>3226</v>
      </c>
      <c r="L49" s="76"/>
      <c r="M49" s="76"/>
      <c r="N49" s="77"/>
      <c r="O49" s="112">
        <v>3942.43</v>
      </c>
      <c r="P49" s="113"/>
      <c r="Q49" s="109"/>
      <c r="R49" s="123"/>
      <c r="S49" s="200">
        <f t="shared" si="70"/>
        <v>92</v>
      </c>
      <c r="T49" s="128">
        <f t="shared" si="71"/>
        <v>0</v>
      </c>
      <c r="U49" s="52">
        <f t="shared" si="72"/>
        <v>3942.43</v>
      </c>
      <c r="V49" s="57">
        <f t="shared" si="73"/>
        <v>0</v>
      </c>
      <c r="W49" s="75"/>
      <c r="X49" s="66"/>
      <c r="Y49" s="78"/>
      <c r="Z49" s="77"/>
      <c r="AA49" s="49"/>
      <c r="AB49" s="9"/>
      <c r="AC49" s="49"/>
      <c r="AD49" s="9"/>
      <c r="AE49" s="189">
        <f t="shared" si="51"/>
        <v>3942.43</v>
      </c>
      <c r="AF49" s="57">
        <f t="shared" si="52"/>
        <v>0</v>
      </c>
      <c r="AG49" s="64">
        <f t="shared" si="74"/>
        <v>362703.56</v>
      </c>
      <c r="AH49" s="80">
        <f t="shared" si="75"/>
        <v>0</v>
      </c>
      <c r="AI49" s="215">
        <f t="shared" si="53"/>
        <v>92</v>
      </c>
      <c r="AJ49" s="216">
        <f t="shared" si="54"/>
        <v>3942.43</v>
      </c>
      <c r="AK49" s="212"/>
      <c r="AL49" s="212"/>
      <c r="AM49" s="212"/>
      <c r="AN49" s="212"/>
      <c r="AO49" s="219">
        <f t="shared" si="55"/>
        <v>3942.43</v>
      </c>
      <c r="AP49" s="79">
        <f t="shared" si="56"/>
        <v>362703.56</v>
      </c>
      <c r="AQ49" s="78">
        <v>350876.5</v>
      </c>
      <c r="AR49" s="79"/>
      <c r="AS49" s="79"/>
      <c r="AT49" s="80"/>
      <c r="AU49" s="204">
        <v>89</v>
      </c>
      <c r="AV49" s="105"/>
      <c r="AW49" s="94"/>
      <c r="AX49" s="101"/>
      <c r="AY49" s="75">
        <v>1201</v>
      </c>
      <c r="AZ49" s="76"/>
      <c r="BA49" s="76"/>
      <c r="BB49" s="77"/>
      <c r="BC49" s="112">
        <v>3942.43</v>
      </c>
      <c r="BD49" s="113"/>
      <c r="BE49" s="118"/>
      <c r="BF49" s="119"/>
      <c r="BG49" s="200">
        <f t="shared" si="76"/>
        <v>89</v>
      </c>
      <c r="BH49" s="128">
        <f t="shared" si="77"/>
        <v>0</v>
      </c>
      <c r="BI49" s="52">
        <f t="shared" si="78"/>
        <v>3942.43</v>
      </c>
      <c r="BJ49" s="57">
        <f t="shared" si="79"/>
        <v>0</v>
      </c>
      <c r="BK49" s="75"/>
      <c r="BL49" s="66"/>
      <c r="BM49" s="78"/>
      <c r="BN49" s="77"/>
      <c r="BO49" s="49"/>
      <c r="BP49" s="9"/>
      <c r="BQ49" s="49"/>
      <c r="BR49" s="9"/>
      <c r="BS49" s="189">
        <f t="shared" si="57"/>
        <v>3942.43</v>
      </c>
      <c r="BT49" s="57">
        <f t="shared" si="58"/>
        <v>0</v>
      </c>
      <c r="BU49" s="64">
        <f t="shared" si="88"/>
        <v>350876.26999999996</v>
      </c>
      <c r="BV49" s="80">
        <f t="shared" si="81"/>
        <v>0</v>
      </c>
      <c r="BW49" s="215">
        <f t="shared" si="59"/>
        <v>89</v>
      </c>
      <c r="BX49" s="216">
        <f t="shared" si="60"/>
        <v>3942.43</v>
      </c>
      <c r="BY49" s="212"/>
      <c r="BZ49" s="212"/>
      <c r="CA49" s="212"/>
      <c r="CB49" s="212"/>
      <c r="CC49" s="219">
        <f t="shared" si="61"/>
        <v>3942.43</v>
      </c>
      <c r="CD49" s="79">
        <f t="shared" si="62"/>
        <v>350876.26999999996</v>
      </c>
      <c r="CE49" s="78">
        <v>303567.31</v>
      </c>
      <c r="CF49" s="79"/>
      <c r="CG49" s="79"/>
      <c r="CH49" s="80"/>
      <c r="CI49" s="75">
        <v>77</v>
      </c>
      <c r="CJ49" s="76"/>
      <c r="CK49" s="76"/>
      <c r="CL49" s="77"/>
      <c r="CM49" s="75">
        <v>922</v>
      </c>
      <c r="CN49" s="76"/>
      <c r="CO49" s="76"/>
      <c r="CP49" s="77"/>
      <c r="CQ49" s="78">
        <v>3942.43</v>
      </c>
      <c r="CR49" s="79"/>
      <c r="CS49" s="79"/>
      <c r="CT49" s="80"/>
      <c r="CU49" s="200">
        <f t="shared" si="82"/>
        <v>77</v>
      </c>
      <c r="CV49" s="128">
        <f t="shared" si="83"/>
        <v>0</v>
      </c>
      <c r="CW49" s="52">
        <f t="shared" si="84"/>
        <v>3942.43</v>
      </c>
      <c r="CX49" s="57">
        <f t="shared" si="85"/>
        <v>0</v>
      </c>
      <c r="CY49" s="75"/>
      <c r="CZ49" s="66"/>
      <c r="DA49" s="78"/>
      <c r="DB49" s="77"/>
      <c r="DC49" s="49"/>
      <c r="DD49" s="9"/>
      <c r="DE49" s="49"/>
      <c r="DF49" s="9"/>
      <c r="DG49" s="189">
        <f t="shared" si="63"/>
        <v>3942.43</v>
      </c>
      <c r="DH49" s="57">
        <f t="shared" si="64"/>
        <v>0</v>
      </c>
      <c r="DI49" s="64">
        <f t="shared" si="89"/>
        <v>303567.11</v>
      </c>
      <c r="DJ49" s="80">
        <f t="shared" si="87"/>
        <v>0</v>
      </c>
      <c r="DK49" s="215">
        <f t="shared" si="66"/>
        <v>77</v>
      </c>
      <c r="DL49" s="216">
        <f t="shared" si="67"/>
        <v>3942.43</v>
      </c>
      <c r="DM49" s="224"/>
      <c r="DN49" s="224"/>
      <c r="DO49" s="224"/>
      <c r="DP49" s="224"/>
      <c r="DQ49" s="219">
        <f t="shared" si="68"/>
        <v>3942.43</v>
      </c>
      <c r="DR49" s="79">
        <f t="shared" si="69"/>
        <v>303567.11</v>
      </c>
      <c r="DS49" s="212"/>
      <c r="DT49" s="78"/>
      <c r="DU49" s="80"/>
    </row>
    <row r="50" spans="1:125" x14ac:dyDescent="0.3">
      <c r="A50" s="20" t="s">
        <v>49</v>
      </c>
      <c r="B50" s="39" t="s">
        <v>18</v>
      </c>
      <c r="C50" s="78">
        <v>206762.2</v>
      </c>
      <c r="D50" s="79">
        <v>111077.83</v>
      </c>
      <c r="E50" s="79"/>
      <c r="F50" s="80"/>
      <c r="G50" s="98">
        <v>71</v>
      </c>
      <c r="H50" s="99">
        <v>10</v>
      </c>
      <c r="I50" s="105"/>
      <c r="J50" s="106"/>
      <c r="K50" s="75">
        <v>1008</v>
      </c>
      <c r="L50" s="76">
        <v>802</v>
      </c>
      <c r="M50" s="76"/>
      <c r="N50" s="77"/>
      <c r="O50" s="112">
        <f>C50/G50</f>
        <v>2912.1436619718311</v>
      </c>
      <c r="P50" s="113">
        <f>D50/H50</f>
        <v>11107.782999999999</v>
      </c>
      <c r="Q50" s="109"/>
      <c r="R50" s="123"/>
      <c r="S50" s="200">
        <f t="shared" si="70"/>
        <v>81</v>
      </c>
      <c r="T50" s="128">
        <f t="shared" si="71"/>
        <v>0</v>
      </c>
      <c r="U50" s="52">
        <f t="shared" si="72"/>
        <v>14019.926661971831</v>
      </c>
      <c r="V50" s="57">
        <f t="shared" si="73"/>
        <v>0</v>
      </c>
      <c r="W50" s="75"/>
      <c r="X50" s="66"/>
      <c r="Y50" s="78"/>
      <c r="Z50" s="77"/>
      <c r="AA50" s="49"/>
      <c r="AB50" s="9"/>
      <c r="AC50" s="49"/>
      <c r="AD50" s="9"/>
      <c r="AE50" s="189">
        <f t="shared" si="51"/>
        <v>14019.926661971831</v>
      </c>
      <c r="AF50" s="57">
        <f t="shared" si="52"/>
        <v>0</v>
      </c>
      <c r="AG50" s="64">
        <f t="shared" si="74"/>
        <v>1135614.0596197182</v>
      </c>
      <c r="AH50" s="80">
        <f t="shared" si="75"/>
        <v>0</v>
      </c>
      <c r="AI50" s="215">
        <f t="shared" si="53"/>
        <v>71</v>
      </c>
      <c r="AJ50" s="216">
        <f t="shared" si="54"/>
        <v>2912.1436619718311</v>
      </c>
      <c r="AK50" s="212"/>
      <c r="AL50" s="212"/>
      <c r="AM50" s="212"/>
      <c r="AN50" s="212"/>
      <c r="AO50" s="219">
        <f t="shared" si="55"/>
        <v>2912.1436619718311</v>
      </c>
      <c r="AP50" s="79">
        <f t="shared" si="56"/>
        <v>206762.2</v>
      </c>
      <c r="AQ50" s="78">
        <v>179191.6</v>
      </c>
      <c r="AR50" s="79">
        <v>109585.83</v>
      </c>
      <c r="AS50" s="79">
        <v>50017.599999999999</v>
      </c>
      <c r="AT50" s="80"/>
      <c r="AU50" s="204">
        <v>67</v>
      </c>
      <c r="AV50" s="105">
        <v>8</v>
      </c>
      <c r="AW50" s="94">
        <v>2</v>
      </c>
      <c r="AX50" s="101"/>
      <c r="AY50" s="75">
        <v>935</v>
      </c>
      <c r="AZ50" s="76">
        <v>586</v>
      </c>
      <c r="BA50" s="76">
        <v>415</v>
      </c>
      <c r="BB50" s="77"/>
      <c r="BC50" s="112">
        <f>AQ50/AU50</f>
        <v>2674.5014925373134</v>
      </c>
      <c r="BD50" s="113">
        <f>AR50/AV50</f>
        <v>13698.22875</v>
      </c>
      <c r="BE50" s="118">
        <f>AS50/AW50</f>
        <v>25008.799999999999</v>
      </c>
      <c r="BF50" s="119"/>
      <c r="BG50" s="200">
        <f t="shared" si="76"/>
        <v>75</v>
      </c>
      <c r="BH50" s="184">
        <f t="shared" si="77"/>
        <v>2</v>
      </c>
      <c r="BI50" s="52">
        <f t="shared" si="78"/>
        <v>16372.730242537313</v>
      </c>
      <c r="BJ50" s="126">
        <f t="shared" si="79"/>
        <v>25008.799999999999</v>
      </c>
      <c r="BK50" s="75"/>
      <c r="BL50" s="66"/>
      <c r="BM50" s="78"/>
      <c r="BN50" s="77"/>
      <c r="BO50" s="49"/>
      <c r="BP50" s="9"/>
      <c r="BQ50" s="49"/>
      <c r="BR50" s="9"/>
      <c r="BS50" s="189">
        <f t="shared" si="57"/>
        <v>16372.730242537313</v>
      </c>
      <c r="BT50" s="182">
        <f t="shared" si="58"/>
        <v>25008.799999999999</v>
      </c>
      <c r="BU50" s="64">
        <f t="shared" si="88"/>
        <v>1227954.7681902985</v>
      </c>
      <c r="BV50" s="80">
        <f t="shared" si="81"/>
        <v>50017.599999999999</v>
      </c>
      <c r="BW50" s="215">
        <f t="shared" si="59"/>
        <v>67</v>
      </c>
      <c r="BX50" s="216">
        <f t="shared" si="60"/>
        <v>2674.5014925373134</v>
      </c>
      <c r="BY50" s="212"/>
      <c r="BZ50" s="212"/>
      <c r="CA50" s="212"/>
      <c r="CB50" s="212"/>
      <c r="CC50" s="219">
        <f t="shared" si="61"/>
        <v>2674.5014925373134</v>
      </c>
      <c r="CD50" s="79">
        <f t="shared" si="62"/>
        <v>179191.6</v>
      </c>
      <c r="CE50" s="78">
        <v>186031.7</v>
      </c>
      <c r="CF50" s="79">
        <v>80925.19</v>
      </c>
      <c r="CG50" s="79">
        <v>34698.5</v>
      </c>
      <c r="CH50" s="80"/>
      <c r="CI50" s="75">
        <v>68</v>
      </c>
      <c r="CJ50" s="76">
        <v>9</v>
      </c>
      <c r="CK50" s="76">
        <v>1</v>
      </c>
      <c r="CL50" s="77"/>
      <c r="CM50" s="75">
        <v>961</v>
      </c>
      <c r="CN50" s="76">
        <v>480</v>
      </c>
      <c r="CO50" s="76">
        <v>200</v>
      </c>
      <c r="CP50" s="77"/>
      <c r="CQ50" s="78">
        <f>CE50/CI50</f>
        <v>2735.7602941176474</v>
      </c>
      <c r="CR50" s="79">
        <f>CF50/CJ50</f>
        <v>8991.6877777777772</v>
      </c>
      <c r="CS50" s="79">
        <f>CG50/CK50</f>
        <v>34698.5</v>
      </c>
      <c r="CT50" s="80"/>
      <c r="CU50" s="200">
        <f t="shared" si="82"/>
        <v>77</v>
      </c>
      <c r="CV50" s="184">
        <f t="shared" si="83"/>
        <v>1</v>
      </c>
      <c r="CW50" s="52">
        <f t="shared" si="84"/>
        <v>11727.448071895426</v>
      </c>
      <c r="CX50" s="126">
        <f t="shared" si="85"/>
        <v>34698.5</v>
      </c>
      <c r="CY50" s="75"/>
      <c r="CZ50" s="66"/>
      <c r="DA50" s="78"/>
      <c r="DB50" s="77"/>
      <c r="DC50" s="49"/>
      <c r="DD50" s="9"/>
      <c r="DE50" s="49"/>
      <c r="DF50" s="9"/>
      <c r="DG50" s="189">
        <f t="shared" si="63"/>
        <v>11727.448071895426</v>
      </c>
      <c r="DH50" s="182">
        <f>IF(AND(CX50&gt;$DD$40,CX50&lt;$DF$40),CX50,0)</f>
        <v>34698.5</v>
      </c>
      <c r="DI50" s="64">
        <f t="shared" si="89"/>
        <v>903013.50153594778</v>
      </c>
      <c r="DJ50" s="80">
        <f t="shared" si="87"/>
        <v>34698.5</v>
      </c>
      <c r="DK50" s="215">
        <f t="shared" si="66"/>
        <v>68</v>
      </c>
      <c r="DL50" s="216">
        <f t="shared" si="67"/>
        <v>2735.7602941176474</v>
      </c>
      <c r="DM50" s="224"/>
      <c r="DN50" s="224"/>
      <c r="DO50" s="224"/>
      <c r="DP50" s="224"/>
      <c r="DQ50" s="219">
        <f t="shared" si="68"/>
        <v>2735.7602941176474</v>
      </c>
      <c r="DR50" s="79">
        <f t="shared" si="69"/>
        <v>186031.7</v>
      </c>
      <c r="DS50" s="212"/>
      <c r="DT50" s="78"/>
      <c r="DU50" s="80"/>
    </row>
    <row r="51" spans="1:125" x14ac:dyDescent="0.3">
      <c r="A51" s="20" t="s">
        <v>50</v>
      </c>
      <c r="B51" s="39" t="s">
        <v>19</v>
      </c>
      <c r="C51" s="55">
        <v>66575</v>
      </c>
      <c r="D51" s="79">
        <v>1876</v>
      </c>
      <c r="E51" s="79"/>
      <c r="F51" s="80"/>
      <c r="G51" s="98">
        <v>71</v>
      </c>
      <c r="H51" s="99">
        <v>2</v>
      </c>
      <c r="I51" s="105"/>
      <c r="J51" s="106"/>
      <c r="K51" s="58">
        <v>875</v>
      </c>
      <c r="L51" s="76">
        <v>150</v>
      </c>
      <c r="M51" s="76"/>
      <c r="N51" s="77"/>
      <c r="O51" s="112">
        <f>C51/G51</f>
        <v>937.67605633802816</v>
      </c>
      <c r="P51" s="113">
        <f>D51/H51</f>
        <v>938</v>
      </c>
      <c r="Q51" s="109"/>
      <c r="R51" s="123"/>
      <c r="S51" s="200">
        <f t="shared" si="70"/>
        <v>73</v>
      </c>
      <c r="T51" s="128">
        <f t="shared" si="71"/>
        <v>0</v>
      </c>
      <c r="U51" s="52">
        <f t="shared" si="72"/>
        <v>1875.676056338028</v>
      </c>
      <c r="V51" s="57">
        <f t="shared" si="73"/>
        <v>0</v>
      </c>
      <c r="W51" s="55"/>
      <c r="X51" s="66"/>
      <c r="Y51" s="78"/>
      <c r="Z51" s="62"/>
      <c r="AA51" s="55"/>
      <c r="AB51" s="65"/>
      <c r="AC51" s="5"/>
      <c r="AD51" s="65"/>
      <c r="AE51" s="189">
        <f t="shared" si="51"/>
        <v>1875.676056338028</v>
      </c>
      <c r="AF51" s="57">
        <f t="shared" si="52"/>
        <v>0</v>
      </c>
      <c r="AG51" s="64">
        <f t="shared" si="74"/>
        <v>136924.35211267605</v>
      </c>
      <c r="AH51" s="80">
        <f t="shared" si="75"/>
        <v>0</v>
      </c>
      <c r="AI51" s="215">
        <f t="shared" si="53"/>
        <v>71</v>
      </c>
      <c r="AJ51" s="216">
        <f t="shared" si="54"/>
        <v>937.67605633802816</v>
      </c>
      <c r="AK51" s="212"/>
      <c r="AL51" s="212"/>
      <c r="AM51" s="212"/>
      <c r="AN51" s="212"/>
      <c r="AO51" s="219">
        <f t="shared" si="55"/>
        <v>937.67605633802816</v>
      </c>
      <c r="AP51" s="79">
        <f t="shared" si="56"/>
        <v>66575</v>
      </c>
      <c r="AQ51" s="55">
        <v>91585</v>
      </c>
      <c r="AR51" s="79"/>
      <c r="AS51" s="79">
        <v>1189</v>
      </c>
      <c r="AT51" s="80"/>
      <c r="AU51" s="204">
        <v>77</v>
      </c>
      <c r="AV51" s="105"/>
      <c r="AW51" s="94">
        <v>1</v>
      </c>
      <c r="AX51" s="101"/>
      <c r="AY51" s="58">
        <v>950</v>
      </c>
      <c r="AZ51" s="76"/>
      <c r="BA51" s="76">
        <v>170</v>
      </c>
      <c r="BB51" s="77"/>
      <c r="BC51" s="112">
        <f>AQ51/AU51</f>
        <v>1189.4155844155844</v>
      </c>
      <c r="BD51" s="113"/>
      <c r="BE51" s="118">
        <f>AS51/AW51</f>
        <v>1189</v>
      </c>
      <c r="BF51" s="119"/>
      <c r="BG51" s="200">
        <f t="shared" si="76"/>
        <v>77</v>
      </c>
      <c r="BH51" s="184">
        <f t="shared" si="77"/>
        <v>1</v>
      </c>
      <c r="BI51" s="52">
        <f t="shared" si="78"/>
        <v>1189.4155844155844</v>
      </c>
      <c r="BJ51" s="126">
        <f t="shared" si="79"/>
        <v>1189</v>
      </c>
      <c r="BK51" s="55"/>
      <c r="BL51" s="66"/>
      <c r="BM51" s="78"/>
      <c r="BN51" s="62"/>
      <c r="BO51" s="55"/>
      <c r="BP51" s="65"/>
      <c r="BQ51" s="5"/>
      <c r="BR51" s="65"/>
      <c r="BS51" s="189">
        <f t="shared" si="57"/>
        <v>1189.4155844155844</v>
      </c>
      <c r="BT51" s="182">
        <f t="shared" si="58"/>
        <v>1189</v>
      </c>
      <c r="BU51" s="64">
        <f t="shared" si="88"/>
        <v>91585</v>
      </c>
      <c r="BV51" s="80">
        <f t="shared" si="81"/>
        <v>1189</v>
      </c>
      <c r="BW51" s="215">
        <f t="shared" si="59"/>
        <v>77</v>
      </c>
      <c r="BX51" s="216">
        <f t="shared" si="60"/>
        <v>1189.4155844155844</v>
      </c>
      <c r="BY51" s="212"/>
      <c r="BZ51" s="212"/>
      <c r="CA51" s="212"/>
      <c r="CB51" s="212"/>
      <c r="CC51" s="219">
        <f t="shared" si="61"/>
        <v>1189.4155844155844</v>
      </c>
      <c r="CD51" s="79">
        <f t="shared" si="62"/>
        <v>91585</v>
      </c>
      <c r="CE51" s="55">
        <v>52835</v>
      </c>
      <c r="CF51" s="79"/>
      <c r="CG51" s="79"/>
      <c r="CH51" s="80"/>
      <c r="CI51" s="58">
        <v>73</v>
      </c>
      <c r="CJ51" s="76"/>
      <c r="CK51" s="76"/>
      <c r="CL51" s="77"/>
      <c r="CM51" s="58">
        <v>865</v>
      </c>
      <c r="CN51" s="76"/>
      <c r="CO51" s="76"/>
      <c r="CP51" s="77"/>
      <c r="CQ51" s="55">
        <f>CE51/CI51</f>
        <v>723.76712328767121</v>
      </c>
      <c r="CR51" s="79"/>
      <c r="CS51" s="79"/>
      <c r="CT51" s="80"/>
      <c r="CU51" s="200">
        <f t="shared" si="82"/>
        <v>73</v>
      </c>
      <c r="CV51" s="128">
        <f t="shared" si="83"/>
        <v>0</v>
      </c>
      <c r="CW51" s="52">
        <f t="shared" si="84"/>
        <v>723.76712328767121</v>
      </c>
      <c r="CX51" s="57">
        <f t="shared" si="85"/>
        <v>0</v>
      </c>
      <c r="CY51" s="55"/>
      <c r="CZ51" s="66"/>
      <c r="DA51" s="78"/>
      <c r="DB51" s="62"/>
      <c r="DC51" s="55"/>
      <c r="DD51" s="65"/>
      <c r="DE51" s="5"/>
      <c r="DF51" s="65"/>
      <c r="DG51" s="189">
        <f t="shared" si="63"/>
        <v>723.76712328767121</v>
      </c>
      <c r="DH51" s="57">
        <f t="shared" si="64"/>
        <v>0</v>
      </c>
      <c r="DI51" s="64">
        <f t="shared" si="89"/>
        <v>52835</v>
      </c>
      <c r="DJ51" s="80">
        <f t="shared" si="87"/>
        <v>0</v>
      </c>
      <c r="DK51" s="215">
        <f t="shared" si="66"/>
        <v>73</v>
      </c>
      <c r="DL51" s="216">
        <f t="shared" si="67"/>
        <v>723.76712328767121</v>
      </c>
      <c r="DM51" s="224"/>
      <c r="DN51" s="224"/>
      <c r="DO51" s="224"/>
      <c r="DP51" s="224"/>
      <c r="DQ51" s="219">
        <f t="shared" si="68"/>
        <v>723.76712328767121</v>
      </c>
      <c r="DR51" s="79">
        <f t="shared" si="69"/>
        <v>52835</v>
      </c>
      <c r="DS51" s="212"/>
      <c r="DT51" s="78"/>
      <c r="DU51" s="80"/>
    </row>
    <row r="52" spans="1:125" ht="28.8" x14ac:dyDescent="0.3">
      <c r="A52" s="20" t="s">
        <v>51</v>
      </c>
      <c r="B52" s="235" t="s">
        <v>20</v>
      </c>
      <c r="C52" s="78">
        <v>6280949.2699999996</v>
      </c>
      <c r="D52" s="79">
        <v>2400362.7799999998</v>
      </c>
      <c r="E52" s="79">
        <v>360054.42</v>
      </c>
      <c r="F52" s="80"/>
      <c r="G52" s="98">
        <v>157</v>
      </c>
      <c r="H52" s="99">
        <v>60</v>
      </c>
      <c r="I52" s="105">
        <v>9</v>
      </c>
      <c r="J52" s="106"/>
      <c r="K52" s="75">
        <v>2017.09</v>
      </c>
      <c r="L52" s="76">
        <v>4985.8999999999996</v>
      </c>
      <c r="M52" s="76">
        <v>3836.84</v>
      </c>
      <c r="N52" s="77"/>
      <c r="O52" s="112">
        <f t="shared" ref="O52:O58" si="90">C52/G52</f>
        <v>40006.046305732481</v>
      </c>
      <c r="P52" s="113">
        <f t="shared" ref="P52" si="91">D52/H52</f>
        <v>40006.046333333332</v>
      </c>
      <c r="Q52" s="109">
        <f t="shared" ref="Q52" si="92">E52/I52</f>
        <v>40006.046666666662</v>
      </c>
      <c r="R52" s="123"/>
      <c r="S52" s="200">
        <f t="shared" si="70"/>
        <v>217</v>
      </c>
      <c r="T52" s="184">
        <f t="shared" si="71"/>
        <v>9</v>
      </c>
      <c r="U52" s="52">
        <f t="shared" si="72"/>
        <v>80012.092639065813</v>
      </c>
      <c r="V52" s="126">
        <f t="shared" si="73"/>
        <v>40006.046666666662</v>
      </c>
      <c r="W52" s="75"/>
      <c r="X52" s="66"/>
      <c r="Y52" s="78"/>
      <c r="Z52" s="77"/>
      <c r="AA52" s="49"/>
      <c r="AB52" s="9"/>
      <c r="AC52" s="49"/>
      <c r="AD52" s="9"/>
      <c r="AE52" s="189">
        <f t="shared" si="51"/>
        <v>80012.092639065813</v>
      </c>
      <c r="AF52" s="182">
        <f t="shared" si="52"/>
        <v>40006.046666666662</v>
      </c>
      <c r="AG52" s="64">
        <f t="shared" si="74"/>
        <v>17362624.102677282</v>
      </c>
      <c r="AH52" s="80">
        <f t="shared" si="75"/>
        <v>360054.41999999993</v>
      </c>
      <c r="AI52" s="59">
        <f t="shared" si="53"/>
        <v>157</v>
      </c>
      <c r="AJ52" s="56">
        <f t="shared" si="54"/>
        <v>40006.046305732481</v>
      </c>
      <c r="AK52" s="212"/>
      <c r="AL52" s="212"/>
      <c r="AM52" s="212"/>
      <c r="AN52" s="212"/>
      <c r="AO52" s="56">
        <f t="shared" si="55"/>
        <v>0</v>
      </c>
      <c r="AP52" s="79">
        <f t="shared" si="56"/>
        <v>0</v>
      </c>
      <c r="AQ52" s="78">
        <v>1806505.43</v>
      </c>
      <c r="AR52" s="79">
        <v>711923.32</v>
      </c>
      <c r="AS52" s="79">
        <v>169081.79</v>
      </c>
      <c r="AT52" s="80"/>
      <c r="AU52" s="204">
        <v>203</v>
      </c>
      <c r="AV52" s="105">
        <v>83</v>
      </c>
      <c r="AW52" s="94">
        <v>19</v>
      </c>
      <c r="AX52" s="101"/>
      <c r="AY52" s="75">
        <v>2463.9499999999998</v>
      </c>
      <c r="AZ52" s="76">
        <v>4369.84</v>
      </c>
      <c r="BA52" s="76">
        <v>8073</v>
      </c>
      <c r="BB52" s="77"/>
      <c r="BC52" s="112">
        <f>AQ52/AU52</f>
        <v>8899.0415270935955</v>
      </c>
      <c r="BD52" s="113">
        <v>8899.0400000000009</v>
      </c>
      <c r="BE52" s="118">
        <v>8899.0400000000009</v>
      </c>
      <c r="BF52" s="119"/>
      <c r="BG52" s="200">
        <f t="shared" si="76"/>
        <v>286</v>
      </c>
      <c r="BH52" s="184">
        <f t="shared" si="77"/>
        <v>19</v>
      </c>
      <c r="BI52" s="52">
        <f t="shared" si="78"/>
        <v>17798.081527093596</v>
      </c>
      <c r="BJ52" s="126">
        <f t="shared" si="79"/>
        <v>8899.0400000000009</v>
      </c>
      <c r="BK52" s="75"/>
      <c r="BL52" s="66"/>
      <c r="BM52" s="78"/>
      <c r="BN52" s="77"/>
      <c r="BO52" s="49"/>
      <c r="BP52" s="9"/>
      <c r="BQ52" s="49"/>
      <c r="BR52" s="9"/>
      <c r="BS52" s="189">
        <f t="shared" si="57"/>
        <v>17798.081527093596</v>
      </c>
      <c r="BT52" s="182">
        <f t="shared" si="58"/>
        <v>8899.0400000000009</v>
      </c>
      <c r="BU52" s="64">
        <f t="shared" si="88"/>
        <v>5090251.316748769</v>
      </c>
      <c r="BV52" s="80">
        <f t="shared" si="81"/>
        <v>169081.76</v>
      </c>
      <c r="BW52" s="59">
        <f t="shared" si="59"/>
        <v>203</v>
      </c>
      <c r="BX52" s="56">
        <f t="shared" si="60"/>
        <v>8899.0415270935955</v>
      </c>
      <c r="BY52" s="212"/>
      <c r="BZ52" s="212"/>
      <c r="CA52" s="212"/>
      <c r="CB52" s="212"/>
      <c r="CC52" s="56">
        <f t="shared" si="61"/>
        <v>8899.0415270935955</v>
      </c>
      <c r="CD52" s="79">
        <f t="shared" si="62"/>
        <v>1806505.43</v>
      </c>
      <c r="CE52" s="78">
        <v>2644993.0699999998</v>
      </c>
      <c r="CF52" s="79">
        <v>1080038.8400000001</v>
      </c>
      <c r="CG52" s="79">
        <v>176332.87</v>
      </c>
      <c r="CH52" s="80"/>
      <c r="CI52" s="75">
        <v>120</v>
      </c>
      <c r="CJ52" s="76">
        <v>49</v>
      </c>
      <c r="CK52" s="76">
        <v>8</v>
      </c>
      <c r="CL52" s="77"/>
      <c r="CM52" s="75">
        <v>1570.2</v>
      </c>
      <c r="CN52" s="76">
        <v>3752</v>
      </c>
      <c r="CO52" s="76">
        <v>3877</v>
      </c>
      <c r="CP52" s="77"/>
      <c r="CQ52" s="78">
        <f t="shared" ref="CQ52" si="93">CE52/CI52</f>
        <v>22041.608916666664</v>
      </c>
      <c r="CR52" s="79">
        <f>CF52/CJ52</f>
        <v>22041.608979591838</v>
      </c>
      <c r="CS52" s="79">
        <f>CG52/CK52</f>
        <v>22041.608749999999</v>
      </c>
      <c r="CT52" s="80"/>
      <c r="CU52" s="200">
        <f t="shared" si="82"/>
        <v>169</v>
      </c>
      <c r="CV52" s="184">
        <f t="shared" si="83"/>
        <v>8</v>
      </c>
      <c r="CW52" s="52">
        <f t="shared" si="84"/>
        <v>44083.217896258502</v>
      </c>
      <c r="CX52" s="126">
        <f t="shared" si="85"/>
        <v>22041.608749999999</v>
      </c>
      <c r="CY52" s="75"/>
      <c r="CZ52" s="66"/>
      <c r="DA52" s="78"/>
      <c r="DB52" s="77"/>
      <c r="DC52" s="49"/>
      <c r="DD52" s="9"/>
      <c r="DE52" s="49"/>
      <c r="DF52" s="9"/>
      <c r="DG52" s="189">
        <f t="shared" si="63"/>
        <v>44083.217896258502</v>
      </c>
      <c r="DH52" s="182">
        <f t="shared" si="64"/>
        <v>22041.608749999999</v>
      </c>
      <c r="DI52" s="64">
        <f t="shared" si="89"/>
        <v>7450063.8244676869</v>
      </c>
      <c r="DJ52" s="80">
        <f>DH52*CV52</f>
        <v>176332.87</v>
      </c>
      <c r="DK52" s="59">
        <f t="shared" si="66"/>
        <v>120</v>
      </c>
      <c r="DL52" s="56">
        <f t="shared" si="67"/>
        <v>22041.608916666664</v>
      </c>
      <c r="DM52" s="224"/>
      <c r="DN52" s="224"/>
      <c r="DO52" s="224"/>
      <c r="DP52" s="224"/>
      <c r="DQ52" s="56">
        <f t="shared" si="68"/>
        <v>0</v>
      </c>
      <c r="DR52" s="79">
        <f t="shared" si="69"/>
        <v>0</v>
      </c>
      <c r="DS52" s="212"/>
      <c r="DT52" s="78"/>
      <c r="DU52" s="80"/>
    </row>
    <row r="53" spans="1:125" ht="28.8" x14ac:dyDescent="0.3">
      <c r="A53" s="20" t="s">
        <v>52</v>
      </c>
      <c r="B53" s="39" t="s">
        <v>21</v>
      </c>
      <c r="C53" s="78">
        <v>309016</v>
      </c>
      <c r="D53" s="79">
        <v>36594</v>
      </c>
      <c r="E53" s="79"/>
      <c r="F53" s="80"/>
      <c r="G53" s="98">
        <v>76</v>
      </c>
      <c r="H53" s="99">
        <v>9</v>
      </c>
      <c r="I53" s="105"/>
      <c r="J53" s="106"/>
      <c r="K53" s="75">
        <v>851</v>
      </c>
      <c r="L53" s="76">
        <v>449</v>
      </c>
      <c r="M53" s="76"/>
      <c r="N53" s="77"/>
      <c r="O53" s="112">
        <f t="shared" si="90"/>
        <v>4066</v>
      </c>
      <c r="P53" s="113">
        <f>D53/H53</f>
        <v>4066</v>
      </c>
      <c r="Q53" s="109"/>
      <c r="R53" s="123"/>
      <c r="S53" s="200">
        <f t="shared" si="70"/>
        <v>85</v>
      </c>
      <c r="T53" s="128">
        <f t="shared" si="71"/>
        <v>0</v>
      </c>
      <c r="U53" s="52">
        <f t="shared" si="72"/>
        <v>8132</v>
      </c>
      <c r="V53" s="57">
        <f t="shared" si="73"/>
        <v>0</v>
      </c>
      <c r="W53" s="78"/>
      <c r="X53" s="66"/>
      <c r="Y53" s="78"/>
      <c r="Z53" s="51"/>
      <c r="AA53" s="78"/>
      <c r="AB53" s="9"/>
      <c r="AC53" s="49"/>
      <c r="AD53" s="9"/>
      <c r="AE53" s="189">
        <f t="shared" si="51"/>
        <v>8132</v>
      </c>
      <c r="AF53" s="57">
        <f t="shared" si="52"/>
        <v>0</v>
      </c>
      <c r="AG53" s="64">
        <f t="shared" si="74"/>
        <v>691220</v>
      </c>
      <c r="AH53" s="80">
        <f t="shared" si="75"/>
        <v>0</v>
      </c>
      <c r="AI53" s="215">
        <f t="shared" si="53"/>
        <v>76</v>
      </c>
      <c r="AJ53" s="216">
        <f t="shared" si="54"/>
        <v>4066</v>
      </c>
      <c r="AK53" s="212"/>
      <c r="AL53" s="212"/>
      <c r="AM53" s="212"/>
      <c r="AN53" s="212"/>
      <c r="AO53" s="219">
        <f t="shared" si="55"/>
        <v>4066</v>
      </c>
      <c r="AP53" s="79">
        <f t="shared" si="56"/>
        <v>309016</v>
      </c>
      <c r="AQ53" s="78">
        <v>313082</v>
      </c>
      <c r="AR53" s="79">
        <v>28462</v>
      </c>
      <c r="AS53" s="79">
        <v>4066</v>
      </c>
      <c r="AT53" s="80"/>
      <c r="AU53" s="204">
        <v>77</v>
      </c>
      <c r="AV53" s="105">
        <v>7</v>
      </c>
      <c r="AW53" s="94">
        <v>1</v>
      </c>
      <c r="AX53" s="101"/>
      <c r="AY53" s="75">
        <v>720</v>
      </c>
      <c r="AZ53" s="76">
        <v>410</v>
      </c>
      <c r="BA53" s="76">
        <v>500</v>
      </c>
      <c r="BB53" s="77"/>
      <c r="BC53" s="112">
        <f t="shared" ref="BC53:BE54" si="94">AQ53/AU53</f>
        <v>4066</v>
      </c>
      <c r="BD53" s="113">
        <f t="shared" si="94"/>
        <v>4066</v>
      </c>
      <c r="BE53" s="118">
        <f t="shared" si="94"/>
        <v>4066</v>
      </c>
      <c r="BF53" s="119"/>
      <c r="BG53" s="200">
        <f t="shared" si="76"/>
        <v>84</v>
      </c>
      <c r="BH53" s="184">
        <f t="shared" si="77"/>
        <v>1</v>
      </c>
      <c r="BI53" s="52">
        <f t="shared" si="78"/>
        <v>8132</v>
      </c>
      <c r="BJ53" s="126">
        <f t="shared" si="79"/>
        <v>4066</v>
      </c>
      <c r="BK53" s="78"/>
      <c r="BL53" s="66"/>
      <c r="BM53" s="78"/>
      <c r="BN53" s="51"/>
      <c r="BO53" s="78"/>
      <c r="BP53" s="9"/>
      <c r="BQ53" s="49"/>
      <c r="BR53" s="9"/>
      <c r="BS53" s="189">
        <f t="shared" si="57"/>
        <v>8132</v>
      </c>
      <c r="BT53" s="182">
        <f t="shared" si="58"/>
        <v>4066</v>
      </c>
      <c r="BU53" s="64">
        <f t="shared" si="88"/>
        <v>683088</v>
      </c>
      <c r="BV53" s="80">
        <f t="shared" si="81"/>
        <v>4066</v>
      </c>
      <c r="BW53" s="215">
        <f t="shared" si="59"/>
        <v>77</v>
      </c>
      <c r="BX53" s="216">
        <f t="shared" si="60"/>
        <v>4066</v>
      </c>
      <c r="BY53" s="212"/>
      <c r="BZ53" s="212"/>
      <c r="CA53" s="212"/>
      <c r="CB53" s="212"/>
      <c r="CC53" s="219">
        <f t="shared" si="61"/>
        <v>4066</v>
      </c>
      <c r="CD53" s="79">
        <f t="shared" si="62"/>
        <v>313082</v>
      </c>
      <c r="CE53" s="78">
        <v>236400</v>
      </c>
      <c r="CF53" s="79"/>
      <c r="CG53" s="79"/>
      <c r="CH53" s="80"/>
      <c r="CI53" s="75">
        <v>48</v>
      </c>
      <c r="CJ53" s="76"/>
      <c r="CK53" s="76"/>
      <c r="CL53" s="77"/>
      <c r="CM53" s="75">
        <v>424</v>
      </c>
      <c r="CN53" s="76"/>
      <c r="CO53" s="76"/>
      <c r="CP53" s="77"/>
      <c r="CQ53" s="78">
        <f t="shared" ref="CQ53:CQ58" si="95">CE53/CI53</f>
        <v>4925</v>
      </c>
      <c r="CR53" s="79"/>
      <c r="CS53" s="79"/>
      <c r="CT53" s="80"/>
      <c r="CU53" s="200">
        <f t="shared" si="82"/>
        <v>48</v>
      </c>
      <c r="CV53" s="128">
        <f t="shared" si="83"/>
        <v>0</v>
      </c>
      <c r="CW53" s="52">
        <f t="shared" si="84"/>
        <v>4925</v>
      </c>
      <c r="CX53" s="57">
        <f t="shared" si="85"/>
        <v>0</v>
      </c>
      <c r="CY53" s="78"/>
      <c r="CZ53" s="66"/>
      <c r="DA53" s="78"/>
      <c r="DB53" s="51"/>
      <c r="DC53" s="78"/>
      <c r="DD53" s="9"/>
      <c r="DE53" s="49"/>
      <c r="DF53" s="9"/>
      <c r="DG53" s="189">
        <f t="shared" si="63"/>
        <v>4925</v>
      </c>
      <c r="DH53" s="57">
        <f t="shared" si="64"/>
        <v>0</v>
      </c>
      <c r="DI53" s="64">
        <f t="shared" si="89"/>
        <v>236400</v>
      </c>
      <c r="DJ53" s="80">
        <f t="shared" ref="DJ53:DJ63" si="96">DH53*CV53</f>
        <v>0</v>
      </c>
      <c r="DK53" s="215">
        <f t="shared" si="66"/>
        <v>48</v>
      </c>
      <c r="DL53" s="216">
        <f t="shared" si="67"/>
        <v>4925</v>
      </c>
      <c r="DM53" s="224"/>
      <c r="DN53" s="224"/>
      <c r="DO53" s="224"/>
      <c r="DP53" s="224"/>
      <c r="DQ53" s="219">
        <f t="shared" si="68"/>
        <v>4925</v>
      </c>
      <c r="DR53" s="79">
        <f t="shared" si="69"/>
        <v>236400</v>
      </c>
      <c r="DS53" s="212"/>
      <c r="DT53" s="78"/>
      <c r="DU53" s="80"/>
    </row>
    <row r="54" spans="1:125" x14ac:dyDescent="0.3">
      <c r="A54" s="20" t="s">
        <v>53</v>
      </c>
      <c r="B54" s="39" t="s">
        <v>22</v>
      </c>
      <c r="C54" s="78">
        <v>1409400</v>
      </c>
      <c r="D54" s="79">
        <v>247950</v>
      </c>
      <c r="E54" s="79">
        <v>52200</v>
      </c>
      <c r="F54" s="80"/>
      <c r="G54" s="98">
        <v>108</v>
      </c>
      <c r="H54" s="99">
        <v>19</v>
      </c>
      <c r="I54" s="105">
        <v>4</v>
      </c>
      <c r="J54" s="106"/>
      <c r="K54" s="75">
        <v>1556</v>
      </c>
      <c r="L54" s="76">
        <v>868</v>
      </c>
      <c r="M54" s="76">
        <v>984</v>
      </c>
      <c r="N54" s="77"/>
      <c r="O54" s="112">
        <f t="shared" si="90"/>
        <v>13050</v>
      </c>
      <c r="P54" s="113">
        <f>D54/H54</f>
        <v>13050</v>
      </c>
      <c r="Q54" s="109">
        <f>E54/I54</f>
        <v>13050</v>
      </c>
      <c r="R54" s="123"/>
      <c r="S54" s="200">
        <f t="shared" si="70"/>
        <v>127</v>
      </c>
      <c r="T54" s="184">
        <f t="shared" si="71"/>
        <v>4</v>
      </c>
      <c r="U54" s="52">
        <f t="shared" si="72"/>
        <v>26100</v>
      </c>
      <c r="V54" s="126">
        <f t="shared" si="73"/>
        <v>13050</v>
      </c>
      <c r="W54" s="78"/>
      <c r="X54" s="66"/>
      <c r="Y54" s="78"/>
      <c r="Z54" s="51"/>
      <c r="AA54" s="78"/>
      <c r="AB54" s="9"/>
      <c r="AC54" s="49"/>
      <c r="AD54" s="9"/>
      <c r="AE54" s="189">
        <f t="shared" si="51"/>
        <v>26100</v>
      </c>
      <c r="AF54" s="182">
        <f t="shared" si="52"/>
        <v>13050</v>
      </c>
      <c r="AG54" s="64">
        <f t="shared" si="74"/>
        <v>3314700</v>
      </c>
      <c r="AH54" s="80">
        <f t="shared" si="75"/>
        <v>52200</v>
      </c>
      <c r="AI54" s="59">
        <f t="shared" si="53"/>
        <v>108</v>
      </c>
      <c r="AJ54" s="216">
        <f t="shared" si="54"/>
        <v>13050</v>
      </c>
      <c r="AK54" s="212"/>
      <c r="AL54" s="212"/>
      <c r="AM54" s="212"/>
      <c r="AN54" s="212"/>
      <c r="AO54" s="56">
        <f t="shared" si="55"/>
        <v>0</v>
      </c>
      <c r="AP54" s="79">
        <f t="shared" si="56"/>
        <v>0</v>
      </c>
      <c r="AQ54" s="78">
        <v>1288790.5</v>
      </c>
      <c r="AR54" s="79">
        <v>132865</v>
      </c>
      <c r="AS54" s="79">
        <v>26573</v>
      </c>
      <c r="AT54" s="80"/>
      <c r="AU54" s="204">
        <v>97</v>
      </c>
      <c r="AV54" s="105">
        <v>10</v>
      </c>
      <c r="AW54" s="94">
        <v>2</v>
      </c>
      <c r="AX54" s="101"/>
      <c r="AY54" s="75">
        <v>1410</v>
      </c>
      <c r="AZ54" s="76">
        <v>721</v>
      </c>
      <c r="BA54" s="76">
        <v>440</v>
      </c>
      <c r="BB54" s="77"/>
      <c r="BC54" s="112">
        <f t="shared" si="94"/>
        <v>13286.5</v>
      </c>
      <c r="BD54" s="113">
        <f t="shared" si="94"/>
        <v>13286.5</v>
      </c>
      <c r="BE54" s="118">
        <f t="shared" si="94"/>
        <v>13286.5</v>
      </c>
      <c r="BF54" s="119"/>
      <c r="BG54" s="200">
        <f t="shared" si="76"/>
        <v>107</v>
      </c>
      <c r="BH54" s="184">
        <f t="shared" si="77"/>
        <v>2</v>
      </c>
      <c r="BI54" s="52">
        <f t="shared" si="78"/>
        <v>26573</v>
      </c>
      <c r="BJ54" s="126">
        <f t="shared" si="79"/>
        <v>13286.5</v>
      </c>
      <c r="BK54" s="78"/>
      <c r="BL54" s="66"/>
      <c r="BM54" s="78"/>
      <c r="BN54" s="51"/>
      <c r="BO54" s="78"/>
      <c r="BP54" s="9"/>
      <c r="BQ54" s="49"/>
      <c r="BR54" s="9"/>
      <c r="BS54" s="189">
        <f t="shared" si="57"/>
        <v>26573</v>
      </c>
      <c r="BT54" s="182">
        <f t="shared" si="58"/>
        <v>13286.5</v>
      </c>
      <c r="BU54" s="64">
        <f t="shared" si="88"/>
        <v>2843311</v>
      </c>
      <c r="BV54" s="80">
        <f t="shared" si="81"/>
        <v>26573</v>
      </c>
      <c r="BW54" s="59">
        <f t="shared" si="59"/>
        <v>97</v>
      </c>
      <c r="BX54" s="216">
        <f t="shared" si="60"/>
        <v>13286.5</v>
      </c>
      <c r="BY54" s="212"/>
      <c r="BZ54" s="212"/>
      <c r="CA54" s="212"/>
      <c r="CB54" s="212"/>
      <c r="CC54" s="56">
        <f t="shared" si="61"/>
        <v>13286.5</v>
      </c>
      <c r="CD54" s="79">
        <f t="shared" si="62"/>
        <v>1288790.5</v>
      </c>
      <c r="CE54" s="78">
        <v>1692400</v>
      </c>
      <c r="CF54" s="79">
        <v>135392</v>
      </c>
      <c r="CG54" s="79">
        <v>13539.2</v>
      </c>
      <c r="CH54" s="80"/>
      <c r="CI54" s="75">
        <v>125</v>
      </c>
      <c r="CJ54" s="76">
        <v>10</v>
      </c>
      <c r="CK54" s="76">
        <v>1</v>
      </c>
      <c r="CL54" s="77"/>
      <c r="CM54" s="75">
        <v>1739</v>
      </c>
      <c r="CN54" s="76">
        <v>605</v>
      </c>
      <c r="CO54" s="76">
        <v>400</v>
      </c>
      <c r="CP54" s="77"/>
      <c r="CQ54" s="78">
        <f t="shared" si="95"/>
        <v>13539.2</v>
      </c>
      <c r="CR54" s="79">
        <f>CF54/CJ54</f>
        <v>13539.2</v>
      </c>
      <c r="CS54" s="79">
        <f>CG54/CK54</f>
        <v>13539.2</v>
      </c>
      <c r="CT54" s="80"/>
      <c r="CU54" s="200">
        <f t="shared" si="82"/>
        <v>135</v>
      </c>
      <c r="CV54" s="184">
        <f t="shared" si="83"/>
        <v>1</v>
      </c>
      <c r="CW54" s="52">
        <f t="shared" si="84"/>
        <v>27078.400000000001</v>
      </c>
      <c r="CX54" s="126">
        <f t="shared" si="85"/>
        <v>13539.2</v>
      </c>
      <c r="CY54" s="78"/>
      <c r="CZ54" s="66"/>
      <c r="DA54" s="78"/>
      <c r="DB54" s="51"/>
      <c r="DC54" s="78"/>
      <c r="DD54" s="9"/>
      <c r="DE54" s="49"/>
      <c r="DF54" s="9"/>
      <c r="DG54" s="189">
        <f t="shared" si="63"/>
        <v>27078.400000000001</v>
      </c>
      <c r="DH54" s="182">
        <f t="shared" si="64"/>
        <v>13539.2</v>
      </c>
      <c r="DI54" s="64">
        <f t="shared" si="89"/>
        <v>3655584</v>
      </c>
      <c r="DJ54" s="80">
        <f t="shared" si="96"/>
        <v>13539.2</v>
      </c>
      <c r="DK54" s="59">
        <f t="shared" si="66"/>
        <v>125</v>
      </c>
      <c r="DL54" s="216">
        <f t="shared" si="67"/>
        <v>13539.2</v>
      </c>
      <c r="DM54" s="224"/>
      <c r="DN54" s="224"/>
      <c r="DO54" s="224"/>
      <c r="DP54" s="224"/>
      <c r="DQ54" s="56">
        <f t="shared" si="68"/>
        <v>0</v>
      </c>
      <c r="DR54" s="79">
        <f t="shared" si="69"/>
        <v>0</v>
      </c>
      <c r="DS54" s="212"/>
      <c r="DT54" s="78"/>
      <c r="DU54" s="80"/>
    </row>
    <row r="55" spans="1:125" x14ac:dyDescent="0.3">
      <c r="A55" s="20" t="s">
        <v>54</v>
      </c>
      <c r="B55" s="83" t="s">
        <v>23</v>
      </c>
      <c r="C55" s="78">
        <v>4803527.3</v>
      </c>
      <c r="D55" s="79">
        <v>0</v>
      </c>
      <c r="E55" s="79">
        <v>0</v>
      </c>
      <c r="F55" s="80">
        <v>0</v>
      </c>
      <c r="G55" s="98">
        <v>296</v>
      </c>
      <c r="H55" s="99">
        <v>0</v>
      </c>
      <c r="I55" s="105">
        <v>0</v>
      </c>
      <c r="J55" s="106">
        <v>0</v>
      </c>
      <c r="K55" s="75">
        <v>6305</v>
      </c>
      <c r="L55" s="76">
        <v>0</v>
      </c>
      <c r="M55" s="76">
        <v>0</v>
      </c>
      <c r="N55" s="77">
        <v>0</v>
      </c>
      <c r="O55" s="112">
        <f t="shared" si="90"/>
        <v>16228.132770270269</v>
      </c>
      <c r="P55" s="113">
        <v>0</v>
      </c>
      <c r="Q55" s="109">
        <v>0</v>
      </c>
      <c r="R55" s="123">
        <v>0</v>
      </c>
      <c r="S55" s="200">
        <f t="shared" si="70"/>
        <v>296</v>
      </c>
      <c r="T55" s="128">
        <f t="shared" si="71"/>
        <v>0</v>
      </c>
      <c r="U55" s="52">
        <f t="shared" si="72"/>
        <v>16228.132770270269</v>
      </c>
      <c r="V55" s="57">
        <f t="shared" si="73"/>
        <v>0</v>
      </c>
      <c r="W55" s="75"/>
      <c r="X55" s="66"/>
      <c r="Y55" s="78"/>
      <c r="Z55" s="77"/>
      <c r="AA55" s="49"/>
      <c r="AB55" s="9"/>
      <c r="AC55" s="49"/>
      <c r="AD55" s="9"/>
      <c r="AE55" s="189">
        <f t="shared" si="51"/>
        <v>16228.132770270269</v>
      </c>
      <c r="AF55" s="57">
        <f t="shared" si="52"/>
        <v>0</v>
      </c>
      <c r="AG55" s="64">
        <f t="shared" si="74"/>
        <v>4803527.3</v>
      </c>
      <c r="AH55" s="80">
        <f t="shared" si="75"/>
        <v>0</v>
      </c>
      <c r="AI55" s="59">
        <f t="shared" si="53"/>
        <v>296</v>
      </c>
      <c r="AJ55" s="216">
        <f t="shared" si="54"/>
        <v>16228.132770270269</v>
      </c>
      <c r="AK55" s="212"/>
      <c r="AL55" s="212"/>
      <c r="AM55" s="212"/>
      <c r="AN55" s="212"/>
      <c r="AO55" s="56">
        <f t="shared" si="55"/>
        <v>0</v>
      </c>
      <c r="AP55" s="79">
        <f t="shared" si="56"/>
        <v>0</v>
      </c>
      <c r="AQ55" s="78">
        <v>4123498.52</v>
      </c>
      <c r="AR55" s="79">
        <v>0</v>
      </c>
      <c r="AS55" s="79">
        <v>0</v>
      </c>
      <c r="AT55" s="80">
        <v>0</v>
      </c>
      <c r="AU55" s="204">
        <v>305</v>
      </c>
      <c r="AV55" s="105">
        <v>0</v>
      </c>
      <c r="AW55" s="94">
        <v>0</v>
      </c>
      <c r="AX55" s="101">
        <v>0</v>
      </c>
      <c r="AY55" s="75">
        <v>5878.2</v>
      </c>
      <c r="AZ55" s="76">
        <v>0</v>
      </c>
      <c r="BA55" s="76">
        <v>0</v>
      </c>
      <c r="BB55" s="77">
        <v>0</v>
      </c>
      <c r="BC55" s="112">
        <f>AQ55/AU55</f>
        <v>13519.667278688525</v>
      </c>
      <c r="BD55" s="113">
        <v>0</v>
      </c>
      <c r="BE55" s="118">
        <v>0</v>
      </c>
      <c r="BF55" s="119">
        <v>0</v>
      </c>
      <c r="BG55" s="200">
        <f t="shared" si="76"/>
        <v>305</v>
      </c>
      <c r="BH55" s="128">
        <f t="shared" si="77"/>
        <v>0</v>
      </c>
      <c r="BI55" s="52">
        <f t="shared" si="78"/>
        <v>13519.667278688525</v>
      </c>
      <c r="BJ55" s="57">
        <f t="shared" si="79"/>
        <v>0</v>
      </c>
      <c r="BK55" s="75"/>
      <c r="BL55" s="66"/>
      <c r="BM55" s="78"/>
      <c r="BN55" s="77"/>
      <c r="BO55" s="49"/>
      <c r="BP55" s="9"/>
      <c r="BQ55" s="49"/>
      <c r="BR55" s="9"/>
      <c r="BS55" s="189">
        <f t="shared" si="57"/>
        <v>13519.667278688525</v>
      </c>
      <c r="BT55" s="57">
        <f t="shared" si="58"/>
        <v>0</v>
      </c>
      <c r="BU55" s="64">
        <f t="shared" si="88"/>
        <v>4123498.52</v>
      </c>
      <c r="BV55" s="80">
        <f t="shared" si="81"/>
        <v>0</v>
      </c>
      <c r="BW55" s="59">
        <f t="shared" si="59"/>
        <v>305</v>
      </c>
      <c r="BX55" s="216">
        <f t="shared" si="60"/>
        <v>13519.667278688525</v>
      </c>
      <c r="BY55" s="212"/>
      <c r="BZ55" s="212"/>
      <c r="CA55" s="212"/>
      <c r="CB55" s="212"/>
      <c r="CC55" s="56">
        <f t="shared" si="61"/>
        <v>0</v>
      </c>
      <c r="CD55" s="79">
        <f t="shared" si="62"/>
        <v>0</v>
      </c>
      <c r="CE55" s="78">
        <v>6981613.5099999998</v>
      </c>
      <c r="CF55" s="79">
        <v>0</v>
      </c>
      <c r="CG55" s="79">
        <v>0</v>
      </c>
      <c r="CH55" s="80">
        <v>0</v>
      </c>
      <c r="CI55" s="75">
        <v>426</v>
      </c>
      <c r="CJ55" s="76">
        <v>0</v>
      </c>
      <c r="CK55" s="76">
        <v>0</v>
      </c>
      <c r="CL55" s="77">
        <v>0</v>
      </c>
      <c r="CM55" s="75">
        <v>9184.4</v>
      </c>
      <c r="CN55" s="76">
        <v>0</v>
      </c>
      <c r="CO55" s="76">
        <v>0</v>
      </c>
      <c r="CP55" s="77">
        <v>0</v>
      </c>
      <c r="CQ55" s="78">
        <f t="shared" si="95"/>
        <v>16388.76410798122</v>
      </c>
      <c r="CR55" s="79">
        <v>0</v>
      </c>
      <c r="CS55" s="79">
        <v>0</v>
      </c>
      <c r="CT55" s="80">
        <v>0</v>
      </c>
      <c r="CU55" s="200">
        <f t="shared" si="82"/>
        <v>426</v>
      </c>
      <c r="CV55" s="128">
        <f t="shared" si="83"/>
        <v>0</v>
      </c>
      <c r="CW55" s="52">
        <f t="shared" si="84"/>
        <v>16388.76410798122</v>
      </c>
      <c r="CX55" s="57">
        <f t="shared" si="85"/>
        <v>0</v>
      </c>
      <c r="CY55" s="75"/>
      <c r="CZ55" s="66"/>
      <c r="DA55" s="78"/>
      <c r="DB55" s="77"/>
      <c r="DC55" s="49"/>
      <c r="DD55" s="9"/>
      <c r="DE55" s="49"/>
      <c r="DF55" s="9"/>
      <c r="DG55" s="189">
        <f t="shared" si="63"/>
        <v>16388.76410798122</v>
      </c>
      <c r="DH55" s="57">
        <f t="shared" si="64"/>
        <v>0</v>
      </c>
      <c r="DI55" s="64">
        <f t="shared" si="89"/>
        <v>6981613.5099999998</v>
      </c>
      <c r="DJ55" s="80">
        <f t="shared" si="96"/>
        <v>0</v>
      </c>
      <c r="DK55" s="59">
        <f t="shared" si="66"/>
        <v>426</v>
      </c>
      <c r="DL55" s="216">
        <f t="shared" si="67"/>
        <v>16388.76410798122</v>
      </c>
      <c r="DM55" s="224"/>
      <c r="DN55" s="224"/>
      <c r="DO55" s="224"/>
      <c r="DP55" s="224"/>
      <c r="DQ55" s="56">
        <f t="shared" si="68"/>
        <v>0</v>
      </c>
      <c r="DR55" s="79">
        <f t="shared" si="69"/>
        <v>0</v>
      </c>
      <c r="DS55" s="212"/>
      <c r="DT55" s="78"/>
      <c r="DU55" s="80"/>
    </row>
    <row r="56" spans="1:125" x14ac:dyDescent="0.3">
      <c r="A56" s="20" t="s">
        <v>55</v>
      </c>
      <c r="B56" s="39" t="s">
        <v>24</v>
      </c>
      <c r="C56" s="78">
        <v>16612.900000000001</v>
      </c>
      <c r="D56" s="79">
        <v>7379.55</v>
      </c>
      <c r="E56" s="79"/>
      <c r="F56" s="80"/>
      <c r="G56" s="98">
        <v>35</v>
      </c>
      <c r="H56" s="99">
        <v>2</v>
      </c>
      <c r="I56" s="105"/>
      <c r="J56" s="106"/>
      <c r="K56" s="75">
        <v>466</v>
      </c>
      <c r="L56" s="76">
        <v>207</v>
      </c>
      <c r="M56" s="76"/>
      <c r="N56" s="77"/>
      <c r="O56" s="112">
        <f t="shared" si="90"/>
        <v>474.65428571428578</v>
      </c>
      <c r="P56" s="113">
        <f>D56/H56</f>
        <v>3689.7750000000001</v>
      </c>
      <c r="Q56" s="109"/>
      <c r="R56" s="123"/>
      <c r="S56" s="200">
        <f t="shared" si="70"/>
        <v>37</v>
      </c>
      <c r="T56" s="128">
        <f t="shared" si="71"/>
        <v>0</v>
      </c>
      <c r="U56" s="52">
        <f t="shared" si="72"/>
        <v>4164.4292857142855</v>
      </c>
      <c r="V56" s="57">
        <f t="shared" si="73"/>
        <v>0</v>
      </c>
      <c r="W56" s="75"/>
      <c r="X56" s="66"/>
      <c r="Y56" s="78"/>
      <c r="Z56" s="77"/>
      <c r="AA56" s="75"/>
      <c r="AB56" s="90"/>
      <c r="AC56" s="75"/>
      <c r="AD56" s="90"/>
      <c r="AE56" s="189">
        <f t="shared" si="51"/>
        <v>4164.4292857142855</v>
      </c>
      <c r="AF56" s="57">
        <f t="shared" si="52"/>
        <v>0</v>
      </c>
      <c r="AG56" s="64">
        <f t="shared" si="74"/>
        <v>154083.88357142857</v>
      </c>
      <c r="AH56" s="80">
        <f t="shared" si="75"/>
        <v>0</v>
      </c>
      <c r="AI56" s="215">
        <f t="shared" si="53"/>
        <v>35</v>
      </c>
      <c r="AJ56" s="216">
        <f>O56</f>
        <v>474.65428571428578</v>
      </c>
      <c r="AK56" s="212"/>
      <c r="AL56" s="212"/>
      <c r="AM56" s="212"/>
      <c r="AN56" s="212"/>
      <c r="AO56" s="219">
        <f t="shared" si="55"/>
        <v>0</v>
      </c>
      <c r="AP56" s="79">
        <f t="shared" si="56"/>
        <v>0</v>
      </c>
      <c r="AQ56" s="78">
        <v>23122.06</v>
      </c>
      <c r="AR56" s="79"/>
      <c r="AS56" s="79"/>
      <c r="AT56" s="80"/>
      <c r="AU56" s="204">
        <v>57</v>
      </c>
      <c r="AV56" s="105"/>
      <c r="AW56" s="94"/>
      <c r="AX56" s="101"/>
      <c r="AY56" s="75">
        <v>787</v>
      </c>
      <c r="AZ56" s="76"/>
      <c r="BA56" s="76"/>
      <c r="BB56" s="77"/>
      <c r="BC56" s="112">
        <f>AQ56/AU56</f>
        <v>405.65017543859653</v>
      </c>
      <c r="BD56" s="113"/>
      <c r="BE56" s="118"/>
      <c r="BF56" s="119"/>
      <c r="BG56" s="200">
        <f t="shared" si="76"/>
        <v>57</v>
      </c>
      <c r="BH56" s="128">
        <f t="shared" si="77"/>
        <v>0</v>
      </c>
      <c r="BI56" s="52">
        <f t="shared" si="78"/>
        <v>405.65017543859653</v>
      </c>
      <c r="BJ56" s="57">
        <f t="shared" si="79"/>
        <v>0</v>
      </c>
      <c r="BK56" s="75"/>
      <c r="BL56" s="66"/>
      <c r="BM56" s="78"/>
      <c r="BN56" s="77"/>
      <c r="BO56" s="75"/>
      <c r="BP56" s="90"/>
      <c r="BQ56" s="75"/>
      <c r="BR56" s="90"/>
      <c r="BS56" s="189">
        <f t="shared" si="57"/>
        <v>405.65017543859653</v>
      </c>
      <c r="BT56" s="57">
        <f t="shared" si="58"/>
        <v>0</v>
      </c>
      <c r="BU56" s="64">
        <f t="shared" si="88"/>
        <v>23122.06</v>
      </c>
      <c r="BV56" s="80">
        <f t="shared" si="81"/>
        <v>0</v>
      </c>
      <c r="BW56" s="215">
        <f t="shared" si="59"/>
        <v>57</v>
      </c>
      <c r="BX56" s="216">
        <f>BC56</f>
        <v>405.65017543859653</v>
      </c>
      <c r="BY56" s="212"/>
      <c r="BZ56" s="212"/>
      <c r="CA56" s="212"/>
      <c r="CB56" s="212"/>
      <c r="CC56" s="219">
        <f t="shared" si="61"/>
        <v>405.65017543859653</v>
      </c>
      <c r="CD56" s="79">
        <f t="shared" si="62"/>
        <v>23122.06</v>
      </c>
      <c r="CE56" s="78">
        <v>20943.8</v>
      </c>
      <c r="CF56" s="79">
        <v>12293.1</v>
      </c>
      <c r="CG56" s="79"/>
      <c r="CH56" s="80"/>
      <c r="CI56" s="75">
        <v>32</v>
      </c>
      <c r="CJ56" s="76">
        <v>3</v>
      </c>
      <c r="CK56" s="76"/>
      <c r="CL56" s="77"/>
      <c r="CM56" s="75">
        <v>460</v>
      </c>
      <c r="CN56" s="76">
        <v>270</v>
      </c>
      <c r="CO56" s="76"/>
      <c r="CP56" s="77"/>
      <c r="CQ56" s="78">
        <f t="shared" si="95"/>
        <v>654.49374999999998</v>
      </c>
      <c r="CR56" s="79">
        <f>CF56/CJ56</f>
        <v>4097.7</v>
      </c>
      <c r="CS56" s="79"/>
      <c r="CT56" s="80"/>
      <c r="CU56" s="200">
        <f t="shared" si="82"/>
        <v>35</v>
      </c>
      <c r="CV56" s="128">
        <f t="shared" si="83"/>
        <v>0</v>
      </c>
      <c r="CW56" s="52">
        <f t="shared" si="84"/>
        <v>4752.1937499999995</v>
      </c>
      <c r="CX56" s="57">
        <f t="shared" si="85"/>
        <v>0</v>
      </c>
      <c r="CY56" s="75"/>
      <c r="CZ56" s="66"/>
      <c r="DA56" s="78"/>
      <c r="DB56" s="77"/>
      <c r="DC56" s="75"/>
      <c r="DD56" s="90"/>
      <c r="DE56" s="75"/>
      <c r="DF56" s="90"/>
      <c r="DG56" s="189">
        <f t="shared" si="63"/>
        <v>4752.1937499999995</v>
      </c>
      <c r="DH56" s="57">
        <f t="shared" si="64"/>
        <v>0</v>
      </c>
      <c r="DI56" s="64">
        <f t="shared" si="89"/>
        <v>166326.78124999997</v>
      </c>
      <c r="DJ56" s="80">
        <f t="shared" si="96"/>
        <v>0</v>
      </c>
      <c r="DK56" s="215">
        <f t="shared" si="66"/>
        <v>32</v>
      </c>
      <c r="DL56" s="216">
        <f>CQ56</f>
        <v>654.49374999999998</v>
      </c>
      <c r="DM56" s="224"/>
      <c r="DN56" s="224"/>
      <c r="DO56" s="224"/>
      <c r="DP56" s="224"/>
      <c r="DQ56" s="219">
        <f t="shared" si="68"/>
        <v>654.49374999999998</v>
      </c>
      <c r="DR56" s="79">
        <f t="shared" si="69"/>
        <v>20943.8</v>
      </c>
      <c r="DS56" s="212"/>
      <c r="DT56" s="78"/>
      <c r="DU56" s="80"/>
    </row>
    <row r="57" spans="1:125" s="46" customFormat="1" ht="28.8" x14ac:dyDescent="0.3">
      <c r="A57" s="45" t="s">
        <v>56</v>
      </c>
      <c r="B57" s="39" t="s">
        <v>25</v>
      </c>
      <c r="C57" s="55">
        <v>1913952.3</v>
      </c>
      <c r="D57" s="56">
        <v>390602.51</v>
      </c>
      <c r="E57" s="56">
        <v>29295.19</v>
      </c>
      <c r="F57" s="57"/>
      <c r="G57" s="98">
        <v>98</v>
      </c>
      <c r="H57" s="99">
        <v>16</v>
      </c>
      <c r="I57" s="105">
        <v>1</v>
      </c>
      <c r="J57" s="106"/>
      <c r="K57" s="58">
        <v>1066</v>
      </c>
      <c r="L57" s="59">
        <v>760.5</v>
      </c>
      <c r="M57" s="59">
        <v>100</v>
      </c>
      <c r="N57" s="60"/>
      <c r="O57" s="112">
        <f t="shared" si="90"/>
        <v>19530.125510204081</v>
      </c>
      <c r="P57" s="113">
        <f>D57/H57</f>
        <v>24412.656875000001</v>
      </c>
      <c r="Q57" s="109">
        <f>E57/I57</f>
        <v>29295.19</v>
      </c>
      <c r="R57" s="123"/>
      <c r="S57" s="59">
        <f t="shared" si="70"/>
        <v>114</v>
      </c>
      <c r="T57" s="184">
        <f t="shared" si="71"/>
        <v>1</v>
      </c>
      <c r="U57" s="52">
        <f t="shared" si="72"/>
        <v>43942.782385204082</v>
      </c>
      <c r="V57" s="126">
        <f t="shared" si="73"/>
        <v>29295.19</v>
      </c>
      <c r="W57" s="58"/>
      <c r="X57" s="66"/>
      <c r="Y57" s="78"/>
      <c r="Z57" s="60"/>
      <c r="AA57" s="58"/>
      <c r="AB57" s="128"/>
      <c r="AC57" s="58"/>
      <c r="AD57" s="128"/>
      <c r="AE57" s="55">
        <f t="shared" si="51"/>
        <v>43942.782385204082</v>
      </c>
      <c r="AF57" s="182">
        <f t="shared" si="52"/>
        <v>29295.19</v>
      </c>
      <c r="AG57" s="64">
        <f t="shared" si="74"/>
        <v>5009477.1919132657</v>
      </c>
      <c r="AH57" s="80">
        <f t="shared" si="75"/>
        <v>29295.19</v>
      </c>
      <c r="AI57" s="59">
        <f t="shared" si="53"/>
        <v>98</v>
      </c>
      <c r="AJ57" s="216">
        <f t="shared" si="54"/>
        <v>19530.125510204081</v>
      </c>
      <c r="AK57" s="212"/>
      <c r="AL57" s="212"/>
      <c r="AM57" s="212"/>
      <c r="AN57" s="212"/>
      <c r="AO57" s="56">
        <f t="shared" si="55"/>
        <v>0</v>
      </c>
      <c r="AP57" s="79">
        <f t="shared" si="56"/>
        <v>0</v>
      </c>
      <c r="AQ57" s="55">
        <v>1970298.74</v>
      </c>
      <c r="AR57" s="56">
        <v>313456.62</v>
      </c>
      <c r="AS57" s="56">
        <v>33584.639999999999</v>
      </c>
      <c r="AT57" s="57"/>
      <c r="AU57" s="204">
        <v>110</v>
      </c>
      <c r="AV57" s="105">
        <v>14</v>
      </c>
      <c r="AW57" s="94">
        <v>1</v>
      </c>
      <c r="AX57" s="101"/>
      <c r="AY57" s="58">
        <v>1108</v>
      </c>
      <c r="AZ57" s="59">
        <v>698.26</v>
      </c>
      <c r="BA57" s="59">
        <v>200</v>
      </c>
      <c r="BB57" s="60"/>
      <c r="BC57" s="112">
        <f>AQ57/AU57</f>
        <v>17911.806727272728</v>
      </c>
      <c r="BD57" s="113">
        <f>AR57/AV57</f>
        <v>22389.758571428571</v>
      </c>
      <c r="BE57" s="118">
        <f>AS57/AW57</f>
        <v>33584.639999999999</v>
      </c>
      <c r="BF57" s="119"/>
      <c r="BG57" s="200">
        <f t="shared" si="76"/>
        <v>124</v>
      </c>
      <c r="BH57" s="184">
        <f t="shared" si="77"/>
        <v>1</v>
      </c>
      <c r="BI57" s="52">
        <f t="shared" si="78"/>
        <v>40301.565298701302</v>
      </c>
      <c r="BJ57" s="126">
        <f t="shared" si="79"/>
        <v>33584.639999999999</v>
      </c>
      <c r="BK57" s="58"/>
      <c r="BL57" s="66"/>
      <c r="BM57" s="78"/>
      <c r="BN57" s="60"/>
      <c r="BO57" s="58"/>
      <c r="BP57" s="128"/>
      <c r="BQ57" s="58"/>
      <c r="BR57" s="128"/>
      <c r="BS57" s="189">
        <f t="shared" si="57"/>
        <v>40301.565298701302</v>
      </c>
      <c r="BT57" s="182">
        <f t="shared" si="58"/>
        <v>33584.639999999999</v>
      </c>
      <c r="BU57" s="64">
        <f t="shared" si="88"/>
        <v>4997394.097038961</v>
      </c>
      <c r="BV57" s="80">
        <f t="shared" si="81"/>
        <v>33584.639999999999</v>
      </c>
      <c r="BW57" s="59">
        <f t="shared" si="59"/>
        <v>110</v>
      </c>
      <c r="BX57" s="216">
        <f t="shared" ref="BX57:BX63" si="97">BC57</f>
        <v>17911.806727272728</v>
      </c>
      <c r="BY57" s="212"/>
      <c r="BZ57" s="212"/>
      <c r="CA57" s="212"/>
      <c r="CB57" s="212"/>
      <c r="CC57" s="56">
        <f t="shared" si="61"/>
        <v>0</v>
      </c>
      <c r="CD57" s="79">
        <f t="shared" si="62"/>
        <v>0</v>
      </c>
      <c r="CE57" s="55">
        <v>606228.53</v>
      </c>
      <c r="CF57" s="56">
        <v>97536.77</v>
      </c>
      <c r="CG57" s="56">
        <v>27010.18</v>
      </c>
      <c r="CH57" s="57">
        <v>12004.53</v>
      </c>
      <c r="CI57" s="58">
        <v>101</v>
      </c>
      <c r="CJ57" s="59">
        <v>13</v>
      </c>
      <c r="CK57" s="59">
        <v>3</v>
      </c>
      <c r="CL57" s="60">
        <v>1</v>
      </c>
      <c r="CM57" s="58">
        <v>986.79</v>
      </c>
      <c r="CN57" s="59">
        <v>456.21</v>
      </c>
      <c r="CO57" s="59">
        <v>345.04</v>
      </c>
      <c r="CP57" s="60">
        <v>690</v>
      </c>
      <c r="CQ57" s="55">
        <f t="shared" si="95"/>
        <v>6002.262673267327</v>
      </c>
      <c r="CR57" s="56">
        <f>CF57/CJ57</f>
        <v>7502.8284615384619</v>
      </c>
      <c r="CS57" s="56">
        <f>CG57/CK57</f>
        <v>9003.3933333333334</v>
      </c>
      <c r="CT57" s="57">
        <f>CH57/CL57</f>
        <v>12004.53</v>
      </c>
      <c r="CU57" s="200">
        <f t="shared" si="82"/>
        <v>114</v>
      </c>
      <c r="CV57" s="184">
        <f t="shared" si="83"/>
        <v>4</v>
      </c>
      <c r="CW57" s="52">
        <f t="shared" si="84"/>
        <v>13505.091134805789</v>
      </c>
      <c r="CX57" s="126">
        <f t="shared" si="85"/>
        <v>21007.923333333332</v>
      </c>
      <c r="CY57" s="58"/>
      <c r="CZ57" s="66"/>
      <c r="DA57" s="78"/>
      <c r="DB57" s="60"/>
      <c r="DC57" s="58"/>
      <c r="DD57" s="128"/>
      <c r="DE57" s="58"/>
      <c r="DF57" s="128"/>
      <c r="DG57" s="189">
        <f t="shared" si="63"/>
        <v>13505.091134805789</v>
      </c>
      <c r="DH57" s="182">
        <f t="shared" si="64"/>
        <v>21007.923333333332</v>
      </c>
      <c r="DI57" s="64">
        <f t="shared" si="89"/>
        <v>1539580.38936786</v>
      </c>
      <c r="DJ57" s="80">
        <f t="shared" si="96"/>
        <v>84031.693333333329</v>
      </c>
      <c r="DK57" s="215">
        <f t="shared" si="66"/>
        <v>101</v>
      </c>
      <c r="DL57" s="216">
        <f t="shared" ref="DL57:DL63" si="98">CQ57</f>
        <v>6002.262673267327</v>
      </c>
      <c r="DM57" s="224"/>
      <c r="DN57" s="224"/>
      <c r="DO57" s="224"/>
      <c r="DP57" s="224"/>
      <c r="DQ57" s="219">
        <f t="shared" si="68"/>
        <v>6002.262673267327</v>
      </c>
      <c r="DR57" s="79">
        <f t="shared" si="69"/>
        <v>606228.53</v>
      </c>
      <c r="DS57" s="212"/>
      <c r="DT57" s="78"/>
      <c r="DU57" s="80"/>
    </row>
    <row r="58" spans="1:125" ht="28.8" x14ac:dyDescent="0.3">
      <c r="A58" s="20" t="s">
        <v>57</v>
      </c>
      <c r="B58" s="235" t="s">
        <v>26</v>
      </c>
      <c r="C58" s="78">
        <v>38108.46</v>
      </c>
      <c r="D58" s="79">
        <v>6351.41</v>
      </c>
      <c r="E58" s="79"/>
      <c r="F58" s="80"/>
      <c r="G58" s="98">
        <v>6</v>
      </c>
      <c r="H58" s="99">
        <v>1</v>
      </c>
      <c r="I58" s="105"/>
      <c r="J58" s="106"/>
      <c r="K58" s="75">
        <v>90</v>
      </c>
      <c r="L58" s="76">
        <v>35</v>
      </c>
      <c r="M58" s="76"/>
      <c r="N58" s="77"/>
      <c r="O58" s="112">
        <f t="shared" si="90"/>
        <v>6351.41</v>
      </c>
      <c r="P58" s="113">
        <f>D58/H58</f>
        <v>6351.41</v>
      </c>
      <c r="Q58" s="109"/>
      <c r="R58" s="123"/>
      <c r="S58" s="200">
        <f t="shared" si="70"/>
        <v>7</v>
      </c>
      <c r="T58" s="128">
        <f t="shared" si="71"/>
        <v>0</v>
      </c>
      <c r="U58" s="52">
        <f t="shared" si="72"/>
        <v>12702.82</v>
      </c>
      <c r="V58" s="57">
        <f t="shared" si="73"/>
        <v>0</v>
      </c>
      <c r="W58" s="75"/>
      <c r="X58" s="66"/>
      <c r="Y58" s="78"/>
      <c r="Z58" s="77"/>
      <c r="AA58" s="49"/>
      <c r="AB58" s="9"/>
      <c r="AC58" s="49"/>
      <c r="AD58" s="9"/>
      <c r="AE58" s="189">
        <f t="shared" si="51"/>
        <v>12702.82</v>
      </c>
      <c r="AF58" s="57">
        <f t="shared" si="52"/>
        <v>0</v>
      </c>
      <c r="AG58" s="64">
        <f t="shared" si="74"/>
        <v>88919.739999999991</v>
      </c>
      <c r="AH58" s="80">
        <f t="shared" si="75"/>
        <v>0</v>
      </c>
      <c r="AI58" s="215">
        <f t="shared" si="53"/>
        <v>6</v>
      </c>
      <c r="AJ58" s="216">
        <f t="shared" si="54"/>
        <v>6351.41</v>
      </c>
      <c r="AK58" s="212"/>
      <c r="AL58" s="212"/>
      <c r="AM58" s="212"/>
      <c r="AN58" s="212"/>
      <c r="AO58" s="219">
        <f t="shared" si="55"/>
        <v>6351.41</v>
      </c>
      <c r="AP58" s="79">
        <f t="shared" si="56"/>
        <v>38108.46</v>
      </c>
      <c r="AQ58" s="78">
        <v>59202.1</v>
      </c>
      <c r="AR58" s="79">
        <v>5920.21</v>
      </c>
      <c r="AS58" s="79"/>
      <c r="AT58" s="80"/>
      <c r="AU58" s="204">
        <v>10</v>
      </c>
      <c r="AV58" s="105">
        <v>1</v>
      </c>
      <c r="AW58" s="94"/>
      <c r="AX58" s="101"/>
      <c r="AY58" s="75">
        <v>112</v>
      </c>
      <c r="AZ58" s="76">
        <v>74</v>
      </c>
      <c r="BA58" s="76"/>
      <c r="BB58" s="77"/>
      <c r="BC58" s="112">
        <f>AQ58/AU58</f>
        <v>5920.21</v>
      </c>
      <c r="BD58" s="113">
        <f>AR58/AV58</f>
        <v>5920.21</v>
      </c>
      <c r="BE58" s="118"/>
      <c r="BF58" s="119"/>
      <c r="BG58" s="200">
        <f t="shared" si="76"/>
        <v>11</v>
      </c>
      <c r="BH58" s="128">
        <f t="shared" si="77"/>
        <v>0</v>
      </c>
      <c r="BI58" s="52">
        <f t="shared" si="78"/>
        <v>11840.42</v>
      </c>
      <c r="BJ58" s="57">
        <f t="shared" si="79"/>
        <v>0</v>
      </c>
      <c r="BK58" s="75"/>
      <c r="BL58" s="66"/>
      <c r="BM58" s="78"/>
      <c r="BN58" s="77"/>
      <c r="BO58" s="49"/>
      <c r="BP58" s="9"/>
      <c r="BQ58" s="49"/>
      <c r="BR58" s="9"/>
      <c r="BS58" s="189">
        <f t="shared" si="57"/>
        <v>11840.42</v>
      </c>
      <c r="BT58" s="57">
        <f t="shared" si="58"/>
        <v>0</v>
      </c>
      <c r="BU58" s="64">
        <f t="shared" si="88"/>
        <v>130244.62</v>
      </c>
      <c r="BV58" s="80">
        <f t="shared" si="81"/>
        <v>0</v>
      </c>
      <c r="BW58" s="215">
        <f t="shared" si="59"/>
        <v>10</v>
      </c>
      <c r="BX58" s="216">
        <f t="shared" si="97"/>
        <v>5920.21</v>
      </c>
      <c r="BY58" s="212"/>
      <c r="BZ58" s="212"/>
      <c r="CA58" s="212"/>
      <c r="CB58" s="212"/>
      <c r="CC58" s="219">
        <f t="shared" si="61"/>
        <v>5920.21</v>
      </c>
      <c r="CD58" s="79">
        <f t="shared" si="62"/>
        <v>59202.1</v>
      </c>
      <c r="CE58" s="78">
        <v>76146.600000000006</v>
      </c>
      <c r="CF58" s="79">
        <v>6345.55</v>
      </c>
      <c r="CG58" s="79"/>
      <c r="CH58" s="80"/>
      <c r="CI58" s="75">
        <v>12</v>
      </c>
      <c r="CJ58" s="76">
        <v>1</v>
      </c>
      <c r="CK58" s="76"/>
      <c r="CL58" s="77"/>
      <c r="CM58" s="75">
        <v>120</v>
      </c>
      <c r="CN58" s="76">
        <v>35</v>
      </c>
      <c r="CO58" s="76"/>
      <c r="CP58" s="77"/>
      <c r="CQ58" s="78">
        <f t="shared" si="95"/>
        <v>6345.55</v>
      </c>
      <c r="CR58" s="56">
        <f>CF58/CJ58</f>
        <v>6345.55</v>
      </c>
      <c r="CS58" s="79"/>
      <c r="CT58" s="80"/>
      <c r="CU58" s="200">
        <f t="shared" si="82"/>
        <v>13</v>
      </c>
      <c r="CV58" s="128">
        <f t="shared" si="83"/>
        <v>0</v>
      </c>
      <c r="CW58" s="52">
        <f t="shared" si="84"/>
        <v>12691.1</v>
      </c>
      <c r="CX58" s="57">
        <f t="shared" si="85"/>
        <v>0</v>
      </c>
      <c r="CY58" s="75"/>
      <c r="CZ58" s="66"/>
      <c r="DA58" s="78"/>
      <c r="DB58" s="77"/>
      <c r="DC58" s="49"/>
      <c r="DD58" s="9"/>
      <c r="DE58" s="49"/>
      <c r="DF58" s="9"/>
      <c r="DG58" s="189">
        <f t="shared" si="63"/>
        <v>12691.1</v>
      </c>
      <c r="DH58" s="57">
        <f t="shared" si="64"/>
        <v>0</v>
      </c>
      <c r="DI58" s="64">
        <f t="shared" si="89"/>
        <v>164984.30000000002</v>
      </c>
      <c r="DJ58" s="80">
        <f t="shared" si="96"/>
        <v>0</v>
      </c>
      <c r="DK58" s="215">
        <f t="shared" si="66"/>
        <v>12</v>
      </c>
      <c r="DL58" s="216">
        <f t="shared" si="98"/>
        <v>6345.55</v>
      </c>
      <c r="DM58" s="224"/>
      <c r="DN58" s="224"/>
      <c r="DO58" s="224"/>
      <c r="DP58" s="224"/>
      <c r="DQ58" s="219">
        <f t="shared" si="68"/>
        <v>6345.55</v>
      </c>
      <c r="DR58" s="79">
        <f t="shared" si="69"/>
        <v>76146.600000000006</v>
      </c>
      <c r="DS58" s="212"/>
      <c r="DT58" s="78"/>
      <c r="DU58" s="80"/>
    </row>
    <row r="59" spans="1:125" x14ac:dyDescent="0.3">
      <c r="A59" s="20" t="s">
        <v>58</v>
      </c>
      <c r="B59" s="43" t="s">
        <v>27</v>
      </c>
      <c r="C59" s="78"/>
      <c r="D59" s="79"/>
      <c r="E59" s="79"/>
      <c r="F59" s="80"/>
      <c r="G59" s="98"/>
      <c r="H59" s="99"/>
      <c r="I59" s="105"/>
      <c r="J59" s="106"/>
      <c r="K59" s="75"/>
      <c r="L59" s="76"/>
      <c r="M59" s="76"/>
      <c r="N59" s="77"/>
      <c r="O59" s="112"/>
      <c r="P59" s="113"/>
      <c r="Q59" s="109"/>
      <c r="R59" s="123"/>
      <c r="S59" s="59">
        <f t="shared" si="70"/>
        <v>0</v>
      </c>
      <c r="T59" s="128">
        <f t="shared" si="71"/>
        <v>0</v>
      </c>
      <c r="U59" s="55">
        <f t="shared" si="72"/>
        <v>0</v>
      </c>
      <c r="V59" s="57">
        <f t="shared" si="73"/>
        <v>0</v>
      </c>
      <c r="W59" s="75"/>
      <c r="X59" s="66"/>
      <c r="Y59" s="78"/>
      <c r="Z59" s="77"/>
      <c r="AA59" s="49"/>
      <c r="AB59" s="9"/>
      <c r="AC59" s="49"/>
      <c r="AD59" s="9"/>
      <c r="AE59" s="55">
        <f t="shared" si="51"/>
        <v>0</v>
      </c>
      <c r="AF59" s="57">
        <f t="shared" si="52"/>
        <v>0</v>
      </c>
      <c r="AG59" s="64">
        <f t="shared" si="74"/>
        <v>0</v>
      </c>
      <c r="AH59" s="80">
        <f t="shared" si="75"/>
        <v>0</v>
      </c>
      <c r="AI59" s="59">
        <f t="shared" si="53"/>
        <v>0</v>
      </c>
      <c r="AJ59" s="56">
        <f t="shared" si="54"/>
        <v>0</v>
      </c>
      <c r="AK59" s="212"/>
      <c r="AL59" s="212"/>
      <c r="AM59" s="212"/>
      <c r="AN59" s="212"/>
      <c r="AO59" s="79">
        <f t="shared" si="55"/>
        <v>0</v>
      </c>
      <c r="AP59" s="79">
        <f t="shared" si="56"/>
        <v>0</v>
      </c>
      <c r="AQ59" s="78"/>
      <c r="AR59" s="79"/>
      <c r="AS59" s="79"/>
      <c r="AT59" s="80"/>
      <c r="AU59" s="204"/>
      <c r="AV59" s="105"/>
      <c r="AW59" s="94"/>
      <c r="AX59" s="101"/>
      <c r="AY59" s="75"/>
      <c r="AZ59" s="76"/>
      <c r="BA59" s="76"/>
      <c r="BB59" s="77"/>
      <c r="BC59" s="112"/>
      <c r="BD59" s="113"/>
      <c r="BE59" s="118"/>
      <c r="BF59" s="119"/>
      <c r="BG59" s="59">
        <f t="shared" si="76"/>
        <v>0</v>
      </c>
      <c r="BH59" s="128">
        <f t="shared" si="77"/>
        <v>0</v>
      </c>
      <c r="BI59" s="55">
        <f t="shared" si="78"/>
        <v>0</v>
      </c>
      <c r="BJ59" s="57">
        <f t="shared" si="79"/>
        <v>0</v>
      </c>
      <c r="BK59" s="75"/>
      <c r="BL59" s="66"/>
      <c r="BM59" s="78"/>
      <c r="BN59" s="77"/>
      <c r="BO59" s="49"/>
      <c r="BP59" s="9"/>
      <c r="BQ59" s="49"/>
      <c r="BR59" s="9"/>
      <c r="BS59" s="55">
        <f t="shared" si="57"/>
        <v>0</v>
      </c>
      <c r="BT59" s="57">
        <f t="shared" si="58"/>
        <v>0</v>
      </c>
      <c r="BU59" s="64">
        <f t="shared" si="88"/>
        <v>0</v>
      </c>
      <c r="BV59" s="80">
        <f t="shared" si="81"/>
        <v>0</v>
      </c>
      <c r="BW59" s="59">
        <f t="shared" si="59"/>
        <v>0</v>
      </c>
      <c r="BX59" s="56">
        <f t="shared" si="97"/>
        <v>0</v>
      </c>
      <c r="BY59" s="212"/>
      <c r="BZ59" s="212"/>
      <c r="CA59" s="212"/>
      <c r="CB59" s="212"/>
      <c r="CC59" s="56">
        <f t="shared" si="61"/>
        <v>0</v>
      </c>
      <c r="CD59" s="79">
        <f t="shared" si="62"/>
        <v>0</v>
      </c>
      <c r="CE59" s="78">
        <v>39172.800000000003</v>
      </c>
      <c r="CF59" s="79"/>
      <c r="CG59" s="79"/>
      <c r="CH59" s="80"/>
      <c r="CI59" s="75">
        <v>9</v>
      </c>
      <c r="CJ59" s="76"/>
      <c r="CK59" s="76"/>
      <c r="CL59" s="77"/>
      <c r="CM59" s="75">
        <v>120</v>
      </c>
      <c r="CN59" s="76"/>
      <c r="CO59" s="76"/>
      <c r="CP59" s="77"/>
      <c r="CQ59" s="78">
        <v>4352.53</v>
      </c>
      <c r="CR59" s="79"/>
      <c r="CS59" s="79"/>
      <c r="CT59" s="80"/>
      <c r="CU59" s="200">
        <f t="shared" si="82"/>
        <v>9</v>
      </c>
      <c r="CV59" s="128">
        <f t="shared" si="83"/>
        <v>0</v>
      </c>
      <c r="CW59" s="52">
        <f t="shared" si="84"/>
        <v>4352.53</v>
      </c>
      <c r="CX59" s="57">
        <f t="shared" si="85"/>
        <v>0</v>
      </c>
      <c r="CY59" s="75"/>
      <c r="CZ59" s="66"/>
      <c r="DA59" s="78"/>
      <c r="DB59" s="77"/>
      <c r="DC59" s="49"/>
      <c r="DD59" s="9"/>
      <c r="DE59" s="49"/>
      <c r="DF59" s="9"/>
      <c r="DG59" s="189">
        <f t="shared" si="63"/>
        <v>4352.53</v>
      </c>
      <c r="DH59" s="57">
        <f t="shared" si="64"/>
        <v>0</v>
      </c>
      <c r="DI59" s="64">
        <f t="shared" si="89"/>
        <v>39172.769999999997</v>
      </c>
      <c r="DJ59" s="80">
        <f t="shared" si="96"/>
        <v>0</v>
      </c>
      <c r="DK59" s="215">
        <f t="shared" si="66"/>
        <v>9</v>
      </c>
      <c r="DL59" s="216">
        <f t="shared" si="98"/>
        <v>4352.53</v>
      </c>
      <c r="DM59" s="224"/>
      <c r="DN59" s="224"/>
      <c r="DO59" s="224"/>
      <c r="DP59" s="224"/>
      <c r="DQ59" s="219">
        <f t="shared" si="68"/>
        <v>4352.53</v>
      </c>
      <c r="DR59" s="79">
        <f t="shared" si="69"/>
        <v>39172.769999999997</v>
      </c>
      <c r="DS59" s="212"/>
      <c r="DT59" s="78"/>
      <c r="DU59" s="80"/>
    </row>
    <row r="60" spans="1:125" x14ac:dyDescent="0.3">
      <c r="A60" s="20" t="s">
        <v>59</v>
      </c>
      <c r="B60" s="39" t="s">
        <v>28</v>
      </c>
      <c r="C60" s="78"/>
      <c r="D60" s="79">
        <v>80255</v>
      </c>
      <c r="E60" s="79"/>
      <c r="F60" s="80"/>
      <c r="G60" s="98"/>
      <c r="H60" s="99">
        <v>9</v>
      </c>
      <c r="I60" s="105"/>
      <c r="J60" s="106"/>
      <c r="K60" s="75"/>
      <c r="L60" s="76">
        <v>310</v>
      </c>
      <c r="M60" s="76"/>
      <c r="N60" s="77"/>
      <c r="O60" s="112"/>
      <c r="P60" s="113">
        <f>D60/H60</f>
        <v>8917.2222222222226</v>
      </c>
      <c r="Q60" s="109"/>
      <c r="R60" s="123"/>
      <c r="S60" s="200">
        <f t="shared" si="70"/>
        <v>9</v>
      </c>
      <c r="T60" s="128">
        <f t="shared" si="71"/>
        <v>0</v>
      </c>
      <c r="U60" s="52">
        <f t="shared" si="72"/>
        <v>8917.2222222222226</v>
      </c>
      <c r="V60" s="57">
        <f t="shared" si="73"/>
        <v>0</v>
      </c>
      <c r="W60" s="78"/>
      <c r="X60" s="66"/>
      <c r="Y60" s="78"/>
      <c r="Z60" s="80"/>
      <c r="AA60" s="78"/>
      <c r="AB60" s="66"/>
      <c r="AC60" s="78"/>
      <c r="AD60" s="66"/>
      <c r="AE60" s="189">
        <f t="shared" si="51"/>
        <v>8917.2222222222226</v>
      </c>
      <c r="AF60" s="57">
        <f t="shared" si="52"/>
        <v>0</v>
      </c>
      <c r="AG60" s="64">
        <f t="shared" si="74"/>
        <v>80255</v>
      </c>
      <c r="AH60" s="80">
        <f t="shared" si="75"/>
        <v>0</v>
      </c>
      <c r="AI60" s="59">
        <f t="shared" si="53"/>
        <v>0</v>
      </c>
      <c r="AJ60" s="56">
        <f t="shared" si="54"/>
        <v>0</v>
      </c>
      <c r="AK60" s="212"/>
      <c r="AL60" s="212"/>
      <c r="AM60" s="212"/>
      <c r="AN60" s="212"/>
      <c r="AO60" s="79">
        <f t="shared" si="55"/>
        <v>0</v>
      </c>
      <c r="AP60" s="79">
        <f t="shared" si="56"/>
        <v>0</v>
      </c>
      <c r="AQ60" s="78"/>
      <c r="AR60" s="79">
        <v>67414</v>
      </c>
      <c r="AS60" s="79">
        <v>9658</v>
      </c>
      <c r="AT60" s="80"/>
      <c r="AU60" s="204"/>
      <c r="AV60" s="105">
        <v>7</v>
      </c>
      <c r="AW60" s="94">
        <v>1</v>
      </c>
      <c r="AX60" s="101"/>
      <c r="AY60" s="75"/>
      <c r="AZ60" s="76">
        <v>220.65</v>
      </c>
      <c r="BA60" s="76">
        <v>200</v>
      </c>
      <c r="BB60" s="77"/>
      <c r="BC60" s="112"/>
      <c r="BD60" s="113">
        <f>AR60/AV60</f>
        <v>9630.5714285714294</v>
      </c>
      <c r="BE60" s="118">
        <f>AS60/AW60</f>
        <v>9658</v>
      </c>
      <c r="BF60" s="119"/>
      <c r="BG60" s="200">
        <f t="shared" si="76"/>
        <v>7</v>
      </c>
      <c r="BH60" s="184">
        <f t="shared" si="77"/>
        <v>1</v>
      </c>
      <c r="BI60" s="52">
        <f t="shared" si="78"/>
        <v>9630.5714285714294</v>
      </c>
      <c r="BJ60" s="126">
        <f t="shared" si="79"/>
        <v>9658</v>
      </c>
      <c r="BK60" s="78"/>
      <c r="BL60" s="66"/>
      <c r="BM60" s="78"/>
      <c r="BN60" s="80"/>
      <c r="BO60" s="78"/>
      <c r="BP60" s="66"/>
      <c r="BQ60" s="78"/>
      <c r="BR60" s="66"/>
      <c r="BS60" s="189">
        <f t="shared" si="57"/>
        <v>9630.5714285714294</v>
      </c>
      <c r="BT60" s="182">
        <f t="shared" si="58"/>
        <v>9658</v>
      </c>
      <c r="BU60" s="64">
        <f t="shared" si="88"/>
        <v>67414</v>
      </c>
      <c r="BV60" s="80">
        <f t="shared" si="81"/>
        <v>9658</v>
      </c>
      <c r="BW60" s="59">
        <f t="shared" si="59"/>
        <v>0</v>
      </c>
      <c r="BX60" s="56">
        <f t="shared" si="97"/>
        <v>0</v>
      </c>
      <c r="BY60" s="212"/>
      <c r="BZ60" s="212"/>
      <c r="CA60" s="212"/>
      <c r="CB60" s="212"/>
      <c r="CC60" s="56">
        <f t="shared" si="61"/>
        <v>0</v>
      </c>
      <c r="CD60" s="79">
        <f t="shared" si="62"/>
        <v>0</v>
      </c>
      <c r="CE60" s="78">
        <v>31091</v>
      </c>
      <c r="CF60" s="79">
        <v>51668</v>
      </c>
      <c r="CG60" s="79"/>
      <c r="CH60" s="80"/>
      <c r="CI60" s="75">
        <v>3</v>
      </c>
      <c r="CJ60" s="76">
        <v>5</v>
      </c>
      <c r="CK60" s="76"/>
      <c r="CL60" s="77"/>
      <c r="CM60" s="75">
        <v>25</v>
      </c>
      <c r="CN60" s="76">
        <v>120</v>
      </c>
      <c r="CO60" s="76"/>
      <c r="CP60" s="77"/>
      <c r="CQ60" s="78">
        <f>CE60/CI60</f>
        <v>10363.666666666666</v>
      </c>
      <c r="CR60" s="79">
        <f>CF60/CJ60</f>
        <v>10333.6</v>
      </c>
      <c r="CS60" s="79"/>
      <c r="CT60" s="80"/>
      <c r="CU60" s="200">
        <f t="shared" si="82"/>
        <v>8</v>
      </c>
      <c r="CV60" s="128">
        <f t="shared" si="83"/>
        <v>0</v>
      </c>
      <c r="CW60" s="52">
        <f t="shared" si="84"/>
        <v>20697.266666666666</v>
      </c>
      <c r="CX60" s="57">
        <f t="shared" si="85"/>
        <v>0</v>
      </c>
      <c r="CY60" s="78"/>
      <c r="CZ60" s="66"/>
      <c r="DA60" s="78"/>
      <c r="DB60" s="80"/>
      <c r="DC60" s="78"/>
      <c r="DD60" s="66"/>
      <c r="DE60" s="78"/>
      <c r="DF60" s="66"/>
      <c r="DG60" s="189">
        <f t="shared" si="63"/>
        <v>20697.266666666666</v>
      </c>
      <c r="DH60" s="57">
        <f t="shared" si="64"/>
        <v>0</v>
      </c>
      <c r="DI60" s="64">
        <f t="shared" si="89"/>
        <v>165578.13333333333</v>
      </c>
      <c r="DJ60" s="80">
        <f t="shared" si="96"/>
        <v>0</v>
      </c>
      <c r="DK60" s="215">
        <f t="shared" si="66"/>
        <v>3</v>
      </c>
      <c r="DL60" s="216">
        <f t="shared" si="98"/>
        <v>10363.666666666666</v>
      </c>
      <c r="DM60" s="224"/>
      <c r="DN60" s="224"/>
      <c r="DO60" s="224"/>
      <c r="DP60" s="224"/>
      <c r="DQ60" s="219">
        <f t="shared" si="68"/>
        <v>10363.666666666666</v>
      </c>
      <c r="DR60" s="79">
        <f t="shared" si="69"/>
        <v>31091</v>
      </c>
      <c r="DS60" s="212"/>
      <c r="DT60" s="78"/>
      <c r="DU60" s="80"/>
    </row>
    <row r="61" spans="1:125" x14ac:dyDescent="0.3">
      <c r="A61" s="20" t="s">
        <v>60</v>
      </c>
      <c r="B61" s="43" t="s">
        <v>29</v>
      </c>
      <c r="C61" s="78"/>
      <c r="D61" s="79"/>
      <c r="E61" s="79"/>
      <c r="F61" s="80"/>
      <c r="G61" s="98"/>
      <c r="H61" s="99"/>
      <c r="I61" s="105"/>
      <c r="J61" s="106"/>
      <c r="K61" s="75"/>
      <c r="L61" s="76"/>
      <c r="M61" s="76"/>
      <c r="N61" s="77"/>
      <c r="O61" s="112"/>
      <c r="P61" s="113"/>
      <c r="Q61" s="109"/>
      <c r="R61" s="123"/>
      <c r="S61" s="59">
        <f t="shared" si="70"/>
        <v>0</v>
      </c>
      <c r="T61" s="128">
        <f t="shared" si="71"/>
        <v>0</v>
      </c>
      <c r="U61" s="55">
        <f t="shared" si="72"/>
        <v>0</v>
      </c>
      <c r="V61" s="57">
        <f t="shared" si="73"/>
        <v>0</v>
      </c>
      <c r="W61" s="75"/>
      <c r="X61" s="66"/>
      <c r="Y61" s="78"/>
      <c r="Z61" s="77"/>
      <c r="AA61" s="49"/>
      <c r="AB61" s="9"/>
      <c r="AC61" s="49"/>
      <c r="AD61" s="9"/>
      <c r="AE61" s="55">
        <f t="shared" si="51"/>
        <v>0</v>
      </c>
      <c r="AF61" s="57">
        <f t="shared" si="52"/>
        <v>0</v>
      </c>
      <c r="AG61" s="64">
        <f t="shared" si="74"/>
        <v>0</v>
      </c>
      <c r="AH61" s="80">
        <f t="shared" si="75"/>
        <v>0</v>
      </c>
      <c r="AI61" s="59">
        <f t="shared" si="53"/>
        <v>0</v>
      </c>
      <c r="AJ61" s="56">
        <f t="shared" si="54"/>
        <v>0</v>
      </c>
      <c r="AK61" s="212"/>
      <c r="AL61" s="212"/>
      <c r="AM61" s="212"/>
      <c r="AN61" s="212"/>
      <c r="AO61" s="79">
        <f t="shared" si="55"/>
        <v>0</v>
      </c>
      <c r="AP61" s="79">
        <f t="shared" si="56"/>
        <v>0</v>
      </c>
      <c r="AQ61" s="78"/>
      <c r="AR61" s="79"/>
      <c r="AS61" s="79"/>
      <c r="AT61" s="80"/>
      <c r="AU61" s="204"/>
      <c r="AV61" s="105"/>
      <c r="AW61" s="94"/>
      <c r="AX61" s="101"/>
      <c r="AY61" s="75"/>
      <c r="AZ61" s="76"/>
      <c r="BA61" s="76"/>
      <c r="BB61" s="77"/>
      <c r="BC61" s="112"/>
      <c r="BD61" s="113"/>
      <c r="BE61" s="118"/>
      <c r="BF61" s="119"/>
      <c r="BG61" s="59">
        <f t="shared" si="76"/>
        <v>0</v>
      </c>
      <c r="BH61" s="128">
        <f t="shared" si="77"/>
        <v>0</v>
      </c>
      <c r="BI61" s="55">
        <f t="shared" si="78"/>
        <v>0</v>
      </c>
      <c r="BJ61" s="57">
        <f t="shared" si="79"/>
        <v>0</v>
      </c>
      <c r="BK61" s="75"/>
      <c r="BL61" s="66"/>
      <c r="BM61" s="78"/>
      <c r="BN61" s="77"/>
      <c r="BO61" s="49"/>
      <c r="BP61" s="9"/>
      <c r="BQ61" s="49"/>
      <c r="BR61" s="9"/>
      <c r="BS61" s="55">
        <f t="shared" si="57"/>
        <v>0</v>
      </c>
      <c r="BT61" s="57">
        <f t="shared" si="58"/>
        <v>0</v>
      </c>
      <c r="BU61" s="64">
        <f t="shared" si="88"/>
        <v>0</v>
      </c>
      <c r="BV61" s="80">
        <f t="shared" si="81"/>
        <v>0</v>
      </c>
      <c r="BW61" s="59">
        <f t="shared" si="59"/>
        <v>0</v>
      </c>
      <c r="BX61" s="56">
        <f t="shared" si="97"/>
        <v>0</v>
      </c>
      <c r="BY61" s="212"/>
      <c r="BZ61" s="212"/>
      <c r="CA61" s="212"/>
      <c r="CB61" s="212"/>
      <c r="CC61" s="56">
        <f t="shared" si="61"/>
        <v>0</v>
      </c>
      <c r="CD61" s="79">
        <f t="shared" si="62"/>
        <v>0</v>
      </c>
      <c r="CE61" s="78"/>
      <c r="CF61" s="79"/>
      <c r="CG61" s="79"/>
      <c r="CH61" s="80"/>
      <c r="CI61" s="75"/>
      <c r="CJ61" s="76"/>
      <c r="CK61" s="76"/>
      <c r="CL61" s="77"/>
      <c r="CM61" s="75"/>
      <c r="CN61" s="76"/>
      <c r="CO61" s="76"/>
      <c r="CP61" s="77"/>
      <c r="CQ61" s="78"/>
      <c r="CR61" s="79"/>
      <c r="CS61" s="79"/>
      <c r="CT61" s="80"/>
      <c r="CU61" s="59">
        <f t="shared" si="82"/>
        <v>0</v>
      </c>
      <c r="CV61" s="128">
        <f t="shared" si="83"/>
        <v>0</v>
      </c>
      <c r="CW61" s="55">
        <f t="shared" si="84"/>
        <v>0</v>
      </c>
      <c r="CX61" s="57">
        <f t="shared" si="85"/>
        <v>0</v>
      </c>
      <c r="CY61" s="75"/>
      <c r="CZ61" s="66"/>
      <c r="DA61" s="78"/>
      <c r="DB61" s="77"/>
      <c r="DC61" s="49"/>
      <c r="DD61" s="9"/>
      <c r="DE61" s="49"/>
      <c r="DF61" s="9"/>
      <c r="DG61" s="55">
        <f t="shared" si="63"/>
        <v>0</v>
      </c>
      <c r="DH61" s="57">
        <f t="shared" si="64"/>
        <v>0</v>
      </c>
      <c r="DI61" s="64">
        <f t="shared" si="89"/>
        <v>0</v>
      </c>
      <c r="DJ61" s="80">
        <f t="shared" si="96"/>
        <v>0</v>
      </c>
      <c r="DK61" s="59">
        <f t="shared" si="66"/>
        <v>0</v>
      </c>
      <c r="DL61" s="56">
        <f t="shared" si="98"/>
        <v>0</v>
      </c>
      <c r="DM61" s="224"/>
      <c r="DN61" s="224"/>
      <c r="DO61" s="224"/>
      <c r="DP61" s="224"/>
      <c r="DQ61" s="56">
        <f t="shared" si="68"/>
        <v>0</v>
      </c>
      <c r="DR61" s="79">
        <f t="shared" si="69"/>
        <v>0</v>
      </c>
      <c r="DS61" s="212"/>
      <c r="DT61" s="78"/>
      <c r="DU61" s="80"/>
    </row>
    <row r="62" spans="1:125" ht="28.8" x14ac:dyDescent="0.3">
      <c r="A62" s="40" t="s">
        <v>61</v>
      </c>
      <c r="B62" s="84" t="s">
        <v>67</v>
      </c>
      <c r="C62" s="78">
        <v>0</v>
      </c>
      <c r="D62" s="79">
        <v>0</v>
      </c>
      <c r="E62" s="79">
        <v>0</v>
      </c>
      <c r="F62" s="80">
        <v>0</v>
      </c>
      <c r="G62" s="98">
        <v>0</v>
      </c>
      <c r="H62" s="99">
        <v>0</v>
      </c>
      <c r="I62" s="105">
        <v>0</v>
      </c>
      <c r="J62" s="106">
        <v>0</v>
      </c>
      <c r="K62" s="75">
        <v>0</v>
      </c>
      <c r="L62" s="76">
        <v>0</v>
      </c>
      <c r="M62" s="76">
        <v>0</v>
      </c>
      <c r="N62" s="77">
        <v>0</v>
      </c>
      <c r="O62" s="112">
        <v>0</v>
      </c>
      <c r="P62" s="113">
        <v>0</v>
      </c>
      <c r="Q62" s="109">
        <v>0</v>
      </c>
      <c r="R62" s="123">
        <v>0</v>
      </c>
      <c r="S62" s="59">
        <f t="shared" si="70"/>
        <v>0</v>
      </c>
      <c r="T62" s="128">
        <f t="shared" si="71"/>
        <v>0</v>
      </c>
      <c r="U62" s="78">
        <f t="shared" si="72"/>
        <v>0</v>
      </c>
      <c r="V62" s="80">
        <f t="shared" si="73"/>
        <v>0</v>
      </c>
      <c r="W62" s="75"/>
      <c r="X62" s="66"/>
      <c r="Y62" s="78"/>
      <c r="Z62" s="77"/>
      <c r="AA62" s="49"/>
      <c r="AB62" s="9"/>
      <c r="AC62" s="49"/>
      <c r="AD62" s="9"/>
      <c r="AE62" s="55">
        <f t="shared" si="51"/>
        <v>0</v>
      </c>
      <c r="AF62" s="57">
        <f t="shared" si="52"/>
        <v>0</v>
      </c>
      <c r="AG62" s="64">
        <f t="shared" si="74"/>
        <v>0</v>
      </c>
      <c r="AH62" s="80">
        <f t="shared" si="75"/>
        <v>0</v>
      </c>
      <c r="AI62" s="59">
        <f t="shared" si="53"/>
        <v>0</v>
      </c>
      <c r="AJ62" s="56">
        <f t="shared" si="54"/>
        <v>0</v>
      </c>
      <c r="AK62" s="212"/>
      <c r="AL62" s="212"/>
      <c r="AM62" s="212"/>
      <c r="AN62" s="212"/>
      <c r="AO62" s="79">
        <f t="shared" si="55"/>
        <v>0</v>
      </c>
      <c r="AP62" s="79">
        <f t="shared" si="56"/>
        <v>0</v>
      </c>
      <c r="AQ62" s="78">
        <v>86484.63</v>
      </c>
      <c r="AR62" s="79">
        <v>0</v>
      </c>
      <c r="AS62" s="79">
        <v>0</v>
      </c>
      <c r="AT62" s="80">
        <v>0</v>
      </c>
      <c r="AU62" s="204">
        <v>21</v>
      </c>
      <c r="AV62" s="105">
        <v>0</v>
      </c>
      <c r="AW62" s="94">
        <v>0</v>
      </c>
      <c r="AX62" s="101">
        <v>0</v>
      </c>
      <c r="AY62" s="75">
        <v>1299</v>
      </c>
      <c r="AZ62" s="76">
        <v>0</v>
      </c>
      <c r="BA62" s="76">
        <v>0</v>
      </c>
      <c r="BB62" s="77">
        <v>0</v>
      </c>
      <c r="BC62" s="112">
        <f>AQ62/AU62</f>
        <v>4118.3157142857144</v>
      </c>
      <c r="BD62" s="113">
        <v>0</v>
      </c>
      <c r="BE62" s="118">
        <v>0</v>
      </c>
      <c r="BF62" s="119">
        <v>0</v>
      </c>
      <c r="BG62" s="200">
        <f t="shared" si="76"/>
        <v>21</v>
      </c>
      <c r="BH62" s="128">
        <f t="shared" si="77"/>
        <v>0</v>
      </c>
      <c r="BI62" s="52">
        <f t="shared" si="78"/>
        <v>4118.3157142857144</v>
      </c>
      <c r="BJ62" s="80">
        <f t="shared" si="79"/>
        <v>0</v>
      </c>
      <c r="BK62" s="75"/>
      <c r="BL62" s="66"/>
      <c r="BM62" s="78"/>
      <c r="BN62" s="77"/>
      <c r="BO62" s="49"/>
      <c r="BP62" s="9"/>
      <c r="BQ62" s="49"/>
      <c r="BR62" s="9"/>
      <c r="BS62" s="189">
        <f t="shared" si="57"/>
        <v>4118.3157142857144</v>
      </c>
      <c r="BT62" s="57">
        <f t="shared" si="58"/>
        <v>0</v>
      </c>
      <c r="BU62" s="64">
        <f t="shared" si="88"/>
        <v>86484.63</v>
      </c>
      <c r="BV62" s="80">
        <f t="shared" si="81"/>
        <v>0</v>
      </c>
      <c r="BW62" s="215">
        <f t="shared" si="59"/>
        <v>21</v>
      </c>
      <c r="BX62" s="216">
        <f t="shared" si="97"/>
        <v>4118.3157142857144</v>
      </c>
      <c r="BY62" s="212"/>
      <c r="BZ62" s="212"/>
      <c r="CA62" s="212"/>
      <c r="CB62" s="212"/>
      <c r="CC62" s="219">
        <f t="shared" si="61"/>
        <v>4118.3157142857144</v>
      </c>
      <c r="CD62" s="79">
        <f t="shared" si="62"/>
        <v>86484.63</v>
      </c>
      <c r="CE62" s="78">
        <v>118922.97</v>
      </c>
      <c r="CF62" s="79">
        <v>0</v>
      </c>
      <c r="CG62" s="79">
        <v>0</v>
      </c>
      <c r="CH62" s="80">
        <v>0</v>
      </c>
      <c r="CI62" s="75">
        <v>37</v>
      </c>
      <c r="CJ62" s="76">
        <v>0</v>
      </c>
      <c r="CK62" s="76">
        <v>0</v>
      </c>
      <c r="CL62" s="77">
        <v>0</v>
      </c>
      <c r="CM62" s="75">
        <v>5213</v>
      </c>
      <c r="CN62" s="76">
        <v>0</v>
      </c>
      <c r="CO62" s="76">
        <v>0</v>
      </c>
      <c r="CP62" s="77">
        <v>0</v>
      </c>
      <c r="CQ62" s="78">
        <f>CE62/CI62</f>
        <v>3214.1343243243246</v>
      </c>
      <c r="CR62" s="79">
        <v>0</v>
      </c>
      <c r="CS62" s="79">
        <v>0</v>
      </c>
      <c r="CT62" s="80">
        <v>0</v>
      </c>
      <c r="CU62" s="200">
        <f t="shared" si="82"/>
        <v>37</v>
      </c>
      <c r="CV62" s="128">
        <f t="shared" si="83"/>
        <v>0</v>
      </c>
      <c r="CW62" s="52">
        <f t="shared" si="84"/>
        <v>3214.1343243243246</v>
      </c>
      <c r="CX62" s="57">
        <f t="shared" si="85"/>
        <v>0</v>
      </c>
      <c r="CY62" s="75"/>
      <c r="CZ62" s="66"/>
      <c r="DA62" s="78"/>
      <c r="DB62" s="77"/>
      <c r="DC62" s="49"/>
      <c r="DD62" s="9"/>
      <c r="DE62" s="49"/>
      <c r="DF62" s="9"/>
      <c r="DG62" s="189">
        <f t="shared" si="63"/>
        <v>3214.1343243243246</v>
      </c>
      <c r="DH62" s="57">
        <f t="shared" si="64"/>
        <v>0</v>
      </c>
      <c r="DI62" s="64">
        <f t="shared" si="89"/>
        <v>118922.97</v>
      </c>
      <c r="DJ62" s="80">
        <f t="shared" si="96"/>
        <v>0</v>
      </c>
      <c r="DK62" s="215">
        <f t="shared" si="66"/>
        <v>37</v>
      </c>
      <c r="DL62" s="216">
        <f t="shared" si="98"/>
        <v>3214.1343243243246</v>
      </c>
      <c r="DM62" s="224"/>
      <c r="DN62" s="224"/>
      <c r="DO62" s="224"/>
      <c r="DP62" s="224"/>
      <c r="DQ62" s="219">
        <f t="shared" si="68"/>
        <v>3214.1343243243246</v>
      </c>
      <c r="DR62" s="79">
        <f t="shared" si="69"/>
        <v>118922.97</v>
      </c>
      <c r="DS62" s="212"/>
      <c r="DT62" s="78"/>
      <c r="DU62" s="80"/>
    </row>
    <row r="63" spans="1:125" ht="29.4" thickBot="1" x14ac:dyDescent="0.35">
      <c r="A63" s="21" t="s">
        <v>68</v>
      </c>
      <c r="B63" s="74" t="s">
        <v>30</v>
      </c>
      <c r="C63" s="243">
        <f>155.14*6</f>
        <v>930.83999999999992</v>
      </c>
      <c r="D63" s="244"/>
      <c r="E63" s="244"/>
      <c r="F63" s="245"/>
      <c r="G63" s="246">
        <v>6</v>
      </c>
      <c r="H63" s="247"/>
      <c r="I63" s="247"/>
      <c r="J63" s="248"/>
      <c r="K63" s="246">
        <v>90</v>
      </c>
      <c r="L63" s="247"/>
      <c r="M63" s="247"/>
      <c r="N63" s="248"/>
      <c r="O63" s="243">
        <v>155.13999999999999</v>
      </c>
      <c r="P63" s="244"/>
      <c r="Q63" s="244"/>
      <c r="R63" s="245"/>
      <c r="S63" s="201">
        <f t="shared" si="70"/>
        <v>6</v>
      </c>
      <c r="T63" s="195">
        <f t="shared" si="71"/>
        <v>0</v>
      </c>
      <c r="U63" s="78">
        <f t="shared" si="72"/>
        <v>155.13999999999999</v>
      </c>
      <c r="V63" s="80">
        <f t="shared" si="73"/>
        <v>0</v>
      </c>
      <c r="W63" s="29"/>
      <c r="X63" s="34"/>
      <c r="Y63" s="26"/>
      <c r="Z63" s="31"/>
      <c r="AA63" s="50"/>
      <c r="AB63" s="7"/>
      <c r="AC63" s="50"/>
      <c r="AD63" s="7"/>
      <c r="AE63" s="202">
        <f t="shared" si="51"/>
        <v>155.13999999999999</v>
      </c>
      <c r="AF63" s="191">
        <f t="shared" si="52"/>
        <v>0</v>
      </c>
      <c r="AG63" s="129">
        <f t="shared" si="74"/>
        <v>930.83999999999992</v>
      </c>
      <c r="AH63" s="28">
        <f t="shared" si="75"/>
        <v>0</v>
      </c>
      <c r="AI63" s="59">
        <f t="shared" si="53"/>
        <v>6</v>
      </c>
      <c r="AJ63" s="56">
        <f t="shared" si="54"/>
        <v>155.13999999999999</v>
      </c>
      <c r="AK63" s="213"/>
      <c r="AL63" s="213"/>
      <c r="AM63" s="213"/>
      <c r="AN63" s="213"/>
      <c r="AO63" s="79">
        <f t="shared" si="55"/>
        <v>0</v>
      </c>
      <c r="AP63" s="79">
        <f>AO63*AI63</f>
        <v>0</v>
      </c>
      <c r="AQ63" s="26"/>
      <c r="AR63" s="27"/>
      <c r="AS63" s="27"/>
      <c r="AT63" s="28"/>
      <c r="AU63" s="205"/>
      <c r="AV63" s="107"/>
      <c r="AW63" s="95"/>
      <c r="AX63" s="102"/>
      <c r="AY63" s="29"/>
      <c r="AZ63" s="30"/>
      <c r="BA63" s="30"/>
      <c r="BB63" s="31"/>
      <c r="BC63" s="114"/>
      <c r="BD63" s="115"/>
      <c r="BE63" s="120"/>
      <c r="BF63" s="121"/>
      <c r="BG63" s="201">
        <f t="shared" si="76"/>
        <v>0</v>
      </c>
      <c r="BH63" s="195">
        <f t="shared" si="77"/>
        <v>0</v>
      </c>
      <c r="BI63" s="78">
        <f t="shared" si="78"/>
        <v>0</v>
      </c>
      <c r="BJ63" s="80">
        <f t="shared" si="79"/>
        <v>0</v>
      </c>
      <c r="BK63" s="29"/>
      <c r="BL63" s="34"/>
      <c r="BM63" s="26"/>
      <c r="BN63" s="31"/>
      <c r="BO63" s="50"/>
      <c r="BP63" s="7"/>
      <c r="BQ63" s="50"/>
      <c r="BR63" s="7"/>
      <c r="BS63" s="202">
        <f t="shared" ref="BS63" si="99">IF(AND(BI63&gt;$AA$40,BI63&lt;$AC$40),BI63,0)</f>
        <v>0</v>
      </c>
      <c r="BT63" s="191">
        <f t="shared" si="58"/>
        <v>0</v>
      </c>
      <c r="BU63" s="129">
        <f t="shared" si="88"/>
        <v>0</v>
      </c>
      <c r="BV63" s="28">
        <f t="shared" si="81"/>
        <v>0</v>
      </c>
      <c r="BW63" s="59">
        <f t="shared" si="59"/>
        <v>0</v>
      </c>
      <c r="BX63" s="56">
        <f t="shared" si="97"/>
        <v>0</v>
      </c>
      <c r="BY63" s="213"/>
      <c r="BZ63" s="213"/>
      <c r="CA63" s="213"/>
      <c r="CB63" s="213"/>
      <c r="CC63" s="56">
        <f t="shared" si="61"/>
        <v>0</v>
      </c>
      <c r="CD63" s="79">
        <f>CC63*BW63</f>
        <v>0</v>
      </c>
      <c r="CE63" s="26">
        <v>270.83999999999997</v>
      </c>
      <c r="CF63" s="27">
        <v>0</v>
      </c>
      <c r="CG63" s="27">
        <v>0</v>
      </c>
      <c r="CH63" s="28">
        <v>0</v>
      </c>
      <c r="CI63" s="29">
        <v>6</v>
      </c>
      <c r="CJ63" s="30">
        <v>0</v>
      </c>
      <c r="CK63" s="30">
        <v>0</v>
      </c>
      <c r="CL63" s="31">
        <v>0</v>
      </c>
      <c r="CM63" s="29">
        <v>75</v>
      </c>
      <c r="CN63" s="30">
        <v>0</v>
      </c>
      <c r="CO63" s="30">
        <v>0</v>
      </c>
      <c r="CP63" s="31">
        <v>0</v>
      </c>
      <c r="CQ63" s="26">
        <v>45.14</v>
      </c>
      <c r="CR63" s="27">
        <v>0</v>
      </c>
      <c r="CS63" s="27">
        <v>0</v>
      </c>
      <c r="CT63" s="28">
        <v>0</v>
      </c>
      <c r="CU63" s="206">
        <f t="shared" si="82"/>
        <v>6</v>
      </c>
      <c r="CV63" s="195">
        <f t="shared" si="83"/>
        <v>0</v>
      </c>
      <c r="CW63" s="52">
        <f t="shared" si="84"/>
        <v>45.14</v>
      </c>
      <c r="CX63" s="57">
        <f t="shared" si="85"/>
        <v>0</v>
      </c>
      <c r="CY63" s="29"/>
      <c r="CZ63" s="34"/>
      <c r="DA63" s="26"/>
      <c r="DB63" s="31"/>
      <c r="DC63" s="50"/>
      <c r="DD63" s="7"/>
      <c r="DE63" s="50"/>
      <c r="DF63" s="7"/>
      <c r="DG63" s="190">
        <f t="shared" si="63"/>
        <v>45.14</v>
      </c>
      <c r="DH63" s="191">
        <f t="shared" si="64"/>
        <v>0</v>
      </c>
      <c r="DI63" s="129">
        <f t="shared" si="89"/>
        <v>270.84000000000003</v>
      </c>
      <c r="DJ63" s="28">
        <f t="shared" si="96"/>
        <v>0</v>
      </c>
      <c r="DK63" s="215">
        <f t="shared" si="66"/>
        <v>6</v>
      </c>
      <c r="DL63" s="216">
        <f t="shared" si="98"/>
        <v>45.14</v>
      </c>
      <c r="DM63" s="213"/>
      <c r="DN63" s="213"/>
      <c r="DO63" s="213"/>
      <c r="DP63" s="213"/>
      <c r="DQ63" s="219">
        <f t="shared" si="68"/>
        <v>0</v>
      </c>
      <c r="DR63" s="79">
        <f>DQ63*DK63</f>
        <v>0</v>
      </c>
      <c r="DS63" s="221"/>
      <c r="DT63" s="156"/>
      <c r="DU63" s="208"/>
    </row>
    <row r="64" spans="1:125" ht="15" thickBot="1" x14ac:dyDescent="0.35">
      <c r="S64" s="157">
        <f>SUM(S40,S43,S44,S45,S47,S48,S49,S50,S51,S52,S53,S54,S55,S56,S58,S60)</f>
        <v>4477</v>
      </c>
      <c r="T64" s="157">
        <f>SUM(T40,T41,T52,T54,T57)</f>
        <v>235</v>
      </c>
      <c r="U64" s="137"/>
      <c r="V64" s="137"/>
      <c r="W64" s="140"/>
      <c r="X64" s="137"/>
      <c r="Y64" s="137"/>
      <c r="Z64" s="140"/>
      <c r="AA64" s="143"/>
      <c r="AB64" s="143"/>
      <c r="AC64" s="143"/>
      <c r="AD64" s="143"/>
      <c r="AE64" s="137"/>
      <c r="AF64" s="137"/>
      <c r="AG64" s="160">
        <f>SUM(AG40:AG63)</f>
        <v>210298685.14176482</v>
      </c>
      <c r="AH64" s="161">
        <f>SUM(AH40:AH63)</f>
        <v>9683679.7683333326</v>
      </c>
      <c r="AI64" s="214">
        <f>SUM(AI40,AI44,AI45,AI47:AI51,AI53,AI56,AI58)</f>
        <v>3389</v>
      </c>
      <c r="AJ64" s="217"/>
      <c r="AK64" s="217"/>
      <c r="AL64" s="217"/>
      <c r="AM64" s="217"/>
      <c r="AN64" s="217"/>
      <c r="AO64" s="217"/>
      <c r="AP64" s="214">
        <f>SUM(AP40:AP63)</f>
        <v>5300841.32</v>
      </c>
      <c r="BG64" s="157">
        <f>SUM(BG40,BG42,BG43,BG44,BG45,BG47,BG48,BG49,BG50,BG51,BG52,BG53,BG54,BG55,BG56,BG57,BG58,BG60,BG62)</f>
        <v>5163</v>
      </c>
      <c r="BH64" s="157">
        <f>SUM(BH40,BH41,BH50,BH51,BH52,BH53,BH54,BH57,BH60)</f>
        <v>372</v>
      </c>
      <c r="BI64" s="137"/>
      <c r="BJ64" s="137"/>
      <c r="BK64" s="140"/>
      <c r="BL64" s="137"/>
      <c r="BM64" s="137"/>
      <c r="BN64" s="140"/>
      <c r="BO64" s="143"/>
      <c r="BP64" s="143"/>
      <c r="BQ64" s="143"/>
      <c r="BR64" s="143"/>
      <c r="BS64" s="137"/>
      <c r="BT64" s="137"/>
      <c r="BU64" s="160">
        <f>SUM(BU40:BU63)</f>
        <v>154689220.64819625</v>
      </c>
      <c r="BV64" s="161">
        <f>SUM(BV40:BV63)</f>
        <v>13128334.98951515</v>
      </c>
      <c r="BW64" s="214">
        <f>SUM(BW40,BW44:BW45,BW47:BW51,BW53,BW56,BW58,BW622)</f>
        <v>3314</v>
      </c>
      <c r="BX64" s="217"/>
      <c r="BY64" s="217"/>
      <c r="BZ64" s="217"/>
      <c r="CA64" s="217"/>
      <c r="CB64" s="217"/>
      <c r="CC64" s="217"/>
      <c r="CD64" s="214">
        <f>SUM(CD40:CD63)</f>
        <v>39150597.430000015</v>
      </c>
      <c r="CU64" s="157">
        <f>SUM(CU40,CU43,CU44,CU45,CU47,CU48,CU49,CU50,CU51,CU52,CU53,CU54,CU55,CU56,CU57,CU58,CU59,CU60,CU62,CU63)</f>
        <v>4910</v>
      </c>
      <c r="CV64" s="157">
        <f>SUM(CV40,CV41,CV50,CV52,CV54,CV57)</f>
        <v>263</v>
      </c>
      <c r="CW64" s="137"/>
      <c r="CX64" s="137"/>
      <c r="CY64" s="140"/>
      <c r="CZ64" s="137"/>
      <c r="DA64" s="137"/>
      <c r="DB64" s="140"/>
      <c r="DC64" s="143"/>
      <c r="DD64" s="143"/>
      <c r="DE64" s="143"/>
      <c r="DF64" s="143"/>
      <c r="DG64" s="137"/>
      <c r="DH64" s="137"/>
      <c r="DI64" s="160">
        <f>SUM(DI40:DI63)</f>
        <v>231005991.40958661</v>
      </c>
      <c r="DJ64" s="209">
        <f>SUM(DJ40:DJ63)</f>
        <v>11750788.523638271</v>
      </c>
      <c r="DK64" s="214">
        <f>SUM(DK44:DK45,DK47:DK51,DK53,DK56:DK60,DK62:DK63)</f>
        <v>727</v>
      </c>
      <c r="DL64" s="217"/>
      <c r="DM64" s="217"/>
      <c r="DN64" s="217"/>
      <c r="DO64" s="217"/>
      <c r="DP64" s="217"/>
      <c r="DQ64" s="217"/>
      <c r="DR64" s="214">
        <f>SUM(DR40:DR63)</f>
        <v>37020394.070000008</v>
      </c>
      <c r="DS64" s="147"/>
      <c r="DT64" s="47"/>
      <c r="DU64" s="47"/>
    </row>
    <row r="65" spans="19:125" ht="43.8" thickBot="1" x14ac:dyDescent="0.35">
      <c r="S65" s="158"/>
      <c r="T65" s="158"/>
      <c r="U65" s="147"/>
      <c r="V65" s="147"/>
      <c r="W65" s="148"/>
      <c r="X65" s="147"/>
      <c r="Y65" s="147"/>
      <c r="Z65" s="148"/>
      <c r="AA65" s="149"/>
      <c r="AB65" s="149"/>
      <c r="AC65" s="149"/>
      <c r="AD65" s="149"/>
      <c r="AE65" s="147"/>
      <c r="AF65" s="225" t="s">
        <v>77</v>
      </c>
      <c r="AG65" s="226">
        <f>AG64/S64</f>
        <v>46973.12600888202</v>
      </c>
      <c r="AH65" s="227">
        <f>AH64/T64</f>
        <v>41207.147950354607</v>
      </c>
      <c r="AI65" s="147"/>
      <c r="AJ65" s="147"/>
      <c r="AK65" s="147"/>
      <c r="AL65" s="147"/>
      <c r="AM65" s="147"/>
      <c r="AN65" s="147"/>
      <c r="AO65" s="147"/>
      <c r="AP65" s="225">
        <f>AP64/AI64</f>
        <v>1564.1314015933904</v>
      </c>
      <c r="BG65" s="158"/>
      <c r="BH65" s="158"/>
      <c r="BI65" s="147"/>
      <c r="BJ65" s="147"/>
      <c r="BK65" s="148"/>
      <c r="BL65" s="147"/>
      <c r="BM65" s="147"/>
      <c r="BN65" s="148"/>
      <c r="BO65" s="149"/>
      <c r="BP65" s="149"/>
      <c r="BQ65" s="149"/>
      <c r="BR65" s="149"/>
      <c r="BS65" s="147"/>
      <c r="BT65" s="225" t="s">
        <v>77</v>
      </c>
      <c r="BU65" s="226">
        <f>BU64/BG64</f>
        <v>29961.111882277019</v>
      </c>
      <c r="BV65" s="227">
        <f>BV64/BH64</f>
        <v>35291.223090094492</v>
      </c>
      <c r="BW65" s="147"/>
      <c r="BX65" s="147"/>
      <c r="BY65" s="147"/>
      <c r="BZ65" s="147"/>
      <c r="CA65" s="147"/>
      <c r="CB65" s="147"/>
      <c r="CC65" s="147"/>
      <c r="CD65" s="225">
        <f>CD64/BW64</f>
        <v>11813.698681351845</v>
      </c>
      <c r="CU65" s="158"/>
      <c r="CV65" s="158"/>
      <c r="CW65" s="147"/>
      <c r="CX65" s="147"/>
      <c r="CY65" s="148"/>
      <c r="CZ65" s="147"/>
      <c r="DA65" s="147"/>
      <c r="DB65" s="148"/>
      <c r="DC65" s="149"/>
      <c r="DD65" s="149"/>
      <c r="DE65" s="149"/>
      <c r="DF65" s="149"/>
      <c r="DG65" s="147"/>
      <c r="DH65" s="225" t="s">
        <v>77</v>
      </c>
      <c r="DI65" s="226">
        <f>DI64/CU64</f>
        <v>47048.063423541062</v>
      </c>
      <c r="DJ65" s="226">
        <f>DJ64/CV64</f>
        <v>44679.804272388865</v>
      </c>
      <c r="DK65" s="147"/>
      <c r="DL65" s="147"/>
      <c r="DM65" s="147"/>
      <c r="DN65" s="147"/>
      <c r="DO65" s="147"/>
      <c r="DP65" s="147"/>
      <c r="DQ65" s="147"/>
      <c r="DR65" s="225">
        <f>DR64/DK64</f>
        <v>50922.137647867959</v>
      </c>
      <c r="DS65" s="228">
        <f>(((AP65*115.5%*107.1%)+(CD65*107.1%)+DR65)/3)*103.9%*103.7%</f>
        <v>23527.565142426523</v>
      </c>
      <c r="DT65" s="228">
        <f>(((AG65*115.5%*107.1%)+(BU65*107.1%)+DI65)/3)*103.9%*103.7%</f>
        <v>49290.289878337164</v>
      </c>
      <c r="DU65" s="228">
        <f>(((AH65*115.5%*107.1%)+(BV65*107.1%)+DJ65)/3)*103.9%*103.7%</f>
        <v>47928.310797692087</v>
      </c>
    </row>
  </sheetData>
  <autoFilter ref="A11:DU65"/>
  <customSheetViews>
    <customSheetView guid="{9528F918-98F0-45FD-BE58-081CB6B26C60}" scale="80">
      <pane xSplit="2" ySplit="12" topLeftCell="CM13" activePane="bottomRight" state="frozen"/>
      <selection pane="bottomRight" activeCell="CU20" sqref="CU20"/>
      <pageMargins left="0.7" right="0.7" top="0.75" bottom="0.75" header="0.3" footer="0.3"/>
      <pageSetup paperSize="9" orientation="portrait" horizontalDpi="0" verticalDpi="0" r:id="rId1"/>
    </customSheetView>
    <customSheetView guid="{512A30C0-C237-4A61-86DC-72786D6F25C2}" scale="80" fitToPage="1" showAutoFilter="1">
      <pane xSplit="2" ySplit="12" topLeftCell="C13" activePane="bottomRight" state="frozen"/>
      <selection pane="bottomRight" activeCell="C23" sqref="C23"/>
      <pageMargins left="0.11811023622047245" right="0.11811023622047245" top="0.15748031496062992" bottom="0.15748031496062992" header="3.937007874015748E-2" footer="3.937007874015748E-2"/>
      <pageSetup paperSize="9" scale="44" fitToWidth="0" orientation="landscape" r:id="rId2"/>
      <autoFilter ref="A11:DU65"/>
    </customSheetView>
    <customSheetView guid="{0CB0DA52-F445-4927-9AA2-C71984857A40}" scale="80" fitToPage="1" showAutoFilter="1">
      <pane xSplit="2" ySplit="12" topLeftCell="C13" activePane="bottomRight" state="frozen"/>
      <selection pane="bottomRight" activeCell="C23" sqref="C23"/>
      <pageMargins left="0.11811023622047245" right="0.11811023622047245" top="0.15748031496062992" bottom="0.15748031496062992" header="3.937007874015748E-2" footer="3.937007874015748E-2"/>
      <pageSetup paperSize="9" scale="44" fitToWidth="0" orientation="landscape" r:id="rId3"/>
      <autoFilter ref="A11:DU65"/>
    </customSheetView>
    <customSheetView guid="{6BDD9E66-BFEF-437C-92D4-C3942BAB2C45}" scale="61" state="hidden">
      <pane xSplit="2" ySplit="12" topLeftCell="BV31" activePane="bottomRight" state="frozen"/>
      <selection pane="bottomRight" activeCell="CO40" sqref="CO40:CP63"/>
      <pageMargins left="0.7" right="0.7" top="0.75" bottom="0.75" header="0.3" footer="0.3"/>
      <pageSetup paperSize="9" orientation="portrait" horizontalDpi="0" verticalDpi="0" r:id="rId4"/>
    </customSheetView>
    <customSheetView guid="{0ED4EF63-5D08-4DEB-B312-C0FBC2C39F95}" scale="80" fitToPage="1" showAutoFilter="1">
      <pane xSplit="2" ySplit="12" topLeftCell="C13" activePane="bottomRight" state="frozen"/>
      <selection pane="bottomRight" activeCell="C23" sqref="C23"/>
      <pageMargins left="0.11811023622047245" right="0.11811023622047245" top="0.15748031496062992" bottom="0.15748031496062992" header="3.937007874015748E-2" footer="3.937007874015748E-2"/>
      <pageSetup paperSize="9" scale="44" fitToWidth="0" orientation="landscape" r:id="rId5"/>
      <autoFilter ref="A11:DU65"/>
    </customSheetView>
    <customSheetView guid="{F0411C3B-1953-42F6-B0AB-C4CCEDB5FA1C}" scale="80">
      <pane xSplit="2" ySplit="12" topLeftCell="C22" activePane="bottomRight" state="frozen"/>
      <selection pane="bottomRight" activeCell="CA41" sqref="CA41:CD41"/>
      <pageMargins left="0.7" right="0.7" top="0.75" bottom="0.75" header="0.3" footer="0.3"/>
      <pageSetup paperSize="9" orientation="portrait" r:id="rId6"/>
    </customSheetView>
    <customSheetView guid="{39F5BC19-33A1-450E-8426-AA1A3487CB52}" scale="70">
      <pane xSplit="2" ySplit="12" topLeftCell="C13" activePane="bottomRight" state="frozen"/>
      <selection pane="bottomRight" activeCell="O50" sqref="O50:R50"/>
      <pageMargins left="0.7" right="0.7" top="0.75" bottom="0.75" header="0.3" footer="0.3"/>
      <pageSetup paperSize="9" orientation="portrait" horizontalDpi="0" verticalDpi="0" r:id="rId7"/>
    </customSheetView>
    <customSheetView guid="{D39D4E7D-6C3D-47CF-BFE2-CDFE67B11C85}" scale="80" fitToPage="1" showAutoFilter="1">
      <pane xSplit="2" ySplit="12" topLeftCell="C13" activePane="bottomRight" state="frozen"/>
      <selection pane="bottomRight" activeCell="C23" sqref="C23"/>
      <pageMargins left="0.11811023622047245" right="0.11811023622047245" top="0.15748031496062992" bottom="0.15748031496062992" header="3.937007874015748E-2" footer="3.937007874015748E-2"/>
      <pageSetup paperSize="9" scale="44" fitToWidth="0" orientation="landscape" r:id="rId8"/>
      <autoFilter ref="A11:DU65"/>
    </customSheetView>
  </customSheetViews>
  <mergeCells count="45">
    <mergeCell ref="CU8:DJ8"/>
    <mergeCell ref="BG9:BH9"/>
    <mergeCell ref="BI9:BJ9"/>
    <mergeCell ref="BK9:BL9"/>
    <mergeCell ref="BM9:BN9"/>
    <mergeCell ref="BO9:BP9"/>
    <mergeCell ref="BQ9:BR9"/>
    <mergeCell ref="BS9:BT9"/>
    <mergeCell ref="BU9:BV9"/>
    <mergeCell ref="CU9:CV9"/>
    <mergeCell ref="CW9:CX9"/>
    <mergeCell ref="DI9:DJ9"/>
    <mergeCell ref="BG8:BV8"/>
    <mergeCell ref="C8:R8"/>
    <mergeCell ref="S8:AH8"/>
    <mergeCell ref="AQ8:BF8"/>
    <mergeCell ref="DS9:DU9"/>
    <mergeCell ref="CY9:CZ9"/>
    <mergeCell ref="DA9:DB9"/>
    <mergeCell ref="DC9:DD9"/>
    <mergeCell ref="DE9:DF9"/>
    <mergeCell ref="DG9:DH9"/>
    <mergeCell ref="S9:T9"/>
    <mergeCell ref="U9:V9"/>
    <mergeCell ref="W9:X9"/>
    <mergeCell ref="Y9:Z9"/>
    <mergeCell ref="AE9:AF9"/>
    <mergeCell ref="AC9:AD9"/>
    <mergeCell ref="CE8:CT8"/>
    <mergeCell ref="A39:CT39"/>
    <mergeCell ref="A12:CT12"/>
    <mergeCell ref="C9:F9"/>
    <mergeCell ref="CI9:CL9"/>
    <mergeCell ref="CM9:CP9"/>
    <mergeCell ref="CQ9:CT9"/>
    <mergeCell ref="BC9:BF9"/>
    <mergeCell ref="CE9:CH9"/>
    <mergeCell ref="G9:J9"/>
    <mergeCell ref="K9:N9"/>
    <mergeCell ref="O9:R9"/>
    <mergeCell ref="AQ9:AT9"/>
    <mergeCell ref="AU9:AX9"/>
    <mergeCell ref="AY9:BB9"/>
    <mergeCell ref="AA9:AB9"/>
    <mergeCell ref="AG9:AH9"/>
  </mergeCells>
  <pageMargins left="0.11811023622047245" right="0.11811023622047245" top="0.15748031496062992" bottom="0.15748031496062992" header="3.937007874015748E-2" footer="3.937007874015748E-2"/>
  <pageSetup paperSize="9" scale="44" fitToWidth="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Титульный</vt:lpstr>
      <vt:lpstr>1 городские нп (УЭС)</vt:lpstr>
      <vt:lpstr>2 не городские нп (УЭС)</vt:lpstr>
      <vt:lpstr>3 Организационные</vt:lpstr>
      <vt:lpstr>ЗАМЕНА Организационные меропри</vt:lpstr>
      <vt:lpstr>Организационные мероприятия</vt:lpstr>
      <vt:lpstr>'1 городские нп (УЭС)'!Заголовки_для_печати</vt:lpstr>
      <vt:lpstr>'2 не городские нп (УЭС)'!Заголовки_для_печати</vt:lpstr>
      <vt:lpstr>'1 городские нп (УЭС)'!Область_печати</vt:lpstr>
      <vt:lpstr>'2 не городские нп (УЭС)'!Область_печати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Галич Екатерина Сергеевна</dc:creator>
  <cp:lastModifiedBy>zm3</cp:lastModifiedBy>
  <cp:lastPrinted>2020-10-21T06:14:19Z</cp:lastPrinted>
  <dcterms:created xsi:type="dcterms:W3CDTF">2017-11-22T00:10:18Z</dcterms:created>
  <dcterms:modified xsi:type="dcterms:W3CDTF">2021-11-01T03:56:20Z</dcterms:modified>
</cp:coreProperties>
</file>