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расходы по мероприятиям" sheetId="1" r:id="rId1"/>
    <sheet name="расходы на строительство город" sheetId="2" r:id="rId2"/>
    <sheet name="расходы на строительство село" sheetId="3" r:id="rId3"/>
    <sheet name="приложение 2" sheetId="4" r:id="rId4"/>
    <sheet name="приложение 3" sheetId="5" r:id="rId5"/>
    <sheet name="приложение 4" sheetId="6" r:id="rId6"/>
    <sheet name="приложение 5" sheetId="7" r:id="rId7"/>
  </sheets>
  <externalReferences>
    <externalReference r:id="rId10"/>
    <externalReference r:id="rId11"/>
  </externalReferences>
  <definedNames>
    <definedName name="TABLE" localSheetId="3">'приложение 2'!#REF!</definedName>
    <definedName name="TABLE_2" localSheetId="3">'приложение 2'!#REF!</definedName>
    <definedName name="_xlnm.Print_Titles" localSheetId="1">'расходы на строительство город'!$A:$B,'расходы на строительство город'!$7:$9</definedName>
    <definedName name="_xlnm.Print_Titles" localSheetId="2">'расходы на строительство село'!$A:$B,'расходы на строительство село'!$7:$9</definedName>
    <definedName name="_xlnm.Print_Area" localSheetId="3">'приложение 2'!$A$1:$DA$24</definedName>
    <definedName name="_xlnm.Print_Area" localSheetId="1">'расходы на строительство город'!$A$1:$BI$378</definedName>
    <definedName name="_xlnm.Print_Area" localSheetId="2">'расходы на строительство село'!$A$1:$BI$104</definedName>
    <definedName name="способ">#REF!</definedName>
    <definedName name="ур_напр1">#REF!</definedName>
  </definedNames>
  <calcPr fullCalcOnLoad="1"/>
</workbook>
</file>

<file path=xl/sharedStrings.xml><?xml version="1.0" encoding="utf-8"?>
<sst xmlns="http://schemas.openxmlformats.org/spreadsheetml/2006/main" count="1979" uniqueCount="815">
  <si>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</si>
  <si>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</si>
  <si>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</si>
  <si>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</si>
  <si>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</si>
  <si>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</si>
  <si>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</si>
  <si>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</si>
  <si>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</si>
  <si>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</si>
  <si>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</si>
  <si>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</si>
  <si>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</si>
  <si>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</si>
  <si>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</si>
  <si>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</si>
  <si>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</si>
  <si>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</si>
  <si>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</si>
  <si>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</si>
  <si>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</si>
  <si>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</si>
  <si>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</si>
  <si>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</si>
  <si>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,</t>
  </si>
  <si>
    <t>Приложение № 4</t>
  </si>
  <si>
    <t>об осуществлении технологического присоединения
по договорам, заключенным за текущий год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</si>
  <si>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</si>
  <si>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</si>
  <si>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</si>
  <si>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</si>
  <si>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</si>
  <si>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</si>
  <si>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</si>
  <si>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</si>
  <si>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</si>
  <si>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</si>
  <si>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</si>
  <si>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</si>
  <si>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</si>
  <si>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</si>
  <si>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</si>
  <si>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</si>
  <si>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</si>
  <si>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</si>
  <si>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</si>
  <si>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</si>
  <si>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</si>
  <si>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</si>
  <si>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</si>
  <si>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</si>
  <si>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Директор МУП "Уссурийск-Электросеть"                                                           В.И. Можара</t>
  </si>
  <si>
    <t>исп. Пуховая О.А.</t>
  </si>
  <si>
    <t>тел. 8 4234 32-08-38</t>
  </si>
  <si>
    <t>Директор МУП "Уссурийск-Электросеть"                                                                    В.И. Можара</t>
  </si>
  <si>
    <t>к методическим указаниям по определению размера платы за технологическое присоединение к электрическим сетям</t>
  </si>
  <si>
    <t>Расходы</t>
  </si>
  <si>
    <t xml:space="preserve">на выполнение мероприятий по технологическому присоединению, </t>
  </si>
  <si>
    <t>предусмотренным подпунктами "а" и "в" пункта 16 Методических указаний,</t>
  </si>
  <si>
    <t>за 2016 - 2018 года</t>
  </si>
  <si>
    <t>МУП "Уссурийск-Электросеть"</t>
  </si>
  <si>
    <t>№ п/п</t>
  </si>
  <si>
    <t>Наименование мероприятий</t>
  </si>
  <si>
    <t>Период</t>
  </si>
  <si>
    <t>категория мощности, кВт</t>
  </si>
  <si>
    <t>Информация для расчета стандартизированной тарифной ставки С1</t>
  </si>
  <si>
    <t>Расходы на одно присоединение, руб.</t>
  </si>
  <si>
    <t>Расходы по каждому мероприятию, рую.</t>
  </si>
  <si>
    <t>Количество технологических присоединений, шт.</t>
  </si>
  <si>
    <t>Объем максимаальной мощности, кВт</t>
  </si>
  <si>
    <t>Подготовка и выдача сетевой организацией технических условий заявителю</t>
  </si>
  <si>
    <t>2016 год</t>
  </si>
  <si>
    <t>до 15</t>
  </si>
  <si>
    <t>16-150</t>
  </si>
  <si>
    <t>151-670 и &gt;</t>
  </si>
  <si>
    <t>Итого</t>
  </si>
  <si>
    <t>2017 год</t>
  </si>
  <si>
    <t>2018 год</t>
  </si>
  <si>
    <t>Проверка сетевой организацией выполнения заявителем технических условий в том числе проверка технических условий и фактическое присоединение</t>
  </si>
  <si>
    <t>Директор МУП "Уссурийск-Электросеть"</t>
  </si>
  <si>
    <t>В.И. Можара</t>
  </si>
  <si>
    <t>Начальник отдела технико-экономического планирования организации труда и заработной платы</t>
  </si>
  <si>
    <t>Пуховая О.А.</t>
  </si>
  <si>
    <t>тел. 8 (4234) 32-08-38</t>
  </si>
  <si>
    <t xml:space="preserve"> </t>
  </si>
  <si>
    <t>N п/п</t>
  </si>
  <si>
    <t xml:space="preserve"> 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для территорий городских населенных пунктов</t>
  </si>
  <si>
    <t>Объект электросетевого хозяйства</t>
  </si>
  <si>
    <t>№ ТУ</t>
  </si>
  <si>
    <t>Уровень напряжения</t>
  </si>
  <si>
    <t>Протяженность (для линий электропередачи), м</t>
  </si>
  <si>
    <t>Пропускная способность, кВт/Максимальная мощность, кВт, в т.ч.:</t>
  </si>
  <si>
    <t>заявленная мощность потребителей, кВт</t>
  </si>
  <si>
    <t>Расходы на строительство объекта, тыс. руб., в т.ч.:</t>
  </si>
  <si>
    <t>Материалы и оборудование, тыс.руб., в т.ч.:</t>
  </si>
  <si>
    <t>кабель-провод (для разделов 1-2)/трансформатор (для разделов 3-6), тыс.руб.</t>
  </si>
  <si>
    <t>опоры, траншеи (для разд. 1-2)/оборудование (для разд. 3-6), тыс.руб.</t>
  </si>
  <si>
    <t>Машины и механизны, тыс.руб.</t>
  </si>
  <si>
    <t>проектные и изыскательские работы, тыс.руб.</t>
  </si>
  <si>
    <t>сметная прибыль, тыс.руб.</t>
  </si>
  <si>
    <t>накладные расходы, тыс.руб.</t>
  </si>
  <si>
    <t>стоимость 1 км кабеля (для разд. 1-2)/ трансформатора (для разд. 3-6), тыс.руб./км(шт)</t>
  </si>
  <si>
    <t>стоимость 1 опоры, траншеи (для разд. 1-2)/оборудования (для разд. 3-6), тыс.руб./шт</t>
  </si>
  <si>
    <t>Способ выполнения работ**</t>
  </si>
  <si>
    <t>Способ закупки материалов/выбора подрядчика***</t>
  </si>
  <si>
    <t>Наименование поставщика/подрядчика</t>
  </si>
  <si>
    <t>номер страницы обосновывающих документов в рассчетных материалах</t>
  </si>
  <si>
    <t>расход на 1 км</t>
  </si>
  <si>
    <t>расход на 1 квт</t>
  </si>
  <si>
    <t>заявленная мощность потребителя</t>
  </si>
  <si>
    <t>сметная прибыльы, тыс.руб.</t>
  </si>
  <si>
    <t>Способ выполнения работ</t>
  </si>
  <si>
    <t>1.3.1.4.1</t>
  </si>
  <si>
    <t>Материал опоры (железобетонные (3), Тип провода (изолированный провод (1), Материал провода (алюминиевый (4), Сечение провода (диапазон до 50 квадратных мм включительно (1)</t>
  </si>
  <si>
    <t>1</t>
  </si>
  <si>
    <t>Провод СИП-4 2*16</t>
  </si>
  <si>
    <t>1.1</t>
  </si>
  <si>
    <t>Житников В.И.</t>
  </si>
  <si>
    <t>864/674-НН/1</t>
  </si>
  <si>
    <t>хозспособ</t>
  </si>
  <si>
    <t>единственный поставщик</t>
  </si>
  <si>
    <t>1.2</t>
  </si>
  <si>
    <t>Ромаева Л.А.</t>
  </si>
  <si>
    <t>820/764-ЛР/11</t>
  </si>
  <si>
    <t>1.3</t>
  </si>
  <si>
    <t>ИП Эзирханова М.Ю.</t>
  </si>
  <si>
    <t xml:space="preserve">84/125-ГР/2 </t>
  </si>
  <si>
    <t>1.4</t>
  </si>
  <si>
    <t>Марков Д.Е.</t>
  </si>
  <si>
    <t>74/7002-КЗ/25</t>
  </si>
  <si>
    <t>1.5</t>
  </si>
  <si>
    <t>Рудь С.Н.</t>
  </si>
  <si>
    <t>884/209-ГР/10</t>
  </si>
  <si>
    <t>1.6</t>
  </si>
  <si>
    <t>Богданов И.Н.</t>
  </si>
  <si>
    <t>19-17</t>
  </si>
  <si>
    <t>1.7</t>
  </si>
  <si>
    <t>ИП Митус М.М.</t>
  </si>
  <si>
    <t>431-18</t>
  </si>
  <si>
    <t>1.8</t>
  </si>
  <si>
    <t>430-18</t>
  </si>
  <si>
    <t>1.9</t>
  </si>
  <si>
    <t>ИП Пенцев Д.С.</t>
  </si>
  <si>
    <t>168-18</t>
  </si>
  <si>
    <t>2</t>
  </si>
  <si>
    <t>Провод СИП-4 4*16</t>
  </si>
  <si>
    <t>2.1</t>
  </si>
  <si>
    <t>Остапенко Д.В.</t>
  </si>
  <si>
    <t>485/787-КЗ/25</t>
  </si>
  <si>
    <t>2.2</t>
  </si>
  <si>
    <t>Анищенко С.В.</t>
  </si>
  <si>
    <t>772/802-ТР/8</t>
  </si>
  <si>
    <t>2.3</t>
  </si>
  <si>
    <t>Бабаева Ю.Н.</t>
  </si>
  <si>
    <t>699/367-БП/4</t>
  </si>
  <si>
    <t>2.4</t>
  </si>
  <si>
    <t>Шевчук Н.Ф.</t>
  </si>
  <si>
    <t>21/407-МР/9</t>
  </si>
  <si>
    <t>2.5</t>
  </si>
  <si>
    <t>Клюева Е.М.</t>
  </si>
  <si>
    <t>388/н-ИЗ/3</t>
  </si>
  <si>
    <t>2.6</t>
  </si>
  <si>
    <t>Христодор А.П.</t>
  </si>
  <si>
    <t>305/789-У2</t>
  </si>
  <si>
    <t>2.7</t>
  </si>
  <si>
    <t>ГСК "Луч"</t>
  </si>
  <si>
    <t>754/82-ГР/4</t>
  </si>
  <si>
    <t>2.8</t>
  </si>
  <si>
    <t>Кузьмин С.В.</t>
  </si>
  <si>
    <t>55/54-МК/7</t>
  </si>
  <si>
    <t>2.9</t>
  </si>
  <si>
    <t>Фоменко В.А.</t>
  </si>
  <si>
    <t>640/н-У2/н</t>
  </si>
  <si>
    <t>2.10</t>
  </si>
  <si>
    <t>Бридько Н.М.</t>
  </si>
  <si>
    <t>381/н-У2/1</t>
  </si>
  <si>
    <t>2.11</t>
  </si>
  <si>
    <t>Рылик С.М.</t>
  </si>
  <si>
    <t>563/617-НН/1</t>
  </si>
  <si>
    <t>2.12</t>
  </si>
  <si>
    <t>Черняк О,М.</t>
  </si>
  <si>
    <t>348/336-У1/8</t>
  </si>
  <si>
    <t>2.13</t>
  </si>
  <si>
    <t>ИП Реутов А.С.</t>
  </si>
  <si>
    <t>482/270-МЗ/4</t>
  </si>
  <si>
    <t>2.14</t>
  </si>
  <si>
    <t>Шляхов Ю.К.</t>
  </si>
  <si>
    <t>246/759-КЗ/24</t>
  </si>
  <si>
    <t>2.15</t>
  </si>
  <si>
    <t>ФКУ "Дальуправдор"</t>
  </si>
  <si>
    <t>498/РП1-МЖ/19</t>
  </si>
  <si>
    <t>2.16</t>
  </si>
  <si>
    <t>Попов Э.М.</t>
  </si>
  <si>
    <t>68/н-У2/н</t>
  </si>
  <si>
    <t>2.17</t>
  </si>
  <si>
    <t>Волков А.Л.</t>
  </si>
  <si>
    <t>158/740-КЗ/25</t>
  </si>
  <si>
    <t>2.18</t>
  </si>
  <si>
    <t>Алексенко А.Н.</t>
  </si>
  <si>
    <t>419/55-УМ/4</t>
  </si>
  <si>
    <t>2.19</t>
  </si>
  <si>
    <t>Кравченко Н.В.</t>
  </si>
  <si>
    <t>204/55-УМ/н</t>
  </si>
  <si>
    <t>2.20</t>
  </si>
  <si>
    <t>Собакарь А.В.</t>
  </si>
  <si>
    <t>188/629-НН/7</t>
  </si>
  <si>
    <t>2.21</t>
  </si>
  <si>
    <t>Хостикян Г.Г.</t>
  </si>
  <si>
    <t>583/742-ЛР/2</t>
  </si>
  <si>
    <t>2.22</t>
  </si>
  <si>
    <t>Чистик В.В.</t>
  </si>
  <si>
    <t>327/731-У2/4</t>
  </si>
  <si>
    <t>2.23</t>
  </si>
  <si>
    <t>Жменя Е.Г.</t>
  </si>
  <si>
    <t>135/742-ЛР/2</t>
  </si>
  <si>
    <t>2.24</t>
  </si>
  <si>
    <t>Хасанов Т.Р.</t>
  </si>
  <si>
    <t>269/744-ИЗ/3</t>
  </si>
  <si>
    <t>2.25</t>
  </si>
  <si>
    <t>Чернов А.В.</t>
  </si>
  <si>
    <t>307/н-ИЗ/4</t>
  </si>
  <si>
    <t>2.26</t>
  </si>
  <si>
    <t>Агальцова Н.А.</t>
  </si>
  <si>
    <t>364/7907-КЗ/25</t>
  </si>
  <si>
    <t>2.27</t>
  </si>
  <si>
    <t>Пилюгин К.С.</t>
  </si>
  <si>
    <t>670/412-УМ/3</t>
  </si>
  <si>
    <t>2.28</t>
  </si>
  <si>
    <t>Калашникова Т.Г.</t>
  </si>
  <si>
    <t>415/286-МЗ/1</t>
  </si>
  <si>
    <t>2.29</t>
  </si>
  <si>
    <t>Атавина И.П.</t>
  </si>
  <si>
    <t>673/740-КЗ/25</t>
  </si>
  <si>
    <t>2.30</t>
  </si>
  <si>
    <t>Ворона Д.С.</t>
  </si>
  <si>
    <t>139-17</t>
  </si>
  <si>
    <t>2.31</t>
  </si>
  <si>
    <t>Рой С.В.</t>
  </si>
  <si>
    <t>378/729-У2/4</t>
  </si>
  <si>
    <t>2.32</t>
  </si>
  <si>
    <t>Кузнецов В.К.</t>
  </si>
  <si>
    <t>124-17</t>
  </si>
  <si>
    <t>2.33</t>
  </si>
  <si>
    <t>Борец С.А.</t>
  </si>
  <si>
    <t>661/335-У1/8</t>
  </si>
  <si>
    <t>2.34</t>
  </si>
  <si>
    <t>Карева О.В.</t>
  </si>
  <si>
    <t>436/729-У2/4</t>
  </si>
  <si>
    <t>2.35</t>
  </si>
  <si>
    <t>Голоков И.Ю.</t>
  </si>
  <si>
    <t>386/н-ЛР/2</t>
  </si>
  <si>
    <t>2.36</t>
  </si>
  <si>
    <t>Сергиенко А.В.</t>
  </si>
  <si>
    <t>160-17</t>
  </si>
  <si>
    <t>2.37</t>
  </si>
  <si>
    <t>Левчук С.Н.</t>
  </si>
  <si>
    <t>52-17</t>
  </si>
  <si>
    <t>2.38</t>
  </si>
  <si>
    <t>Бобровский Д.С.</t>
  </si>
  <si>
    <t>458/249-УМ/7</t>
  </si>
  <si>
    <t>2.39</t>
  </si>
  <si>
    <t>Щетинина И.В.</t>
  </si>
  <si>
    <t>521-17</t>
  </si>
  <si>
    <t>2.40</t>
  </si>
  <si>
    <t>Дубинцова О.А.</t>
  </si>
  <si>
    <t>37-17</t>
  </si>
  <si>
    <t>2.41</t>
  </si>
  <si>
    <t>УМУПТС УГО</t>
  </si>
  <si>
    <t>572-17</t>
  </si>
  <si>
    <t>2.42</t>
  </si>
  <si>
    <t>Лещенко А.Г.</t>
  </si>
  <si>
    <t>84-17</t>
  </si>
  <si>
    <t>2.43</t>
  </si>
  <si>
    <t>Дикун Е.А.</t>
  </si>
  <si>
    <t>134-17</t>
  </si>
  <si>
    <t>2.44</t>
  </si>
  <si>
    <t>Абрамова Е.А.</t>
  </si>
  <si>
    <t>387/н-ИЗ/3</t>
  </si>
  <si>
    <t>2.45</t>
  </si>
  <si>
    <t>Пономаренко Г.Н.</t>
  </si>
  <si>
    <t>597-17</t>
  </si>
  <si>
    <t>2.46</t>
  </si>
  <si>
    <t>КГБУ "Уссурийская ВСББЖ"</t>
  </si>
  <si>
    <t>67-17</t>
  </si>
  <si>
    <t>2.47</t>
  </si>
  <si>
    <t>Бутенко Н.Н.</t>
  </si>
  <si>
    <t>288-17</t>
  </si>
  <si>
    <t>2.48</t>
  </si>
  <si>
    <t>Артамонов О.Ф.</t>
  </si>
  <si>
    <t>525/н-У2/н</t>
  </si>
  <si>
    <t>2.49</t>
  </si>
  <si>
    <t>Свойкин В. Ю.</t>
  </si>
  <si>
    <t>462-17</t>
  </si>
  <si>
    <t>2.50</t>
  </si>
  <si>
    <t>Кучинский Л.А.         Гречка Л.В.</t>
  </si>
  <si>
    <t>229/54-МК/7</t>
  </si>
  <si>
    <t>2.51</t>
  </si>
  <si>
    <t>Нестерова О.П.</t>
  </si>
  <si>
    <t>331-18</t>
  </si>
  <si>
    <t>2.52</t>
  </si>
  <si>
    <t>ООО "Газпром межрегионгаз"</t>
  </si>
  <si>
    <t>263-18</t>
  </si>
  <si>
    <t>2.53</t>
  </si>
  <si>
    <t>Куклин И.Л.</t>
  </si>
  <si>
    <t>309-18</t>
  </si>
  <si>
    <t>2.54</t>
  </si>
  <si>
    <t>Кошман О.В.</t>
  </si>
  <si>
    <t>284/781-ИЗ/2</t>
  </si>
  <si>
    <t>2.55</t>
  </si>
  <si>
    <t>Кузанкин Е.С.</t>
  </si>
  <si>
    <t>555-17</t>
  </si>
  <si>
    <t>2.56</t>
  </si>
  <si>
    <t>Логунова А.Л.</t>
  </si>
  <si>
    <t>390-17</t>
  </si>
  <si>
    <t>2.57</t>
  </si>
  <si>
    <t>Фалько Е.В.</t>
  </si>
  <si>
    <t>535-17</t>
  </si>
  <si>
    <t>2.58</t>
  </si>
  <si>
    <t>Кожевникова Е.В.</t>
  </si>
  <si>
    <t>383-18</t>
  </si>
  <si>
    <t>2.59</t>
  </si>
  <si>
    <t>Новожилов А.А.</t>
  </si>
  <si>
    <t>34-18</t>
  </si>
  <si>
    <t>2.60</t>
  </si>
  <si>
    <t>Плохотникова Е.В.</t>
  </si>
  <si>
    <t>877-17</t>
  </si>
  <si>
    <t>2.61</t>
  </si>
  <si>
    <t>Недеря И.Д.</t>
  </si>
  <si>
    <t>422-18</t>
  </si>
  <si>
    <t>2.62</t>
  </si>
  <si>
    <t>ГСК "Сатурн"</t>
  </si>
  <si>
    <t>443-18</t>
  </si>
  <si>
    <t>2.63</t>
  </si>
  <si>
    <t>Зиновьев В.Л.</t>
  </si>
  <si>
    <t>171-18</t>
  </si>
  <si>
    <t>3</t>
  </si>
  <si>
    <t>Провод СИП-4 4*25</t>
  </si>
  <si>
    <t>3.1</t>
  </si>
  <si>
    <t>ООО "Проектлес "Уссури""</t>
  </si>
  <si>
    <t>83-17</t>
  </si>
  <si>
    <t>3.2</t>
  </si>
  <si>
    <t>ИП Алексеенко И.А.</t>
  </si>
  <si>
    <t>478/н-КЗ/18</t>
  </si>
  <si>
    <t>3.3</t>
  </si>
  <si>
    <t>ИП Пуртиев М.М.О.</t>
  </si>
  <si>
    <t>220-17</t>
  </si>
  <si>
    <t>3.4</t>
  </si>
  <si>
    <t>Ким Е.Б.</t>
  </si>
  <si>
    <t>115-17</t>
  </si>
  <si>
    <t>3.5</t>
  </si>
  <si>
    <t>Моргунов А.В.</t>
  </si>
  <si>
    <t>548-17</t>
  </si>
  <si>
    <t>3.6</t>
  </si>
  <si>
    <t>Одарченко А.Н.</t>
  </si>
  <si>
    <t>860-17</t>
  </si>
  <si>
    <t>3.7</t>
  </si>
  <si>
    <t>Кутеко В.Н.</t>
  </si>
  <si>
    <t>54-18</t>
  </si>
  <si>
    <t>3.8</t>
  </si>
  <si>
    <t>Гуцал А.А.</t>
  </si>
  <si>
    <t>250-18</t>
  </si>
  <si>
    <t>3.9</t>
  </si>
  <si>
    <t>ИП Анахова А.А.</t>
  </si>
  <si>
    <t>738-18</t>
  </si>
  <si>
    <t>4</t>
  </si>
  <si>
    <t>Провод СИП-4 4*35</t>
  </si>
  <si>
    <t>4.1</t>
  </si>
  <si>
    <t>Омельченко И.М.</t>
  </si>
  <si>
    <t>135/126-МЗ/5</t>
  </si>
  <si>
    <t>4.2</t>
  </si>
  <si>
    <t>Андрюшин А.Н.</t>
  </si>
  <si>
    <t>112/7002-КЗ/25</t>
  </si>
  <si>
    <t>4.3</t>
  </si>
  <si>
    <t>Каюкова Е.В.</t>
  </si>
  <si>
    <t>619/7002-КЗ/25</t>
  </si>
  <si>
    <t>4.4</t>
  </si>
  <si>
    <t>Малышева Д.Ю.</t>
  </si>
  <si>
    <t>109/7002-КЗ/25</t>
  </si>
  <si>
    <t>4.5</t>
  </si>
  <si>
    <t>ООО "ТРБТ"</t>
  </si>
  <si>
    <t>505/308-БП/7</t>
  </si>
  <si>
    <t>4.6</t>
  </si>
  <si>
    <t>Панюшкин П.А.</t>
  </si>
  <si>
    <t>636/68-ЗД/8</t>
  </si>
  <si>
    <t>4.7</t>
  </si>
  <si>
    <t>Бреднева Д.А.</t>
  </si>
  <si>
    <t>541/н-У2/4</t>
  </si>
  <si>
    <t>4.8</t>
  </si>
  <si>
    <t>ИП Трифанов К.В.</t>
  </si>
  <si>
    <t>714/643-НН/1</t>
  </si>
  <si>
    <t>4.9</t>
  </si>
  <si>
    <t>ГСК "Маяк"</t>
  </si>
  <si>
    <t>559/776-ИЗ/3</t>
  </si>
  <si>
    <t>4.10</t>
  </si>
  <si>
    <t>ГСК "Этусовец"</t>
  </si>
  <si>
    <t>103-17</t>
  </si>
  <si>
    <t>4.11</t>
  </si>
  <si>
    <t>Яцуценко А.В.</t>
  </si>
  <si>
    <t>127-17</t>
  </si>
  <si>
    <t>4.12</t>
  </si>
  <si>
    <t>Снарский В.В.</t>
  </si>
  <si>
    <t>601/336-У1/8</t>
  </si>
  <si>
    <t>4.13</t>
  </si>
  <si>
    <t>Межерецкий Р.В.</t>
  </si>
  <si>
    <t>328-17</t>
  </si>
  <si>
    <t>4.14</t>
  </si>
  <si>
    <t>ИП Талипов Н.С.</t>
  </si>
  <si>
    <t>458-17</t>
  </si>
  <si>
    <t>4.15</t>
  </si>
  <si>
    <t>ИП Селиванова Ю.Н.</t>
  </si>
  <si>
    <t>650-17</t>
  </si>
  <si>
    <t>4.16</t>
  </si>
  <si>
    <t>Стральский Н.С.</t>
  </si>
  <si>
    <t>376/120-УМ/7</t>
  </si>
  <si>
    <t>4.17</t>
  </si>
  <si>
    <t>Луканин Р.С.</t>
  </si>
  <si>
    <t>230-17</t>
  </si>
  <si>
    <t>4.18</t>
  </si>
  <si>
    <t>ИП Алиев Э.М.О.</t>
  </si>
  <si>
    <t>389-17</t>
  </si>
  <si>
    <t>4.19</t>
  </si>
  <si>
    <t>Годованюк И.Л.</t>
  </si>
  <si>
    <t>642-17</t>
  </si>
  <si>
    <t>4.20</t>
  </si>
  <si>
    <t>Линев С.Ю.</t>
  </si>
  <si>
    <t>8-17</t>
  </si>
  <si>
    <t>4.21</t>
  </si>
  <si>
    <t>Синякова С.В.</t>
  </si>
  <si>
    <t>381-17</t>
  </si>
  <si>
    <t>4.22</t>
  </si>
  <si>
    <t>Власов А.Г.</t>
  </si>
  <si>
    <t>655-17</t>
  </si>
  <si>
    <t>4.23</t>
  </si>
  <si>
    <t>Сиденко Л.А.</t>
  </si>
  <si>
    <t>222-18</t>
  </si>
  <si>
    <t>4.24</t>
  </si>
  <si>
    <t xml:space="preserve">Мурадов И.М.о      </t>
  </si>
  <si>
    <t>640-18</t>
  </si>
  <si>
    <t>4.25</t>
  </si>
  <si>
    <t xml:space="preserve">ООО"Спектром" </t>
  </si>
  <si>
    <t>853-18</t>
  </si>
  <si>
    <t>4.26</t>
  </si>
  <si>
    <t>Пиволенко В.Н.</t>
  </si>
  <si>
    <t>360-18</t>
  </si>
  <si>
    <t>4.27</t>
  </si>
  <si>
    <t>Джафаров А.Г.О.</t>
  </si>
  <si>
    <t>622-17</t>
  </si>
  <si>
    <t>4.28</t>
  </si>
  <si>
    <t>Чернов Е.Н.</t>
  </si>
  <si>
    <t>347-17</t>
  </si>
  <si>
    <t>4.29</t>
  </si>
  <si>
    <t>Стасюк Н.В.</t>
  </si>
  <si>
    <t>510-17</t>
  </si>
  <si>
    <t>4.30</t>
  </si>
  <si>
    <t>Корнецкий А.В.</t>
  </si>
  <si>
    <t>428-17</t>
  </si>
  <si>
    <t>4.31</t>
  </si>
  <si>
    <t>Качура Е.И.</t>
  </si>
  <si>
    <t>436-18</t>
  </si>
  <si>
    <t>4.32</t>
  </si>
  <si>
    <t>Куприянов В.В.</t>
  </si>
  <si>
    <t>861-17</t>
  </si>
  <si>
    <t>4.33</t>
  </si>
  <si>
    <t>Иванова Е.В.</t>
  </si>
  <si>
    <t>302-18</t>
  </si>
  <si>
    <t>4.34</t>
  </si>
  <si>
    <t>ООО "Александр"</t>
  </si>
  <si>
    <t>216-18</t>
  </si>
  <si>
    <t>5</t>
  </si>
  <si>
    <t>Провод СИП-4 4*50</t>
  </si>
  <si>
    <t>5.1</t>
  </si>
  <si>
    <t>Самойлов С.Ю.</t>
  </si>
  <si>
    <t>849/703-КЗ/5</t>
  </si>
  <si>
    <t>5.2</t>
  </si>
  <si>
    <t>Судаков В.С.</t>
  </si>
  <si>
    <t>700/731-У2/4</t>
  </si>
  <si>
    <t>5.3</t>
  </si>
  <si>
    <t>5.4</t>
  </si>
  <si>
    <t>Головаш Д.А.</t>
  </si>
  <si>
    <t>10/403-МР/1</t>
  </si>
  <si>
    <t>5.5</t>
  </si>
  <si>
    <t>Куфтин Д.В.</t>
  </si>
  <si>
    <t>83/333-У1/6</t>
  </si>
  <si>
    <t>5.6</t>
  </si>
  <si>
    <t>Александров В.В.</t>
  </si>
  <si>
    <t>344/782-ИЗ/2</t>
  </si>
  <si>
    <t>5.7</t>
  </si>
  <si>
    <t>Злыднев В.А.</t>
  </si>
  <si>
    <t>169/195-НН/10</t>
  </si>
  <si>
    <t>5.8</t>
  </si>
  <si>
    <t>Беляева И.Н.</t>
  </si>
  <si>
    <t>308/160-У2/9</t>
  </si>
  <si>
    <t>5.9</t>
  </si>
  <si>
    <t>Заднепровский О.В.</t>
  </si>
  <si>
    <t>773/600-НН/9</t>
  </si>
  <si>
    <t>5.10</t>
  </si>
  <si>
    <t>Полозова Н.С.</t>
  </si>
  <si>
    <t>648/8902-ИЗ/4</t>
  </si>
  <si>
    <t>5.11</t>
  </si>
  <si>
    <t>Булохова Т.В.</t>
  </si>
  <si>
    <t>29-17</t>
  </si>
  <si>
    <t>5.12</t>
  </si>
  <si>
    <t>Астахова О.Б.</t>
  </si>
  <si>
    <t>23-17</t>
  </si>
  <si>
    <t>5.13</t>
  </si>
  <si>
    <t>560-17</t>
  </si>
  <si>
    <t>5.14</t>
  </si>
  <si>
    <t>Никитин М.В.</t>
  </si>
  <si>
    <t>655/195-НН/10</t>
  </si>
  <si>
    <t>5.15</t>
  </si>
  <si>
    <t>Борисенко Р.А.</t>
  </si>
  <si>
    <t>133/628-НН/7</t>
  </si>
  <si>
    <t>5.16</t>
  </si>
  <si>
    <t>Логвин А.Н.</t>
  </si>
  <si>
    <t>49-17</t>
  </si>
  <si>
    <t>5.17</t>
  </si>
  <si>
    <t>Яковлева И.Е.</t>
  </si>
  <si>
    <t>745-17</t>
  </si>
  <si>
    <t>5.18</t>
  </si>
  <si>
    <t>5.19</t>
  </si>
  <si>
    <t>Бабанина Л. В.</t>
  </si>
  <si>
    <t>486-17</t>
  </si>
  <si>
    <t>5.20</t>
  </si>
  <si>
    <t>ГСК "Пивовар"</t>
  </si>
  <si>
    <t>607-17</t>
  </si>
  <si>
    <t>5.21</t>
  </si>
  <si>
    <t>Бенгер А.Э.</t>
  </si>
  <si>
    <t>765-17</t>
  </si>
  <si>
    <t>5.22</t>
  </si>
  <si>
    <t>Ворона А.Е.</t>
  </si>
  <si>
    <t>351-18</t>
  </si>
  <si>
    <t>5.23</t>
  </si>
  <si>
    <t>ИП Ерофеев О.В.</t>
  </si>
  <si>
    <t>335-18</t>
  </si>
  <si>
    <t>5.24</t>
  </si>
  <si>
    <t>ИП Шин М.А.</t>
  </si>
  <si>
    <t>251/РП10-У2/9</t>
  </si>
  <si>
    <t>5.25</t>
  </si>
  <si>
    <t xml:space="preserve">УМУПТС </t>
  </si>
  <si>
    <t>655-18</t>
  </si>
  <si>
    <t>5.26</t>
  </si>
  <si>
    <t>Паздникова  И.П.</t>
  </si>
  <si>
    <t>391-18</t>
  </si>
  <si>
    <t>1.3.1.4.2</t>
  </si>
  <si>
    <t>Материал опоры (железобетонные (3), Тип провода (изолированный провод (1), Материал провода (алюминиевый (4), Сечение провода  (диапазон от 50 до 100 квадратных мм включительно (2)</t>
  </si>
  <si>
    <t xml:space="preserve">Провод СИП-4 4*70        </t>
  </si>
  <si>
    <t>Налбандян К.Ю.</t>
  </si>
  <si>
    <t>681/757-КЗ/25</t>
  </si>
  <si>
    <t>Извекова О.В.</t>
  </si>
  <si>
    <t>407/н-ИЗ/3</t>
  </si>
  <si>
    <t>Александрова Е.М.</t>
  </si>
  <si>
    <t>430/н-МЗ/1</t>
  </si>
  <si>
    <t>Мочалов С.В.</t>
  </si>
  <si>
    <t>22/187-НН/10</t>
  </si>
  <si>
    <t>ООО "Дубовая роща"</t>
  </si>
  <si>
    <t>177/795-КЗ/25</t>
  </si>
  <si>
    <t>Мацко Г.А.</t>
  </si>
  <si>
    <t>72/7002-КЗ/25</t>
  </si>
  <si>
    <t>Газарян Е.П.</t>
  </si>
  <si>
    <t>432/н-КЗ/25</t>
  </si>
  <si>
    <t>Ковганко А.В.</t>
  </si>
  <si>
    <t>221/759-КЗ/24</t>
  </si>
  <si>
    <t>1.10</t>
  </si>
  <si>
    <t>Серофимов А.И.</t>
  </si>
  <si>
    <t>435/795-ИЗ/2</t>
  </si>
  <si>
    <t>1.11</t>
  </si>
  <si>
    <t>Михайлова В.С.</t>
  </si>
  <si>
    <t>274/н-ИЗ/4</t>
  </si>
  <si>
    <t>1.12</t>
  </si>
  <si>
    <t>ООО"ВайтСтон"</t>
  </si>
  <si>
    <t>288/255-МР/14</t>
  </si>
  <si>
    <t>1.13</t>
  </si>
  <si>
    <t>Корнеева Н.В.</t>
  </si>
  <si>
    <t>690/н-ИЗ/н</t>
  </si>
  <si>
    <t>1.14</t>
  </si>
  <si>
    <t>Гриценко Т.Ю.</t>
  </si>
  <si>
    <t>72/н-У2/4</t>
  </si>
  <si>
    <t>1.15</t>
  </si>
  <si>
    <t>ИП Фареник И.Н.</t>
  </si>
  <si>
    <t>697/516-ПР/15</t>
  </si>
  <si>
    <t>1.16</t>
  </si>
  <si>
    <t>1.17</t>
  </si>
  <si>
    <t>1.18</t>
  </si>
  <si>
    <t>Басыров А.Ю.</t>
  </si>
  <si>
    <t>743/н-У2/4</t>
  </si>
  <si>
    <t>1.19</t>
  </si>
  <si>
    <t>Леонтьева О.Н.</t>
  </si>
  <si>
    <t>40-17</t>
  </si>
  <si>
    <t>1.20</t>
  </si>
  <si>
    <t>Розенблит Д.В.</t>
  </si>
  <si>
    <t>130/н-У2/4</t>
  </si>
  <si>
    <t>1.21</t>
  </si>
  <si>
    <t>ИП Ян Сунтао</t>
  </si>
  <si>
    <t>688-17</t>
  </si>
  <si>
    <t>1.22</t>
  </si>
  <si>
    <t>ОО НКА корейцев г.Уссурийск</t>
  </si>
  <si>
    <t>334-17</t>
  </si>
  <si>
    <t>1.23</t>
  </si>
  <si>
    <t>Драгунов А.С.</t>
  </si>
  <si>
    <t>182-17</t>
  </si>
  <si>
    <t>1.24</t>
  </si>
  <si>
    <t>1.25</t>
  </si>
  <si>
    <t>1.26</t>
  </si>
  <si>
    <t>1.27</t>
  </si>
  <si>
    <t>ООО "Управление механизации №2"</t>
  </si>
  <si>
    <t>716-17</t>
  </si>
  <si>
    <t>1.28</t>
  </si>
  <si>
    <t>1.29</t>
  </si>
  <si>
    <t>Иванова О.В.</t>
  </si>
  <si>
    <t>281-17</t>
  </si>
  <si>
    <t>1.30</t>
  </si>
  <si>
    <t>Андронова Г.В.</t>
  </si>
  <si>
    <t>183-17</t>
  </si>
  <si>
    <t>1.31</t>
  </si>
  <si>
    <t>Кузнецов А.Е.</t>
  </si>
  <si>
    <t>715-17</t>
  </si>
  <si>
    <t>1.32</t>
  </si>
  <si>
    <t>215-18</t>
  </si>
  <si>
    <t>1.33</t>
  </si>
  <si>
    <t>Кудинов А.А.</t>
  </si>
  <si>
    <t>313-18</t>
  </si>
  <si>
    <t>Провод СИП-4 4*95</t>
  </si>
  <si>
    <t>Сандович А.А.</t>
  </si>
  <si>
    <t>462/н-МК/2</t>
  </si>
  <si>
    <t>Корда Л.А., Брежин Л.П.</t>
  </si>
  <si>
    <t>202/795-КЗ/25</t>
  </si>
  <si>
    <t>Ищенко Д.С.</t>
  </si>
  <si>
    <t>606/696-НН/1</t>
  </si>
  <si>
    <t>Утина А.Е.</t>
  </si>
  <si>
    <t>146/н-МЗ/1</t>
  </si>
  <si>
    <t>Ким С.Г.</t>
  </si>
  <si>
    <t>45/740-КЗ/25</t>
  </si>
  <si>
    <t>Кононенко А.А.</t>
  </si>
  <si>
    <t>356/н-У2/н</t>
  </si>
  <si>
    <t>Стужук А.А.</t>
  </si>
  <si>
    <t>687/н-МЗ/1</t>
  </si>
  <si>
    <t>Ищенко С.А.</t>
  </si>
  <si>
    <t>607/696-НН/1</t>
  </si>
  <si>
    <t>Киселенко О.П.</t>
  </si>
  <si>
    <t>368/н-У2/н</t>
  </si>
  <si>
    <t>Кучеро Р.И.</t>
  </si>
  <si>
    <t>162-17</t>
  </si>
  <si>
    <t>ИП Крымпенко Д.В.</t>
  </si>
  <si>
    <t>615-17</t>
  </si>
  <si>
    <t>Кроль С.В.</t>
  </si>
  <si>
    <t>680/н-КЗ/24</t>
  </si>
  <si>
    <t>ИП Заднепровский О.В.</t>
  </si>
  <si>
    <t>614-17</t>
  </si>
  <si>
    <t>Кучинский В.А.</t>
  </si>
  <si>
    <t>252-17</t>
  </si>
  <si>
    <t>ИП Рзаев В.Т.о</t>
  </si>
  <si>
    <t>224/229-УМ/5</t>
  </si>
  <si>
    <t>323-18</t>
  </si>
  <si>
    <t>Мурадов И.М.о</t>
  </si>
  <si>
    <t>ИП Буцкий С.Н.</t>
  </si>
  <si>
    <t>653-18</t>
  </si>
  <si>
    <t>Провод СИП-3 1*70</t>
  </si>
  <si>
    <t>Казаков А.А.</t>
  </si>
  <si>
    <t>337/709-КЗ/5</t>
  </si>
  <si>
    <t>Кузьменко Е.А.</t>
  </si>
  <si>
    <t>165/н-ЛР/2</t>
  </si>
  <si>
    <t>57,,930</t>
  </si>
  <si>
    <t>Провод СИП-3 1*95</t>
  </si>
  <si>
    <t>ФГБУ "Приморская МВЛ"</t>
  </si>
  <si>
    <t>669/н-У1/1</t>
  </si>
  <si>
    <t xml:space="preserve">ООО "ЭнергияРезиноОбработки"  </t>
  </si>
  <si>
    <t>251/н-ПР/28</t>
  </si>
  <si>
    <t>Никитин Ю.В.</t>
  </si>
  <si>
    <t>35-17</t>
  </si>
  <si>
    <t>с/т "Мелиоратор"</t>
  </si>
  <si>
    <t>557/н-У2/4</t>
  </si>
  <si>
    <t>ИП Ли В.Р.</t>
  </si>
  <si>
    <t>588-17</t>
  </si>
  <si>
    <t>ООО "Прибой Плюс"</t>
  </si>
  <si>
    <t>408-18</t>
  </si>
  <si>
    <t>Литвинов А.Н.</t>
  </si>
  <si>
    <t>65-17</t>
  </si>
  <si>
    <t>ООО СК "ГлавМонтажОбъединение"</t>
  </si>
  <si>
    <t>494/426-МР/14</t>
  </si>
  <si>
    <t>1.3.1.4.3</t>
  </si>
  <si>
    <t>Материал опоры (железобетонные (3), Тип провода (изолированный провод (1), Материал провода (алюминиевый (4), Сечение провода  (диапазон от 100 до 200 квадратных мм включительно (3)</t>
  </si>
  <si>
    <t xml:space="preserve">Провод СИП-2 3*120+1*95  </t>
  </si>
  <si>
    <t>Провод СИП-4 4*120</t>
  </si>
  <si>
    <t>ООО "Проект"</t>
  </si>
  <si>
    <t>737-18</t>
  </si>
  <si>
    <t>2.1.2.2.2</t>
  </si>
  <si>
    <t>Способ прокладки кабельных линий (в траншеях (1), многожильные (2), Кабели с бумажной изоляцией (2), Сечение провода (диапазон от 50 до 100 квадратных мм включительно (2)</t>
  </si>
  <si>
    <t>Кабель ААБл 1 4х70</t>
  </si>
  <si>
    <t>ИП Примак А.В.</t>
  </si>
  <si>
    <t>314/214-МЗ/4</t>
  </si>
  <si>
    <t>Кабель ААБл 1 4х95</t>
  </si>
  <si>
    <t>2.1.2.2.3</t>
  </si>
  <si>
    <t>Способ прокладки кабельных линий (в траншеях (1), многожильные (2), Кабели с бумажной изоляцией (2), Сечение провода (диапазон от 100 до 200 квадратных мм включительно (3)</t>
  </si>
  <si>
    <t>Кабель ААБл 1 4х120</t>
  </si>
  <si>
    <t>ООО СПК "ГлавМонтажОбъединение"</t>
  </si>
  <si>
    <t>89/432-МР/10</t>
  </si>
  <si>
    <t>90/н-МР/10</t>
  </si>
  <si>
    <t>711/424-МР/5</t>
  </si>
  <si>
    <t xml:space="preserve">ООО СПК "ГлавМонтажОбъединение" </t>
  </si>
  <si>
    <t>497-17</t>
  </si>
  <si>
    <t>Кабель ААБл 1 4х150</t>
  </si>
  <si>
    <t>ООО "МК-Трест"</t>
  </si>
  <si>
    <t>103/н-МР/14</t>
  </si>
  <si>
    <t>АО"АльянсГруппИнвестиции и Строительство"</t>
  </si>
  <si>
    <t>194/237-МЖ/4</t>
  </si>
  <si>
    <t>ООО "Водострой"</t>
  </si>
  <si>
    <t>117/н-НН/1</t>
  </si>
  <si>
    <t>612/430-МЖ/5</t>
  </si>
  <si>
    <t>ООО "Регион-П"</t>
  </si>
  <si>
    <t>197/434-МР/5</t>
  </si>
  <si>
    <t>ООО "ИнвестСтрой ДВ"</t>
  </si>
  <si>
    <t>49-18</t>
  </si>
  <si>
    <t xml:space="preserve">Кабель ААБл 6 3*120           </t>
  </si>
  <si>
    <t xml:space="preserve">Кабель ААБл 6 3*150           </t>
  </si>
  <si>
    <t xml:space="preserve">Кабель ААБл 6 3х185   </t>
  </si>
  <si>
    <t>2.1.2.2.4</t>
  </si>
  <si>
    <t xml:space="preserve"> Способ прокладки кабельных линий (в траншеях (1), многожильные (2), Кабели с бумажной изоляцией (2), Сечение провода (диапазон от 200 до 500 квадратных мм включительно (4)</t>
  </si>
  <si>
    <t>Кабель ААБл 1 4х240</t>
  </si>
  <si>
    <t xml:space="preserve">Кабель ААБл 6 3*240    </t>
  </si>
  <si>
    <t>2.6.2.2.3</t>
  </si>
  <si>
    <t xml:space="preserve"> Способ прокладки кабельных линий (горизонтальное наклонное бурение (6), многожильные (2), Кабели с бумажной изоляцией (2), Сечение провода (диапазон от 100 до 200 квадратных мм включительно (4)</t>
  </si>
  <si>
    <t>ГНБ</t>
  </si>
  <si>
    <t>ИП Шестаков Е.А.</t>
  </si>
  <si>
    <r>
      <rPr>
        <sz val="11"/>
        <rFont val="Calibri"/>
        <family val="2"/>
      </rPr>
      <t>738/215-МЗ/4</t>
    </r>
  </si>
  <si>
    <t>подрядный</t>
  </si>
  <si>
    <t>ООО СК "АЛМАЗ"</t>
  </si>
  <si>
    <t xml:space="preserve">ИП Пушкарев А.А. </t>
  </si>
  <si>
    <t>574/96-МЗ/5</t>
  </si>
  <si>
    <t>Кабель ААБл 6 3х150</t>
  </si>
  <si>
    <t>ООО "СК "Ригель"</t>
  </si>
  <si>
    <t>891/н-ЗД/1</t>
  </si>
  <si>
    <t>ООО "НБТ"</t>
  </si>
  <si>
    <t xml:space="preserve">ООО "Водострой" </t>
  </si>
  <si>
    <t>342/310-У1/6</t>
  </si>
  <si>
    <t>ООО СК "Алмаз"</t>
  </si>
  <si>
    <t>75,77, 83</t>
  </si>
  <si>
    <t>4.1.1.2</t>
  </si>
  <si>
    <t>Трансформаторные подстанции (ТП), за исключением распределительных трансформаторных подстанций (РТП) (1), однотрансформаторные (1), Трансформаторная мощность от 25 до 100 кВА включительно (2)</t>
  </si>
  <si>
    <t>СТП 1*100</t>
  </si>
  <si>
    <t>КТП ВС 1*100</t>
  </si>
  <si>
    <t>10.609</t>
  </si>
  <si>
    <t xml:space="preserve">4.1.1.3 </t>
  </si>
  <si>
    <t>Трансформаторные подстанции (ТП), за исключением распределительных трансформаторных подстанций (РТП) (1), однотрансформаторные (1), Трансформаторная мощность от 100 до 250 кВА включительно (3)</t>
  </si>
  <si>
    <t>МТП 1*160</t>
  </si>
  <si>
    <t>СТП 1*250</t>
  </si>
  <si>
    <t>КТП 1*250</t>
  </si>
  <si>
    <t>ИП Абушаева Р.Л.</t>
  </si>
  <si>
    <t>672-17</t>
  </si>
  <si>
    <t>КТП ВС 1*250</t>
  </si>
  <si>
    <t>ИП Рычков Ю.М.</t>
  </si>
  <si>
    <t>395-18</t>
  </si>
  <si>
    <t xml:space="preserve">4.1.1.4 </t>
  </si>
  <si>
    <t>Трансформаторные подстанции (ТП), за исключением распределительных трансформаторных подстанций (РТП) (1), однотрансформаторные (1), Трансформаторная мощность от 250 до 500 кВА включительно (3)</t>
  </si>
  <si>
    <t>RТП 1*400</t>
  </si>
  <si>
    <t>RТПН 1*400</t>
  </si>
  <si>
    <t>Линева А.Д.</t>
  </si>
  <si>
    <t>224-18</t>
  </si>
  <si>
    <t>КТП 1*630</t>
  </si>
  <si>
    <t>777/409-МР/13</t>
  </si>
  <si>
    <t>4.1.2.3</t>
  </si>
  <si>
    <t>Трансформаторные подстанции (ТП), за исключением распределительных трансформаторных подстанций (РТП) (1), двухтрансформаторные и более (2), Трансформаторная мощность от 100 до 250 кВА включительно (3)</t>
  </si>
  <si>
    <t>КТПН 2*250</t>
  </si>
  <si>
    <t xml:space="preserve">4.1.2.4 </t>
  </si>
  <si>
    <t>Трансформаторные подстанции (ТП), за исключением распределительных трансформаторных подстанций (РТП) (1), двухтрансформаторные и более (2), Трансформаторная мощность от 250 до 500 кВА включительно (4)</t>
  </si>
  <si>
    <t>КТП 2*400</t>
  </si>
  <si>
    <t>337/709-КЗ/6</t>
  </si>
  <si>
    <t>4.1.2.5</t>
  </si>
  <si>
    <t>Трансформаторные подстанции (ТП), за исключением распределительных трансформаторных подстанций (РТП) (1), двухтрансформаторные и более (2), Трансформаторная мощность от 500 до 900 кВА включительно (4)</t>
  </si>
  <si>
    <t>КТПН 2*630</t>
  </si>
  <si>
    <t>КТП 2*630</t>
  </si>
  <si>
    <t>2БКТП 2*630</t>
  </si>
  <si>
    <t>4.1.2.6</t>
  </si>
  <si>
    <t>Трансформаторные подстанции (ТП), за исключением распределительных трансформаторных подстанций (РТП) (1), двухтрансформаторные и более (2), Трансформаторная мощность свыше 1000 кВА (6)</t>
  </si>
  <si>
    <t>БКТП 2*1000</t>
  </si>
  <si>
    <r>
      <rPr>
        <sz val="11"/>
        <rFont val="Calibri"/>
        <family val="2"/>
      </rPr>
      <t>ФГБУ "Приморская МВЛ"</t>
    </r>
    <r>
      <rPr>
        <sz val="11"/>
        <color indexed="10"/>
        <rFont val="Calibri"/>
        <family val="2"/>
      </rPr>
      <t xml:space="preserve"> </t>
    </r>
  </si>
  <si>
    <t>Лутаенко Е.В.</t>
  </si>
  <si>
    <t>115/800-ТР/7</t>
  </si>
  <si>
    <t>Сазонова Т.Н.</t>
  </si>
  <si>
    <t>576/825-БП/8</t>
  </si>
  <si>
    <t>Антоненко Р.А.</t>
  </si>
  <si>
    <t>317/807-ТР/8</t>
  </si>
  <si>
    <t>Штабский А.А.</t>
  </si>
  <si>
    <t>652/ДПР11-УТ/ДПР27,5</t>
  </si>
  <si>
    <t>Астанин А.Е.</t>
  </si>
  <si>
    <t>342-17</t>
  </si>
  <si>
    <t>Матевосян Г.А.</t>
  </si>
  <si>
    <t>406/627-НН/6</t>
  </si>
  <si>
    <t>Айнетдинов К.Д.</t>
  </si>
  <si>
    <t>66-17</t>
  </si>
  <si>
    <t>Муравьева О.П.</t>
  </si>
  <si>
    <t>71-18</t>
  </si>
  <si>
    <t>Прагер И.Ю.</t>
  </si>
  <si>
    <t>35-18</t>
  </si>
  <si>
    <t>Кузнецова Л.Н.</t>
  </si>
  <si>
    <t>577-17</t>
  </si>
  <si>
    <t>0,4</t>
  </si>
  <si>
    <t>Петренко Е.В.</t>
  </si>
  <si>
    <t>92-17</t>
  </si>
  <si>
    <t>Гунькова С.Г.</t>
  </si>
  <si>
    <t>59-17</t>
  </si>
  <si>
    <t>Кузьмина Р.К.</t>
  </si>
  <si>
    <t>657-17</t>
  </si>
  <si>
    <t>ФГБУ "Приморское УГМС"</t>
  </si>
  <si>
    <t>734-17</t>
  </si>
  <si>
    <t xml:space="preserve"> Кабель ААБл 6 3*240    </t>
  </si>
  <si>
    <t>КТПН 1*250</t>
  </si>
  <si>
    <t>за 2016-2018 годы</t>
  </si>
  <si>
    <t xml:space="preserve"> за 2016-2018 годы</t>
  </si>
  <si>
    <t xml:space="preserve">  2019 год</t>
  </si>
  <si>
    <t>2019 год</t>
  </si>
  <si>
    <t>ТП</t>
  </si>
  <si>
    <t xml:space="preserve">ВЛ </t>
  </si>
  <si>
    <t>КЛ</t>
  </si>
  <si>
    <t>ВЛ</t>
  </si>
  <si>
    <t>Всего за 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</si>
</sst>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"/>
    <numFmt numFmtId="175" formatCode="_-* #,##0.000_р_._-;\-* #,##0.000_р_._-;_-* &quot;-&quot;???_р_._-;_-@_-"/>
  </numFmts>
  <fonts count="9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.5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7"/>
      <name val="Calibri"/>
      <family val="2"/>
    </font>
    <font>
      <sz val="1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10"/>
      <name val="Times New Roman"/>
      <family val="1"/>
    </font>
    <font>
      <u val="single"/>
      <sz val="16"/>
      <color indexed="8"/>
      <name val="Calibri"/>
      <family val="2"/>
    </font>
    <font>
      <u val="single"/>
      <sz val="16"/>
      <name val="Calibri"/>
      <family val="2"/>
    </font>
    <font>
      <b/>
      <u val="single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u val="single"/>
      <sz val="16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DB57"/>
        <bgColor indexed="64"/>
      </patternFill>
    </fill>
    <fill>
      <patternFill patternType="solid">
        <fgColor rgb="FF7FC1D3"/>
        <bgColor indexed="64"/>
      </patternFill>
    </fill>
    <fill>
      <patternFill patternType="solid">
        <fgColor rgb="FF7DC2D5"/>
        <bgColor indexed="64"/>
      </patternFill>
    </fill>
    <fill>
      <patternFill patternType="solid">
        <fgColor rgb="FFA6CC98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3" fillId="0" borderId="0">
      <alignment/>
      <protection/>
    </xf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wrapText="1"/>
    </xf>
    <xf numFmtId="0" fontId="7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2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72" fillId="0" borderId="20" xfId="0" applyNumberFormat="1" applyFont="1" applyBorder="1" applyAlignment="1">
      <alignment/>
    </xf>
    <xf numFmtId="0" fontId="72" fillId="0" borderId="20" xfId="0" applyFon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0" fontId="7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" fontId="0" fillId="0" borderId="23" xfId="0" applyNumberFormat="1" applyBorder="1" applyAlignment="1">
      <alignment horizontal="right" wrapText="1"/>
    </xf>
    <xf numFmtId="0" fontId="72" fillId="0" borderId="24" xfId="0" applyFont="1" applyBorder="1" applyAlignment="1">
      <alignment horizontal="center" vertical="center" wrapText="1"/>
    </xf>
    <xf numFmtId="0" fontId="73" fillId="33" borderId="24" xfId="0" applyFont="1" applyFill="1" applyBorder="1" applyAlignment="1">
      <alignment horizontal="center" vertical="center" wrapText="1"/>
    </xf>
    <xf numFmtId="4" fontId="73" fillId="33" borderId="22" xfId="0" applyNumberFormat="1" applyFont="1" applyFill="1" applyBorder="1" applyAlignment="1">
      <alignment wrapText="1"/>
    </xf>
    <xf numFmtId="0" fontId="73" fillId="33" borderId="22" xfId="0" applyFont="1" applyFill="1" applyBorder="1" applyAlignment="1">
      <alignment horizontal="right" wrapText="1"/>
    </xf>
    <xf numFmtId="4" fontId="73" fillId="33" borderId="25" xfId="0" applyNumberFormat="1" applyFont="1" applyFill="1" applyBorder="1" applyAlignment="1">
      <alignment horizontal="right" wrapText="1"/>
    </xf>
    <xf numFmtId="0" fontId="72" fillId="0" borderId="0" xfId="0" applyFont="1" applyAlignment="1">
      <alignment/>
    </xf>
    <xf numFmtId="0" fontId="72" fillId="0" borderId="20" xfId="0" applyFont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4" fontId="73" fillId="33" borderId="15" xfId="0" applyNumberFormat="1" applyFont="1" applyFill="1" applyBorder="1" applyAlignment="1">
      <alignment/>
    </xf>
    <xf numFmtId="0" fontId="73" fillId="33" borderId="15" xfId="0" applyFont="1" applyFill="1" applyBorder="1" applyAlignment="1">
      <alignment horizontal="right"/>
    </xf>
    <xf numFmtId="4" fontId="73" fillId="33" borderId="23" xfId="0" applyNumberFormat="1" applyFont="1" applyFill="1" applyBorder="1" applyAlignment="1">
      <alignment horizontal="right" wrapText="1"/>
    </xf>
    <xf numFmtId="0" fontId="74" fillId="0" borderId="20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4" fontId="75" fillId="33" borderId="15" xfId="0" applyNumberFormat="1" applyFont="1" applyFill="1" applyBorder="1" applyAlignment="1">
      <alignment/>
    </xf>
    <xf numFmtId="0" fontId="75" fillId="33" borderId="15" xfId="0" applyFont="1" applyFill="1" applyBorder="1" applyAlignment="1">
      <alignment horizontal="right"/>
    </xf>
    <xf numFmtId="4" fontId="75" fillId="33" borderId="17" xfId="0" applyNumberFormat="1" applyFont="1" applyFill="1" applyBorder="1" applyAlignment="1">
      <alignment horizontal="right"/>
    </xf>
    <xf numFmtId="4" fontId="72" fillId="0" borderId="22" xfId="0" applyNumberFormat="1" applyFont="1" applyBorder="1" applyAlignment="1">
      <alignment/>
    </xf>
    <xf numFmtId="4" fontId="73" fillId="33" borderId="24" xfId="0" applyNumberFormat="1" applyFont="1" applyFill="1" applyBorder="1" applyAlignment="1">
      <alignment/>
    </xf>
    <xf numFmtId="4" fontId="73" fillId="33" borderId="25" xfId="0" applyNumberFormat="1" applyFont="1" applyFill="1" applyBorder="1" applyAlignment="1">
      <alignment horizontal="right"/>
    </xf>
    <xf numFmtId="4" fontId="73" fillId="33" borderId="22" xfId="0" applyNumberFormat="1" applyFont="1" applyFill="1" applyBorder="1" applyAlignment="1">
      <alignment/>
    </xf>
    <xf numFmtId="4" fontId="73" fillId="33" borderId="23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6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NumberFormat="1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1" fontId="53" fillId="0" borderId="0" xfId="61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7" fillId="0" borderId="0" xfId="0" applyFont="1" applyFill="1" applyAlignment="1">
      <alignment horizontal="center" vertical="center" wrapText="1"/>
    </xf>
    <xf numFmtId="0" fontId="72" fillId="35" borderId="20" xfId="0" applyFont="1" applyFill="1" applyBorder="1" applyAlignment="1">
      <alignment horizontal="center" vertical="center" wrapText="1"/>
    </xf>
    <xf numFmtId="0" fontId="72" fillId="35" borderId="22" xfId="0" applyFont="1" applyFill="1" applyBorder="1" applyAlignment="1">
      <alignment horizontal="center" vertical="center" wrapText="1"/>
    </xf>
    <xf numFmtId="0" fontId="72" fillId="36" borderId="22" xfId="0" applyFont="1" applyFill="1" applyBorder="1" applyAlignment="1">
      <alignment horizontal="center" vertical="center" wrapText="1"/>
    </xf>
    <xf numFmtId="0" fontId="72" fillId="37" borderId="22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0" fontId="72" fillId="38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top" wrapText="1"/>
    </xf>
    <xf numFmtId="1" fontId="0" fillId="0" borderId="19" xfId="0" applyNumberFormat="1" applyFont="1" applyFill="1" applyBorder="1" applyAlignment="1">
      <alignment horizontal="center" vertical="top" wrapText="1"/>
    </xf>
    <xf numFmtId="172" fontId="0" fillId="0" borderId="19" xfId="0" applyNumberFormat="1" applyFont="1" applyFill="1" applyBorder="1" applyAlignment="1">
      <alignment horizontal="center" vertical="top" wrapText="1"/>
    </xf>
    <xf numFmtId="172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172" fontId="0" fillId="39" borderId="19" xfId="0" applyNumberFormat="1" applyFont="1" applyFill="1" applyBorder="1" applyAlignment="1">
      <alignment horizontal="center" vertical="center" wrapText="1"/>
    </xf>
    <xf numFmtId="1" fontId="53" fillId="0" borderId="22" xfId="61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top" wrapText="1"/>
    </xf>
    <xf numFmtId="0" fontId="0" fillId="39" borderId="19" xfId="0" applyFon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0" xfId="0" applyNumberFormat="1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53" fillId="0" borderId="29" xfId="61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0" fillId="40" borderId="22" xfId="0" applyNumberFormat="1" applyFill="1" applyBorder="1" applyAlignment="1">
      <alignment vertical="center"/>
    </xf>
    <xf numFmtId="0" fontId="78" fillId="40" borderId="22" xfId="0" applyFont="1" applyFill="1" applyBorder="1" applyAlignment="1">
      <alignment vertical="center" wrapText="1"/>
    </xf>
    <xf numFmtId="0" fontId="78" fillId="40" borderId="22" xfId="0" applyNumberFormat="1" applyFont="1" applyFill="1" applyBorder="1" applyAlignment="1">
      <alignment horizontal="left" vertical="center" wrapText="1"/>
    </xf>
    <xf numFmtId="49" fontId="36" fillId="40" borderId="22" xfId="0" applyNumberFormat="1" applyFont="1" applyFill="1" applyBorder="1" applyAlignment="1">
      <alignment horizontal="center" vertical="center" wrapText="1"/>
    </xf>
    <xf numFmtId="1" fontId="0" fillId="40" borderId="22" xfId="0" applyNumberFormat="1" applyFont="1" applyFill="1" applyBorder="1" applyAlignment="1">
      <alignment horizontal="center" vertical="center" wrapText="1"/>
    </xf>
    <xf numFmtId="172" fontId="0" fillId="40" borderId="22" xfId="0" applyNumberFormat="1" applyFont="1" applyFill="1" applyBorder="1" applyAlignment="1">
      <alignment horizontal="right" vertical="center" wrapText="1"/>
    </xf>
    <xf numFmtId="0" fontId="0" fillId="40" borderId="22" xfId="0" applyFont="1" applyFill="1" applyBorder="1" applyAlignment="1">
      <alignment vertical="center"/>
    </xf>
    <xf numFmtId="0" fontId="0" fillId="40" borderId="22" xfId="0" applyFont="1" applyFill="1" applyBorder="1" applyAlignment="1">
      <alignment vertical="center" wrapText="1"/>
    </xf>
    <xf numFmtId="0" fontId="0" fillId="40" borderId="22" xfId="0" applyFont="1" applyFill="1" applyBorder="1" applyAlignment="1">
      <alignment horizontal="center" vertical="center"/>
    </xf>
    <xf numFmtId="172" fontId="0" fillId="40" borderId="2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41" borderId="22" xfId="0" applyNumberFormat="1" applyFill="1" applyBorder="1" applyAlignment="1">
      <alignment vertical="center"/>
    </xf>
    <xf numFmtId="49" fontId="36" fillId="41" borderId="22" xfId="0" applyNumberFormat="1" applyFont="1" applyFill="1" applyBorder="1" applyAlignment="1">
      <alignment vertical="center"/>
    </xf>
    <xf numFmtId="0" fontId="36" fillId="41" borderId="22" xfId="0" applyNumberFormat="1" applyFont="1" applyFill="1" applyBorder="1" applyAlignment="1">
      <alignment horizontal="left" vertical="center"/>
    </xf>
    <xf numFmtId="0" fontId="36" fillId="41" borderId="22" xfId="0" applyFont="1" applyFill="1" applyBorder="1" applyAlignment="1">
      <alignment horizontal="center" vertical="center"/>
    </xf>
    <xf numFmtId="1" fontId="0" fillId="41" borderId="22" xfId="0" applyNumberFormat="1" applyFont="1" applyFill="1" applyBorder="1" applyAlignment="1">
      <alignment horizontal="center" vertical="center" wrapText="1"/>
    </xf>
    <xf numFmtId="172" fontId="0" fillId="41" borderId="22" xfId="0" applyNumberFormat="1" applyFont="1" applyFill="1" applyBorder="1" applyAlignment="1">
      <alignment horizontal="right" vertical="center" wrapText="1"/>
    </xf>
    <xf numFmtId="0" fontId="0" fillId="41" borderId="22" xfId="0" applyFont="1" applyFill="1" applyBorder="1" applyAlignment="1">
      <alignment vertical="center"/>
    </xf>
    <xf numFmtId="0" fontId="0" fillId="41" borderId="22" xfId="0" applyFont="1" applyFill="1" applyBorder="1" applyAlignment="1">
      <alignment vertical="center" wrapText="1"/>
    </xf>
    <xf numFmtId="0" fontId="0" fillId="41" borderId="22" xfId="0" applyFont="1" applyFill="1" applyBorder="1" applyAlignment="1">
      <alignment horizontal="center" vertical="center"/>
    </xf>
    <xf numFmtId="172" fontId="0" fillId="41" borderId="22" xfId="0" applyNumberFormat="1" applyFont="1" applyFill="1" applyBorder="1" applyAlignment="1">
      <alignment vertical="center"/>
    </xf>
    <xf numFmtId="1" fontId="53" fillId="41" borderId="22" xfId="61" applyNumberFormat="1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vertical="center"/>
    </xf>
    <xf numFmtId="0" fontId="36" fillId="35" borderId="31" xfId="0" applyFont="1" applyFill="1" applyBorder="1" applyAlignment="1">
      <alignment horizontal="left" vertical="center" wrapText="1"/>
    </xf>
    <xf numFmtId="0" fontId="36" fillId="0" borderId="22" xfId="0" applyNumberFormat="1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center" vertical="center"/>
    </xf>
    <xf numFmtId="1" fontId="79" fillId="0" borderId="22" xfId="53" applyNumberFormat="1" applyFont="1" applyFill="1" applyBorder="1" applyAlignment="1">
      <alignment horizontal="center" vertical="center" wrapText="1"/>
      <protection/>
    </xf>
    <xf numFmtId="1" fontId="39" fillId="0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/>
    </xf>
    <xf numFmtId="172" fontId="0" fillId="35" borderId="22" xfId="0" applyNumberFormat="1" applyFont="1" applyFill="1" applyBorder="1" applyAlignment="1">
      <alignment horizontal="right" vertical="center"/>
    </xf>
    <xf numFmtId="172" fontId="0" fillId="0" borderId="22" xfId="0" applyNumberFormat="1" applyFont="1" applyFill="1" applyBorder="1" applyAlignment="1">
      <alignment horizontal="right" vertical="center"/>
    </xf>
    <xf numFmtId="173" fontId="80" fillId="0" borderId="22" xfId="0" applyNumberFormat="1" applyFont="1" applyFill="1" applyBorder="1" applyAlignment="1">
      <alignment horizontal="center" vertical="center" wrapText="1"/>
    </xf>
    <xf numFmtId="173" fontId="81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vertical="center"/>
    </xf>
    <xf numFmtId="1" fontId="53" fillId="0" borderId="22" xfId="61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36" fillId="35" borderId="22" xfId="0" applyFont="1" applyFill="1" applyBorder="1" applyAlignment="1">
      <alignment horizontal="left" vertical="center"/>
    </xf>
    <xf numFmtId="0" fontId="36" fillId="0" borderId="22" xfId="64" applyNumberFormat="1" applyFont="1" applyFill="1" applyBorder="1" applyAlignment="1">
      <alignment horizontal="left" vertical="center" wrapText="1"/>
    </xf>
    <xf numFmtId="0" fontId="36" fillId="36" borderId="22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Alignment="1">
      <alignment horizontal="left" vertical="center"/>
    </xf>
    <xf numFmtId="0" fontId="79" fillId="0" borderId="22" xfId="0" applyFont="1" applyFill="1" applyBorder="1" applyAlignment="1">
      <alignment horizontal="center" vertical="center" wrapText="1"/>
    </xf>
    <xf numFmtId="172" fontId="0" fillId="36" borderId="22" xfId="0" applyNumberFormat="1" applyFont="1" applyFill="1" applyBorder="1" applyAlignment="1">
      <alignment horizontal="right" vertical="center"/>
    </xf>
    <xf numFmtId="0" fontId="53" fillId="0" borderId="22" xfId="61" applyFont="1" applyFill="1" applyBorder="1" applyAlignment="1">
      <alignment horizontal="center" vertical="center" wrapText="1"/>
    </xf>
    <xf numFmtId="0" fontId="36" fillId="37" borderId="22" xfId="0" applyFont="1" applyFill="1" applyBorder="1" applyAlignment="1">
      <alignment vertical="center"/>
    </xf>
    <xf numFmtId="1" fontId="0" fillId="0" borderId="22" xfId="0" applyNumberFormat="1" applyFont="1" applyFill="1" applyBorder="1" applyAlignment="1">
      <alignment vertical="center"/>
    </xf>
    <xf numFmtId="172" fontId="0" fillId="37" borderId="22" xfId="0" applyNumberFormat="1" applyFont="1" applyFill="1" applyBorder="1" applyAlignment="1">
      <alignment horizontal="right" vertical="center"/>
    </xf>
    <xf numFmtId="174" fontId="39" fillId="0" borderId="22" xfId="0" applyNumberFormat="1" applyFont="1" applyFill="1" applyBorder="1" applyAlignment="1">
      <alignment horizontal="center" vertical="center" wrapText="1"/>
    </xf>
    <xf numFmtId="174" fontId="0" fillId="0" borderId="22" xfId="0" applyNumberFormat="1" applyFont="1" applyFill="1" applyBorder="1" applyAlignment="1">
      <alignment horizontal="center" vertical="center"/>
    </xf>
    <xf numFmtId="0" fontId="36" fillId="7" borderId="22" xfId="0" applyNumberFormat="1" applyFont="1" applyFill="1" applyBorder="1" applyAlignment="1">
      <alignment horizontal="left" vertical="center"/>
    </xf>
    <xf numFmtId="0" fontId="36" fillId="0" borderId="22" xfId="0" applyFont="1" applyFill="1" applyBorder="1" applyAlignment="1">
      <alignment vertical="center"/>
    </xf>
    <xf numFmtId="172" fontId="36" fillId="35" borderId="22" xfId="0" applyNumberFormat="1" applyFont="1" applyFill="1" applyBorder="1" applyAlignment="1">
      <alignment horizontal="right" vertical="center"/>
    </xf>
    <xf numFmtId="172" fontId="36" fillId="0" borderId="22" xfId="0" applyNumberFormat="1" applyFont="1" applyFill="1" applyBorder="1" applyAlignment="1">
      <alignment horizontal="right" vertical="center"/>
    </xf>
    <xf numFmtId="0" fontId="36" fillId="36" borderId="32" xfId="0" applyFont="1" applyFill="1" applyBorder="1" applyAlignment="1">
      <alignment horizontal="left" vertical="center" wrapText="1" shrinkToFit="1"/>
    </xf>
    <xf numFmtId="3" fontId="42" fillId="0" borderId="33" xfId="0" applyNumberFormat="1" applyFont="1" applyFill="1" applyBorder="1" applyAlignment="1">
      <alignment horizontal="center" vertical="center"/>
    </xf>
    <xf numFmtId="3" fontId="53" fillId="0" borderId="33" xfId="61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 wrapText="1"/>
    </xf>
    <xf numFmtId="0" fontId="36" fillId="37" borderId="22" xfId="0" applyFont="1" applyFill="1" applyBorder="1" applyAlignment="1">
      <alignment horizontal="left" vertical="center" wrapText="1"/>
    </xf>
    <xf numFmtId="0" fontId="36" fillId="7" borderId="22" xfId="64" applyNumberFormat="1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/>
    </xf>
    <xf numFmtId="172" fontId="0" fillId="36" borderId="22" xfId="0" applyNumberFormat="1" applyFont="1" applyFill="1" applyBorder="1" applyAlignment="1">
      <alignment vertical="center"/>
    </xf>
    <xf numFmtId="1" fontId="53" fillId="0" borderId="22" xfId="53" applyNumberFormat="1" applyFont="1" applyFill="1" applyBorder="1" applyAlignment="1">
      <alignment horizontal="left" vertical="center" wrapText="1"/>
      <protection/>
    </xf>
    <xf numFmtId="0" fontId="43" fillId="37" borderId="22" xfId="0" applyFont="1" applyFill="1" applyBorder="1" applyAlignment="1">
      <alignment horizontal="left" vertical="center" wrapText="1"/>
    </xf>
    <xf numFmtId="0" fontId="0" fillId="7" borderId="22" xfId="0" applyNumberFormat="1" applyFont="1" applyFill="1" applyBorder="1" applyAlignment="1">
      <alignment horizontal="left" vertical="center"/>
    </xf>
    <xf numFmtId="172" fontId="68" fillId="35" borderId="22" xfId="0" applyNumberFormat="1" applyFont="1" applyFill="1" applyBorder="1" applyAlignment="1">
      <alignment horizontal="right" vertical="center"/>
    </xf>
    <xf numFmtId="172" fontId="68" fillId="0" borderId="22" xfId="0" applyNumberFormat="1" applyFont="1" applyFill="1" applyBorder="1" applyAlignment="1">
      <alignment horizontal="right" vertical="center"/>
    </xf>
    <xf numFmtId="0" fontId="36" fillId="35" borderId="22" xfId="0" applyFont="1" applyFill="1" applyBorder="1" applyAlignment="1">
      <alignment horizontal="left" vertical="center" wrapText="1"/>
    </xf>
    <xf numFmtId="172" fontId="68" fillId="36" borderId="22" xfId="0" applyNumberFormat="1" applyFont="1" applyFill="1" applyBorder="1" applyAlignment="1">
      <alignment horizontal="right" vertical="center"/>
    </xf>
    <xf numFmtId="172" fontId="36" fillId="36" borderId="22" xfId="0" applyNumberFormat="1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left" vertical="center" wrapText="1"/>
    </xf>
    <xf numFmtId="1" fontId="53" fillId="40" borderId="22" xfId="61" applyNumberFormat="1" applyFont="1" applyFill="1" applyBorder="1" applyAlignment="1">
      <alignment horizontal="center" vertical="center" wrapText="1"/>
    </xf>
    <xf numFmtId="1" fontId="39" fillId="0" borderId="22" xfId="0" applyNumberFormat="1" applyFont="1" applyFill="1" applyBorder="1" applyAlignment="1">
      <alignment horizontal="center" vertical="center"/>
    </xf>
    <xf numFmtId="1" fontId="79" fillId="0" borderId="22" xfId="0" applyNumberFormat="1" applyFont="1" applyFill="1" applyBorder="1" applyAlignment="1">
      <alignment horizontal="center" vertical="center" wrapText="1"/>
    </xf>
    <xf numFmtId="1" fontId="53" fillId="0" borderId="22" xfId="61" applyNumberFormat="1" applyFont="1" applyFill="1" applyBorder="1" applyAlignment="1">
      <alignment horizontal="center" vertical="center"/>
    </xf>
    <xf numFmtId="172" fontId="36" fillId="35" borderId="22" xfId="0" applyNumberFormat="1" applyFont="1" applyFill="1" applyBorder="1" applyAlignment="1">
      <alignment horizontal="right" vertical="center" wrapText="1"/>
    </xf>
    <xf numFmtId="49" fontId="36" fillId="36" borderId="22" xfId="0" applyNumberFormat="1" applyFont="1" applyFill="1" applyBorder="1" applyAlignment="1">
      <alignment horizontal="justify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6" fillId="35" borderId="24" xfId="0" applyFont="1" applyFill="1" applyBorder="1" applyAlignment="1">
      <alignment horizontal="left" vertical="center" wrapText="1" shrinkToFit="1"/>
    </xf>
    <xf numFmtId="172" fontId="0" fillId="0" borderId="0" xfId="0" applyNumberFormat="1" applyFill="1" applyAlignment="1">
      <alignment vertical="center"/>
    </xf>
    <xf numFmtId="172" fontId="79" fillId="41" borderId="22" xfId="0" applyNumberFormat="1" applyFont="1" applyFill="1" applyBorder="1" applyAlignment="1">
      <alignment vertical="center"/>
    </xf>
    <xf numFmtId="172" fontId="79" fillId="0" borderId="22" xfId="0" applyNumberFormat="1" applyFont="1" applyFill="1" applyBorder="1" applyAlignment="1">
      <alignment vertical="center"/>
    </xf>
    <xf numFmtId="0" fontId="0" fillId="42" borderId="22" xfId="0" applyFont="1" applyFill="1" applyBorder="1" applyAlignment="1">
      <alignment horizontal="center" vertical="center"/>
    </xf>
    <xf numFmtId="1" fontId="53" fillId="0" borderId="22" xfId="61" applyNumberFormat="1" applyFont="1" applyFill="1" applyBorder="1" applyAlignment="1">
      <alignment vertical="center"/>
    </xf>
    <xf numFmtId="0" fontId="78" fillId="0" borderId="22" xfId="0" applyNumberFormat="1" applyFont="1" applyFill="1" applyBorder="1" applyAlignment="1">
      <alignment horizontal="left" vertical="center" wrapText="1"/>
    </xf>
    <xf numFmtId="1" fontId="82" fillId="0" borderId="22" xfId="0" applyNumberFormat="1" applyFont="1" applyFill="1" applyBorder="1" applyAlignment="1">
      <alignment horizontal="center" vertical="center" wrapText="1"/>
    </xf>
    <xf numFmtId="1" fontId="39" fillId="0" borderId="22" xfId="53" applyNumberFormat="1" applyFont="1" applyFill="1" applyBorder="1" applyAlignment="1">
      <alignment horizontal="center" vertical="center" wrapText="1"/>
      <protection/>
    </xf>
    <xf numFmtId="49" fontId="0" fillId="43" borderId="22" xfId="0" applyNumberFormat="1" applyFill="1" applyBorder="1" applyAlignment="1">
      <alignment vertical="center"/>
    </xf>
    <xf numFmtId="0" fontId="78" fillId="43" borderId="22" xfId="0" applyFont="1" applyFill="1" applyBorder="1" applyAlignment="1">
      <alignment vertical="center" wrapText="1"/>
    </xf>
    <xf numFmtId="0" fontId="78" fillId="43" borderId="22" xfId="0" applyNumberFormat="1" applyFont="1" applyFill="1" applyBorder="1" applyAlignment="1">
      <alignment horizontal="left" vertical="center" wrapText="1"/>
    </xf>
    <xf numFmtId="49" fontId="36" fillId="43" borderId="22" xfId="0" applyNumberFormat="1" applyFont="1" applyFill="1" applyBorder="1" applyAlignment="1">
      <alignment horizontal="center" vertical="center" wrapText="1"/>
    </xf>
    <xf numFmtId="1" fontId="0" fillId="43" borderId="22" xfId="0" applyNumberFormat="1" applyFont="1" applyFill="1" applyBorder="1" applyAlignment="1">
      <alignment horizontal="center" vertical="center" wrapText="1"/>
    </xf>
    <xf numFmtId="172" fontId="0" fillId="43" borderId="22" xfId="0" applyNumberFormat="1" applyFont="1" applyFill="1" applyBorder="1" applyAlignment="1">
      <alignment horizontal="right" vertical="center" wrapText="1"/>
    </xf>
    <xf numFmtId="0" fontId="0" fillId="43" borderId="22" xfId="0" applyFont="1" applyFill="1" applyBorder="1" applyAlignment="1">
      <alignment vertical="center"/>
    </xf>
    <xf numFmtId="0" fontId="0" fillId="43" borderId="22" xfId="0" applyFont="1" applyFill="1" applyBorder="1" applyAlignment="1">
      <alignment vertical="center" wrapText="1"/>
    </xf>
    <xf numFmtId="0" fontId="0" fillId="43" borderId="22" xfId="0" applyFont="1" applyFill="1" applyBorder="1" applyAlignment="1">
      <alignment horizontal="center" vertical="center"/>
    </xf>
    <xf numFmtId="172" fontId="79" fillId="43" borderId="22" xfId="0" applyNumberFormat="1" applyFont="1" applyFill="1" applyBorder="1" applyAlignment="1">
      <alignment vertical="center"/>
    </xf>
    <xf numFmtId="172" fontId="0" fillId="43" borderId="22" xfId="0" applyNumberFormat="1" applyFont="1" applyFill="1" applyBorder="1" applyAlignment="1">
      <alignment vertical="center"/>
    </xf>
    <xf numFmtId="1" fontId="53" fillId="43" borderId="22" xfId="61" applyNumberFormat="1" applyFont="1" applyFill="1" applyBorder="1" applyAlignment="1">
      <alignment horizontal="center" vertical="center" wrapText="1"/>
    </xf>
    <xf numFmtId="1" fontId="39" fillId="0" borderId="22" xfId="62" applyNumberFormat="1" applyFont="1" applyFill="1" applyBorder="1" applyAlignment="1">
      <alignment horizontal="center" vertical="center"/>
    </xf>
    <xf numFmtId="172" fontId="39" fillId="37" borderId="22" xfId="0" applyNumberFormat="1" applyFont="1" applyFill="1" applyBorder="1" applyAlignment="1">
      <alignment horizontal="right" vertical="center" wrapText="1"/>
    </xf>
    <xf numFmtId="172" fontId="39" fillId="0" borderId="22" xfId="0" applyNumberFormat="1" applyFont="1" applyFill="1" applyBorder="1" applyAlignment="1">
      <alignment horizontal="right" vertical="center" wrapText="1"/>
    </xf>
    <xf numFmtId="172" fontId="39" fillId="36" borderId="22" xfId="0" applyNumberFormat="1" applyFont="1" applyFill="1" applyBorder="1" applyAlignment="1">
      <alignment horizontal="right" vertical="center" wrapText="1"/>
    </xf>
    <xf numFmtId="49" fontId="36" fillId="0" borderId="22" xfId="0" applyNumberFormat="1" applyFont="1" applyFill="1" applyBorder="1" applyAlignment="1">
      <alignment vertical="center"/>
    </xf>
    <xf numFmtId="0" fontId="36" fillId="0" borderId="22" xfId="0" applyFont="1" applyFill="1" applyBorder="1" applyAlignment="1">
      <alignment vertical="center" wrapText="1"/>
    </xf>
    <xf numFmtId="172" fontId="39" fillId="0" borderId="22" xfId="0" applyNumberFormat="1" applyFont="1" applyFill="1" applyBorder="1" applyAlignment="1">
      <alignment vertical="center"/>
    </xf>
    <xf numFmtId="172" fontId="36" fillId="0" borderId="22" xfId="0" applyNumberFormat="1" applyFont="1" applyFill="1" applyBorder="1" applyAlignment="1">
      <alignment vertical="center"/>
    </xf>
    <xf numFmtId="0" fontId="36" fillId="0" borderId="22" xfId="61" applyFont="1" applyFill="1" applyBorder="1" applyAlignment="1">
      <alignment horizontal="center" vertical="center" wrapText="1"/>
    </xf>
    <xf numFmtId="173" fontId="44" fillId="0" borderId="22" xfId="0" applyNumberFormat="1" applyFont="1" applyFill="1" applyBorder="1" applyAlignment="1">
      <alignment horizontal="center" vertical="center" wrapText="1"/>
    </xf>
    <xf numFmtId="173" fontId="45" fillId="0" borderId="2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6" fillId="0" borderId="22" xfId="0" applyNumberFormat="1" applyFont="1" applyFill="1" applyBorder="1" applyAlignment="1">
      <alignment horizontal="left" vertical="center" wrapText="1"/>
    </xf>
    <xf numFmtId="172" fontId="36" fillId="35" borderId="22" xfId="62" applyNumberFormat="1" applyFont="1" applyFill="1" applyBorder="1" applyAlignment="1">
      <alignment horizontal="right" vertical="center"/>
    </xf>
    <xf numFmtId="172" fontId="36" fillId="37" borderId="22" xfId="62" applyNumberFormat="1" applyFont="1" applyFill="1" applyBorder="1" applyAlignment="1">
      <alignment horizontal="right" vertical="center"/>
    </xf>
    <xf numFmtId="172" fontId="36" fillId="0" borderId="22" xfId="62" applyNumberFormat="1" applyFont="1" applyFill="1" applyBorder="1" applyAlignment="1">
      <alignment horizontal="right" vertical="center"/>
    </xf>
    <xf numFmtId="172" fontId="36" fillId="35" borderId="22" xfId="62" applyNumberFormat="1" applyFont="1" applyFill="1" applyBorder="1" applyAlignment="1">
      <alignment vertical="center"/>
    </xf>
    <xf numFmtId="172" fontId="36" fillId="36" borderId="22" xfId="62" applyNumberFormat="1" applyFont="1" applyFill="1" applyBorder="1" applyAlignment="1">
      <alignment vertical="center"/>
    </xf>
    <xf numFmtId="172" fontId="79" fillId="37" borderId="22" xfId="0" applyNumberFormat="1" applyFont="1" applyFill="1" applyBorder="1" applyAlignment="1">
      <alignment horizontal="right" vertical="center" wrapText="1"/>
    </xf>
    <xf numFmtId="172" fontId="79" fillId="36" borderId="22" xfId="0" applyNumberFormat="1" applyFont="1" applyFill="1" applyBorder="1" applyAlignment="1">
      <alignment horizontal="right" vertical="center" wrapText="1"/>
    </xf>
    <xf numFmtId="172" fontId="79" fillId="0" borderId="22" xfId="0" applyNumberFormat="1" applyFont="1" applyFill="1" applyBorder="1" applyAlignment="1">
      <alignment horizontal="right" vertical="center" wrapText="1"/>
    </xf>
    <xf numFmtId="0" fontId="46" fillId="43" borderId="22" xfId="0" applyNumberFormat="1" applyFont="1" applyFill="1" applyBorder="1" applyAlignment="1">
      <alignment horizontal="left" vertical="center" wrapText="1"/>
    </xf>
    <xf numFmtId="0" fontId="68" fillId="0" borderId="22" xfId="64" applyNumberFormat="1" applyFont="1" applyFill="1" applyBorder="1" applyAlignment="1">
      <alignment horizontal="left" vertical="center" wrapText="1"/>
    </xf>
    <xf numFmtId="173" fontId="0" fillId="0" borderId="22" xfId="0" applyNumberFormat="1" applyFont="1" applyFill="1" applyBorder="1" applyAlignment="1">
      <alignment horizontal="center" vertical="center" wrapText="1"/>
    </xf>
    <xf numFmtId="172" fontId="39" fillId="35" borderId="22" xfId="0" applyNumberFormat="1" applyFont="1" applyFill="1" applyBorder="1" applyAlignment="1">
      <alignment horizontal="right"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83" fillId="0" borderId="22" xfId="0" applyFont="1" applyFill="1" applyBorder="1" applyAlignment="1">
      <alignment horizontal="center" vertical="center" wrapText="1"/>
    </xf>
    <xf numFmtId="173" fontId="84" fillId="0" borderId="22" xfId="0" applyNumberFormat="1" applyFont="1" applyFill="1" applyBorder="1" applyAlignment="1">
      <alignment horizontal="center" vertical="center" wrapText="1"/>
    </xf>
    <xf numFmtId="49" fontId="0" fillId="44" borderId="22" xfId="0" applyNumberFormat="1" applyFill="1" applyBorder="1" applyAlignment="1">
      <alignment vertical="center"/>
    </xf>
    <xf numFmtId="0" fontId="78" fillId="44" borderId="22" xfId="0" applyFont="1" applyFill="1" applyBorder="1" applyAlignment="1">
      <alignment vertical="center" wrapText="1"/>
    </xf>
    <xf numFmtId="0" fontId="78" fillId="45" borderId="22" xfId="0" applyNumberFormat="1" applyFont="1" applyFill="1" applyBorder="1" applyAlignment="1">
      <alignment horizontal="left" vertical="center" wrapText="1"/>
    </xf>
    <xf numFmtId="49" fontId="36" fillId="44" borderId="22" xfId="0" applyNumberFormat="1" applyFont="1" applyFill="1" applyBorder="1" applyAlignment="1">
      <alignment horizontal="center" vertical="center" wrapText="1"/>
    </xf>
    <xf numFmtId="1" fontId="0" fillId="44" borderId="22" xfId="0" applyNumberFormat="1" applyFont="1" applyFill="1" applyBorder="1" applyAlignment="1">
      <alignment horizontal="center" vertical="center" wrapText="1"/>
    </xf>
    <xf numFmtId="172" fontId="0" fillId="44" borderId="22" xfId="0" applyNumberFormat="1" applyFont="1" applyFill="1" applyBorder="1" applyAlignment="1">
      <alignment horizontal="right" vertical="center" wrapText="1"/>
    </xf>
    <xf numFmtId="0" fontId="0" fillId="44" borderId="22" xfId="0" applyFont="1" applyFill="1" applyBorder="1" applyAlignment="1">
      <alignment vertical="center"/>
    </xf>
    <xf numFmtId="0" fontId="0" fillId="44" borderId="22" xfId="0" applyFont="1" applyFill="1" applyBorder="1" applyAlignment="1">
      <alignment vertical="center" wrapText="1"/>
    </xf>
    <xf numFmtId="0" fontId="0" fillId="44" borderId="22" xfId="0" applyFont="1" applyFill="1" applyBorder="1" applyAlignment="1">
      <alignment horizontal="center" vertical="center"/>
    </xf>
    <xf numFmtId="172" fontId="0" fillId="44" borderId="22" xfId="0" applyNumberFormat="1" applyFont="1" applyFill="1" applyBorder="1" applyAlignment="1">
      <alignment vertical="center"/>
    </xf>
    <xf numFmtId="49" fontId="36" fillId="35" borderId="31" xfId="0" applyNumberFormat="1" applyFont="1" applyFill="1" applyBorder="1" applyAlignment="1">
      <alignment horizontal="justify" vertical="center" wrapText="1"/>
    </xf>
    <xf numFmtId="49" fontId="36" fillId="0" borderId="31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73" fontId="0" fillId="35" borderId="33" xfId="0" applyNumberFormat="1" applyFill="1" applyBorder="1" applyAlignment="1">
      <alignment horizontal="right" vertical="center" wrapText="1"/>
    </xf>
    <xf numFmtId="173" fontId="0" fillId="0" borderId="33" xfId="0" applyNumberFormat="1" applyFill="1" applyBorder="1" applyAlignment="1">
      <alignment horizontal="right" vertical="center" wrapText="1"/>
    </xf>
    <xf numFmtId="172" fontId="0" fillId="42" borderId="22" xfId="0" applyNumberFormat="1" applyFont="1" applyFill="1" applyBorder="1" applyAlignment="1">
      <alignment horizontal="right" vertical="center"/>
    </xf>
    <xf numFmtId="49" fontId="0" fillId="45" borderId="22" xfId="0" applyNumberFormat="1" applyFill="1" applyBorder="1" applyAlignment="1">
      <alignment vertical="center"/>
    </xf>
    <xf numFmtId="0" fontId="78" fillId="45" borderId="22" xfId="0" applyFont="1" applyFill="1" applyBorder="1" applyAlignment="1">
      <alignment vertical="center" wrapText="1"/>
    </xf>
    <xf numFmtId="49" fontId="36" fillId="45" borderId="22" xfId="0" applyNumberFormat="1" applyFont="1" applyFill="1" applyBorder="1" applyAlignment="1">
      <alignment horizontal="center" vertical="center" wrapText="1"/>
    </xf>
    <xf numFmtId="1" fontId="0" fillId="45" borderId="22" xfId="0" applyNumberFormat="1" applyFont="1" applyFill="1" applyBorder="1" applyAlignment="1">
      <alignment horizontal="center" vertical="center" wrapText="1"/>
    </xf>
    <xf numFmtId="172" fontId="0" fillId="45" borderId="22" xfId="0" applyNumberFormat="1" applyFont="1" applyFill="1" applyBorder="1" applyAlignment="1">
      <alignment horizontal="right" vertical="center" wrapText="1"/>
    </xf>
    <xf numFmtId="0" fontId="0" fillId="45" borderId="22" xfId="0" applyFont="1" applyFill="1" applyBorder="1" applyAlignment="1">
      <alignment vertical="center"/>
    </xf>
    <xf numFmtId="0" fontId="0" fillId="45" borderId="22" xfId="0" applyFont="1" applyFill="1" applyBorder="1" applyAlignment="1">
      <alignment vertical="center" wrapText="1"/>
    </xf>
    <xf numFmtId="0" fontId="0" fillId="45" borderId="22" xfId="0" applyFont="1" applyFill="1" applyBorder="1" applyAlignment="1">
      <alignment horizontal="center" vertical="center"/>
    </xf>
    <xf numFmtId="172" fontId="0" fillId="45" borderId="2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36" fillId="37" borderId="32" xfId="0" applyFont="1" applyFill="1" applyBorder="1" applyAlignment="1">
      <alignment horizontal="left" vertical="center" wrapText="1" shrinkToFit="1"/>
    </xf>
    <xf numFmtId="0" fontId="36" fillId="37" borderId="22" xfId="0" applyFont="1" applyFill="1" applyBorder="1" applyAlignment="1">
      <alignment horizontal="left" vertical="center" wrapText="1" shrinkToFit="1"/>
    </xf>
    <xf numFmtId="1" fontId="53" fillId="45" borderId="22" xfId="61" applyNumberFormat="1" applyFont="1" applyFill="1" applyBorder="1" applyAlignment="1">
      <alignment horizontal="center" vertical="center" wrapText="1"/>
    </xf>
    <xf numFmtId="0" fontId="68" fillId="36" borderId="2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172" fontId="0" fillId="46" borderId="0" xfId="0" applyNumberFormat="1" applyFont="1" applyFill="1" applyAlignment="1">
      <alignment/>
    </xf>
    <xf numFmtId="1" fontId="53" fillId="0" borderId="0" xfId="61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46" borderId="0" xfId="0" applyFont="1" applyFill="1" applyAlignment="1">
      <alignment/>
    </xf>
    <xf numFmtId="0" fontId="77" fillId="0" borderId="0" xfId="0" applyFont="1" applyFill="1" applyAlignment="1">
      <alignment vertical="center" wrapText="1"/>
    </xf>
    <xf numFmtId="0" fontId="77" fillId="0" borderId="0" xfId="0" applyFont="1" applyFill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24" xfId="0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49" fontId="72" fillId="0" borderId="22" xfId="0" applyNumberFormat="1" applyFont="1" applyFill="1" applyBorder="1" applyAlignment="1">
      <alignment/>
    </xf>
    <xf numFmtId="0" fontId="38" fillId="0" borderId="22" xfId="0" applyFont="1" applyFill="1" applyBorder="1" applyAlignment="1">
      <alignment/>
    </xf>
    <xf numFmtId="0" fontId="38" fillId="0" borderId="22" xfId="0" applyNumberFormat="1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72" fontId="0" fillId="0" borderId="0" xfId="0" applyNumberFormat="1" applyFill="1" applyAlignment="1">
      <alignment horizontal="right"/>
    </xf>
    <xf numFmtId="0" fontId="85" fillId="35" borderId="20" xfId="0" applyFont="1" applyFill="1" applyBorder="1" applyAlignment="1">
      <alignment horizontal="center" vertical="center" wrapText="1"/>
    </xf>
    <xf numFmtId="0" fontId="85" fillId="35" borderId="22" xfId="0" applyFont="1" applyFill="1" applyBorder="1" applyAlignment="1">
      <alignment horizontal="center" vertical="center" wrapText="1"/>
    </xf>
    <xf numFmtId="0" fontId="85" fillId="36" borderId="22" xfId="0" applyFont="1" applyFill="1" applyBorder="1" applyAlignment="1">
      <alignment horizontal="center" vertical="center" wrapText="1"/>
    </xf>
    <xf numFmtId="0" fontId="85" fillId="37" borderId="22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" fontId="0" fillId="0" borderId="22" xfId="0" applyNumberForma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72" fontId="0" fillId="0" borderId="19" xfId="0" applyNumberFormat="1" applyFill="1" applyBorder="1" applyAlignment="1">
      <alignment horizontal="center" vertical="top" wrapText="1"/>
    </xf>
    <xf numFmtId="172" fontId="0" fillId="0" borderId="19" xfId="0" applyNumberFormat="1" applyFill="1" applyBorder="1" applyAlignment="1">
      <alignment horizontal="center" vertical="center" wrapText="1"/>
    </xf>
    <xf numFmtId="172" fontId="0" fillId="39" borderId="19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36" fillId="0" borderId="30" xfId="0" applyNumberFormat="1" applyFon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 wrapText="1"/>
    </xf>
    <xf numFmtId="0" fontId="86" fillId="40" borderId="22" xfId="0" applyFont="1" applyFill="1" applyBorder="1" applyAlignment="1">
      <alignment vertical="center" wrapText="1"/>
    </xf>
    <xf numFmtId="2" fontId="0" fillId="40" borderId="22" xfId="0" applyNumberFormat="1" applyFill="1" applyBorder="1" applyAlignment="1">
      <alignment horizontal="center" vertical="center" wrapText="1"/>
    </xf>
    <xf numFmtId="172" fontId="0" fillId="40" borderId="22" xfId="0" applyNumberFormat="1" applyFill="1" applyBorder="1" applyAlignment="1">
      <alignment horizontal="right" vertical="center" wrapText="1"/>
    </xf>
    <xf numFmtId="0" fontId="0" fillId="40" borderId="22" xfId="0" applyFill="1" applyBorder="1" applyAlignment="1">
      <alignment vertical="center"/>
    </xf>
    <xf numFmtId="0" fontId="0" fillId="40" borderId="22" xfId="0" applyFill="1" applyBorder="1" applyAlignment="1">
      <alignment horizontal="center" vertical="center"/>
    </xf>
    <xf numFmtId="172" fontId="0" fillId="40" borderId="22" xfId="0" applyNumberFormat="1" applyFill="1" applyBorder="1" applyAlignment="1">
      <alignment horizontal="right" vertical="center"/>
    </xf>
    <xf numFmtId="1" fontId="0" fillId="40" borderId="22" xfId="0" applyNumberFormat="1" applyFill="1" applyBorder="1" applyAlignment="1">
      <alignment horizontal="center" vertical="center" wrapText="1"/>
    </xf>
    <xf numFmtId="1" fontId="0" fillId="41" borderId="22" xfId="0" applyNumberFormat="1" applyFill="1" applyBorder="1" applyAlignment="1">
      <alignment horizontal="center" vertical="center" wrapText="1"/>
    </xf>
    <xf numFmtId="2" fontId="0" fillId="41" borderId="22" xfId="0" applyNumberFormat="1" applyFill="1" applyBorder="1" applyAlignment="1">
      <alignment horizontal="center" vertical="center" wrapText="1"/>
    </xf>
    <xf numFmtId="172" fontId="0" fillId="41" borderId="22" xfId="0" applyNumberFormat="1" applyFill="1" applyBorder="1" applyAlignment="1">
      <alignment horizontal="right" vertical="center" wrapText="1"/>
    </xf>
    <xf numFmtId="0" fontId="0" fillId="41" borderId="22" xfId="0" applyFill="1" applyBorder="1" applyAlignment="1">
      <alignment vertical="center"/>
    </xf>
    <xf numFmtId="0" fontId="0" fillId="41" borderId="22" xfId="0" applyFill="1" applyBorder="1" applyAlignment="1">
      <alignment horizontal="center" vertical="center"/>
    </xf>
    <xf numFmtId="172" fontId="0" fillId="41" borderId="22" xfId="0" applyNumberFormat="1" applyFill="1" applyBorder="1" applyAlignment="1">
      <alignment horizontal="right" vertical="center"/>
    </xf>
    <xf numFmtId="1" fontId="87" fillId="0" borderId="22" xfId="53" applyNumberFormat="1" applyFont="1" applyFill="1" applyBorder="1" applyAlignment="1">
      <alignment horizontal="center" vertical="center" wrapText="1"/>
      <protection/>
    </xf>
    <xf numFmtId="3" fontId="2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172" fontId="85" fillId="0" borderId="22" xfId="0" applyNumberFormat="1" applyFont="1" applyFill="1" applyBorder="1" applyAlignment="1">
      <alignment horizontal="right" vertical="center"/>
    </xf>
    <xf numFmtId="172" fontId="0" fillId="0" borderId="22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2" fontId="87" fillId="0" borderId="22" xfId="53" applyNumberFormat="1" applyFont="1" applyFill="1" applyBorder="1" applyAlignment="1">
      <alignment horizontal="center" vertical="center" wrapText="1"/>
      <protection/>
    </xf>
    <xf numFmtId="0" fontId="39" fillId="35" borderId="22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vertical="center"/>
    </xf>
    <xf numFmtId="172" fontId="85" fillId="35" borderId="22" xfId="0" applyNumberFormat="1" applyFont="1" applyFill="1" applyBorder="1" applyAlignment="1">
      <alignment horizontal="right" vertical="center"/>
    </xf>
    <xf numFmtId="0" fontId="39" fillId="35" borderId="31" xfId="0" applyFont="1" applyFill="1" applyBorder="1" applyAlignment="1">
      <alignment horizontal="left" vertical="center" wrapText="1"/>
    </xf>
    <xf numFmtId="175" fontId="39" fillId="0" borderId="22" xfId="64" applyNumberFormat="1" applyFont="1" applyFill="1" applyBorder="1" applyAlignment="1">
      <alignment horizontal="left" vertical="center" wrapText="1"/>
    </xf>
    <xf numFmtId="172" fontId="85" fillId="36" borderId="22" xfId="0" applyNumberFormat="1" applyFont="1" applyFill="1" applyBorder="1" applyAlignment="1">
      <alignment horizontal="right" vertical="center"/>
    </xf>
    <xf numFmtId="0" fontId="87" fillId="0" borderId="22" xfId="53" applyNumberFormat="1" applyFont="1" applyFill="1" applyBorder="1" applyAlignment="1">
      <alignment horizontal="center" vertical="center" wrapText="1"/>
      <protection/>
    </xf>
    <xf numFmtId="1" fontId="2" fillId="0" borderId="22" xfId="0" applyNumberFormat="1" applyFont="1" applyFill="1" applyBorder="1" applyAlignment="1">
      <alignment horizontal="center" vertical="center" wrapText="1"/>
    </xf>
    <xf numFmtId="1" fontId="83" fillId="0" borderId="22" xfId="0" applyNumberFormat="1" applyFont="1" applyFill="1" applyBorder="1" applyAlignment="1">
      <alignment horizontal="center" vertical="center" wrapText="1"/>
    </xf>
    <xf numFmtId="0" fontId="83" fillId="0" borderId="22" xfId="0" applyNumberFormat="1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39" fillId="37" borderId="22" xfId="0" applyFont="1" applyFill="1" applyBorder="1" applyAlignment="1">
      <alignment horizontal="left" vertical="center" wrapText="1"/>
    </xf>
    <xf numFmtId="172" fontId="85" fillId="37" borderId="22" xfId="0" applyNumberFormat="1" applyFont="1" applyFill="1" applyBorder="1" applyAlignment="1">
      <alignment horizontal="right" vertical="center"/>
    </xf>
    <xf numFmtId="175" fontId="36" fillId="0" borderId="22" xfId="64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" fontId="2" fillId="0" borderId="22" xfId="0" applyNumberFormat="1" applyFont="1" applyFill="1" applyBorder="1" applyAlignment="1">
      <alignment horizontal="center" vertical="center"/>
    </xf>
    <xf numFmtId="0" fontId="87" fillId="0" borderId="2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/>
    </xf>
    <xf numFmtId="175" fontId="39" fillId="0" borderId="22" xfId="64" applyNumberFormat="1" applyFont="1" applyFill="1" applyBorder="1" applyAlignment="1">
      <alignment horizontal="center" vertical="center" wrapText="1"/>
    </xf>
    <xf numFmtId="0" fontId="0" fillId="41" borderId="22" xfId="0" applyNumberFormat="1" applyFill="1" applyBorder="1" applyAlignment="1">
      <alignment horizontal="center" vertical="center" wrapText="1"/>
    </xf>
    <xf numFmtId="49" fontId="87" fillId="0" borderId="22" xfId="0" applyNumberFormat="1" applyFont="1" applyFill="1" applyBorder="1" applyAlignment="1">
      <alignment horizontal="left" vertical="center" wrapText="1"/>
    </xf>
    <xf numFmtId="49" fontId="87" fillId="0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vertical="center"/>
    </xf>
    <xf numFmtId="49" fontId="88" fillId="0" borderId="22" xfId="0" applyNumberFormat="1" applyFont="1" applyFill="1" applyBorder="1" applyAlignment="1">
      <alignment horizontal="left" vertical="center" wrapText="1"/>
    </xf>
    <xf numFmtId="1" fontId="88" fillId="0" borderId="22" xfId="0" applyNumberFormat="1" applyFont="1" applyFill="1" applyBorder="1" applyAlignment="1">
      <alignment horizontal="center" vertical="center" wrapText="1"/>
    </xf>
    <xf numFmtId="2" fontId="88" fillId="0" borderId="22" xfId="0" applyNumberFormat="1" applyFont="1" applyFill="1" applyBorder="1" applyAlignment="1">
      <alignment horizontal="center" vertical="center" wrapText="1"/>
    </xf>
    <xf numFmtId="0" fontId="86" fillId="43" borderId="22" xfId="0" applyFont="1" applyFill="1" applyBorder="1" applyAlignment="1">
      <alignment vertical="center" wrapText="1"/>
    </xf>
    <xf numFmtId="1" fontId="0" fillId="43" borderId="22" xfId="0" applyNumberFormat="1" applyFill="1" applyBorder="1" applyAlignment="1">
      <alignment horizontal="center" vertical="center" wrapText="1"/>
    </xf>
    <xf numFmtId="2" fontId="0" fillId="43" borderId="22" xfId="0" applyNumberFormat="1" applyFill="1" applyBorder="1" applyAlignment="1">
      <alignment horizontal="center" vertical="center" wrapText="1"/>
    </xf>
    <xf numFmtId="172" fontId="0" fillId="43" borderId="22" xfId="0" applyNumberFormat="1" applyFill="1" applyBorder="1" applyAlignment="1">
      <alignment horizontal="right" vertical="center" wrapText="1"/>
    </xf>
    <xf numFmtId="0" fontId="0" fillId="43" borderId="22" xfId="0" applyFill="1" applyBorder="1" applyAlignment="1">
      <alignment vertical="center"/>
    </xf>
    <xf numFmtId="0" fontId="0" fillId="43" borderId="22" xfId="0" applyFill="1" applyBorder="1" applyAlignment="1">
      <alignment horizontal="center" vertical="center"/>
    </xf>
    <xf numFmtId="172" fontId="0" fillId="43" borderId="22" xfId="0" applyNumberFormat="1" applyFill="1" applyBorder="1" applyAlignment="1">
      <alignment horizontal="right" vertical="center"/>
    </xf>
    <xf numFmtId="49" fontId="79" fillId="0" borderId="22" xfId="0" applyNumberFormat="1" applyFont="1" applyFill="1" applyBorder="1" applyAlignment="1">
      <alignment horizontal="left" vertical="center" wrapText="1"/>
    </xf>
    <xf numFmtId="1" fontId="2" fillId="0" borderId="22" xfId="62" applyNumberFormat="1" applyFont="1" applyFill="1" applyBorder="1" applyAlignment="1">
      <alignment horizontal="center" vertical="center"/>
    </xf>
    <xf numFmtId="2" fontId="2" fillId="0" borderId="22" xfId="62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right" vertical="center" wrapText="1"/>
    </xf>
    <xf numFmtId="49" fontId="39" fillId="0" borderId="22" xfId="0" applyNumberFormat="1" applyFont="1" applyFill="1" applyBorder="1" applyAlignment="1">
      <alignment horizontal="left" vertical="center" wrapText="1"/>
    </xf>
    <xf numFmtId="172" fontId="36" fillId="0" borderId="22" xfId="62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left" vertical="center" wrapText="1"/>
    </xf>
    <xf numFmtId="172" fontId="87" fillId="0" borderId="22" xfId="0" applyNumberFormat="1" applyFont="1" applyFill="1" applyBorder="1" applyAlignment="1">
      <alignment horizontal="right" vertical="center" wrapText="1"/>
    </xf>
    <xf numFmtId="1" fontId="87" fillId="0" borderId="22" xfId="0" applyNumberFormat="1" applyFont="1" applyFill="1" applyBorder="1" applyAlignment="1">
      <alignment horizontal="center" vertical="center" wrapText="1"/>
    </xf>
    <xf numFmtId="172" fontId="87" fillId="0" borderId="22" xfId="0" applyNumberFormat="1" applyFont="1" applyFill="1" applyBorder="1" applyAlignment="1">
      <alignment horizontal="center" vertical="center" wrapText="1"/>
    </xf>
    <xf numFmtId="0" fontId="86" fillId="45" borderId="22" xfId="0" applyFont="1" applyFill="1" applyBorder="1" applyAlignment="1">
      <alignment vertical="center" wrapText="1"/>
    </xf>
    <xf numFmtId="1" fontId="0" fillId="45" borderId="22" xfId="0" applyNumberFormat="1" applyFill="1" applyBorder="1" applyAlignment="1">
      <alignment horizontal="center" vertical="center" wrapText="1"/>
    </xf>
    <xf numFmtId="2" fontId="0" fillId="45" borderId="22" xfId="0" applyNumberFormat="1" applyFill="1" applyBorder="1" applyAlignment="1">
      <alignment horizontal="center" vertical="center" wrapText="1"/>
    </xf>
    <xf numFmtId="172" fontId="0" fillId="45" borderId="22" xfId="0" applyNumberFormat="1" applyFill="1" applyBorder="1" applyAlignment="1">
      <alignment horizontal="right" vertical="center" wrapText="1"/>
    </xf>
    <xf numFmtId="0" fontId="0" fillId="45" borderId="22" xfId="0" applyFill="1" applyBorder="1" applyAlignment="1">
      <alignment vertical="center"/>
    </xf>
    <xf numFmtId="0" fontId="0" fillId="45" borderId="22" xfId="0" applyFill="1" applyBorder="1" applyAlignment="1">
      <alignment horizontal="center" vertical="center"/>
    </xf>
    <xf numFmtId="172" fontId="0" fillId="45" borderId="22" xfId="0" applyNumberFormat="1" applyFill="1" applyBorder="1" applyAlignment="1">
      <alignment horizontal="right" vertical="center"/>
    </xf>
    <xf numFmtId="0" fontId="89" fillId="0" borderId="22" xfId="0" applyFont="1" applyFill="1" applyBorder="1" applyAlignment="1">
      <alignment horizontal="left" vertical="center" wrapText="1"/>
    </xf>
    <xf numFmtId="1" fontId="0" fillId="0" borderId="22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72" fontId="0" fillId="46" borderId="0" xfId="0" applyNumberFormat="1" applyFill="1" applyAlignment="1">
      <alignment horizontal="right"/>
    </xf>
    <xf numFmtId="0" fontId="0" fillId="46" borderId="0" xfId="0" applyFill="1" applyAlignment="1">
      <alignment/>
    </xf>
    <xf numFmtId="0" fontId="36" fillId="0" borderId="35" xfId="0" applyFont="1" applyFill="1" applyBorder="1" applyAlignment="1">
      <alignment horizontal="center"/>
    </xf>
    <xf numFmtId="0" fontId="90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left" vertical="top" wrapText="1" indent="1"/>
    </xf>
    <xf numFmtId="0" fontId="52" fillId="0" borderId="0" xfId="0" applyNumberFormat="1" applyFont="1" applyBorder="1" applyAlignment="1">
      <alignment horizontal="center" wrapText="1"/>
    </xf>
    <xf numFmtId="0" fontId="52" fillId="0" borderId="0" xfId="0" applyNumberFormat="1" applyFont="1" applyBorder="1" applyAlignment="1">
      <alignment horizontal="center"/>
    </xf>
    <xf numFmtId="0" fontId="36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horizontal="right"/>
    </xf>
    <xf numFmtId="0" fontId="0" fillId="47" borderId="22" xfId="0" applyFill="1" applyBorder="1" applyAlignment="1">
      <alignment horizontal="center"/>
    </xf>
    <xf numFmtId="1" fontId="0" fillId="47" borderId="22" xfId="0" applyNumberFormat="1" applyFill="1" applyBorder="1" applyAlignment="1">
      <alignment horizontal="center" vertical="top" wrapText="1"/>
    </xf>
    <xf numFmtId="0" fontId="0" fillId="47" borderId="22" xfId="0" applyFill="1" applyBorder="1" applyAlignment="1">
      <alignment horizontal="center" vertical="top" wrapText="1"/>
    </xf>
    <xf numFmtId="0" fontId="0" fillId="47" borderId="22" xfId="0" applyNumberFormat="1" applyFill="1" applyBorder="1" applyAlignment="1">
      <alignment horizontal="center" vertical="center"/>
    </xf>
    <xf numFmtId="0" fontId="0" fillId="47" borderId="22" xfId="0" applyFill="1" applyBorder="1" applyAlignment="1">
      <alignment vertical="center"/>
    </xf>
    <xf numFmtId="2" fontId="0" fillId="47" borderId="22" xfId="0" applyNumberFormat="1" applyFill="1" applyBorder="1" applyAlignment="1">
      <alignment vertical="center"/>
    </xf>
    <xf numFmtId="0" fontId="0" fillId="0" borderId="22" xfId="0" applyFill="1" applyBorder="1" applyAlignment="1">
      <alignment/>
    </xf>
    <xf numFmtId="4" fontId="2" fillId="0" borderId="22" xfId="0" applyNumberFormat="1" applyFont="1" applyBorder="1" applyAlignment="1">
      <alignment horizontal="center" vertical="top"/>
    </xf>
    <xf numFmtId="172" fontId="2" fillId="0" borderId="22" xfId="0" applyNumberFormat="1" applyFont="1" applyBorder="1" applyAlignment="1">
      <alignment horizontal="center" vertical="top"/>
    </xf>
    <xf numFmtId="173" fontId="2" fillId="0" borderId="22" xfId="0" applyNumberFormat="1" applyFont="1" applyBorder="1" applyAlignment="1">
      <alignment horizontal="center" vertical="top"/>
    </xf>
    <xf numFmtId="3" fontId="2" fillId="0" borderId="22" xfId="0" applyNumberFormat="1" applyFont="1" applyBorder="1" applyAlignment="1">
      <alignment horizontal="center" vertical="top"/>
    </xf>
    <xf numFmtId="1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/>
    </xf>
    <xf numFmtId="1" fontId="53" fillId="0" borderId="0" xfId="61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2" fontId="53" fillId="0" borderId="0" xfId="61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4" fontId="53" fillId="0" borderId="0" xfId="61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right"/>
    </xf>
    <xf numFmtId="173" fontId="0" fillId="0" borderId="0" xfId="0" applyNumberFormat="1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3" fontId="2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lLevel_0" xfId="61"/>
    <cellStyle name="Comma" xfId="62"/>
    <cellStyle name="Comma [0]" xfId="63"/>
    <cellStyle name="Хороший" xfId="64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m3\Desktop\&#1053;&#1086;&#1074;&#1072;&#1103;%20&#1087;&#1072;&#1087;&#1082;&#1072;%20(2)\&#1044;&#1077;&#1087;&#1072;&#1088;&#1090;&#1072;&#1084;&#1077;&#1085;&#1090;%20&#1087;&#1086;%20&#1090;&#1072;&#1088;&#1080;&#1092;&#1072;&#1084;%20&#1055;&#1050;\&#1056;&#1072;&#1089;&#1095;&#1077;&#1090;%20&#1090;&#1072;&#1088;&#1080;&#1092;&#1072;\&#1058;&#1077;&#1093;%20&#1087;&#1088;&#1080;&#1089;&#1086;&#1077;&#1076;&#1080;&#1085;&#1077;&#1085;&#1080;&#1077;%202020\&#1055;&#1088;&#1080;&#1083;&#1086;&#1078;&#1077;&#1085;&#1080;&#1077;%20&#8470;%202,3%20(&#1092;&#1072;&#1082;&#1090;%20&#1087;&#1086;%20&#1084;&#1077;&#1088;&#1086;&#1087;&#1088;&#1080;&#1103;&#1090;&#1080;&#1103;&#1084;%20&#1079;&#1072;%202016-17-18%20&#1075;.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m3\Desktop\&#1053;&#1086;&#1074;&#1072;&#1103;%20&#1087;&#1072;&#1087;&#1082;&#1072;%20(2)\&#1044;&#1077;&#1087;&#1072;&#1088;&#1090;&#1072;&#1084;&#1077;&#1085;&#1090;%20&#1087;&#1086;%20&#1090;&#1072;&#1088;&#1080;&#1092;&#1072;&#1084;%20&#1055;&#1050;\&#1056;&#1072;&#1089;&#1095;&#1077;&#1090;%20&#1090;&#1072;&#1088;&#1080;&#1092;&#1072;\&#1058;&#1077;&#1093;%20&#1087;&#1088;&#1080;&#1089;&#1086;&#1077;&#1076;&#1080;&#1085;&#1077;&#1085;&#1080;&#1077;%202020\2020%20&#1058;&#1072;&#1073;&#1083;&#1080;&#1094;&#1072;%20&#1087;&#1086;%20&#1089;&#1090;&#1072;&#1085;&#1076;&#1072;&#1088;&#1090;&#1080;&#1079;&#1080;&#1088;&#1086;&#1074;&#1072;&#1085;&#1085;&#1099;&#1084;%20&#1076;&#1083;&#1103;%20&#1052;&#1059;&#1055;%20&#1059;&#1069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3а"/>
      <sheetName val="Приложение 3в"/>
      <sheetName val="Приложение 4"/>
      <sheetName val="Лист2"/>
    </sheetNames>
    <sheetDataSet>
      <sheetData sheetId="1">
        <row r="17">
          <cell r="C17">
            <v>6362.177000000001</v>
          </cell>
          <cell r="D17">
            <v>7032.055000000001</v>
          </cell>
          <cell r="E17">
            <v>9153.789</v>
          </cell>
        </row>
      </sheetData>
      <sheetData sheetId="2">
        <row r="17">
          <cell r="C17">
            <v>8785.867999999999</v>
          </cell>
          <cell r="D17">
            <v>9710.904</v>
          </cell>
          <cell r="E17">
            <v>28000.410000000003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1 городские нп (УЭС)"/>
      <sheetName val="2 не городские нп (УЭС)"/>
      <sheetName val="3 Организационные"/>
      <sheetName val="ЗАМЕНА Организационные меропри"/>
      <sheetName val="Организационные мероприят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B25" sqref="B25:B36"/>
    </sheetView>
  </sheetViews>
  <sheetFormatPr defaultColWidth="9.00390625" defaultRowHeight="12.75"/>
  <cols>
    <col min="2" max="2" width="32.375" style="0" customWidth="1"/>
    <col min="3" max="3" width="18.625" style="0" customWidth="1"/>
    <col min="4" max="4" width="14.25390625" style="0" customWidth="1"/>
    <col min="5" max="5" width="18.25390625" style="0" customWidth="1"/>
    <col min="6" max="6" width="15.625" style="0" customWidth="1"/>
    <col min="7" max="7" width="15.125" style="0" customWidth="1"/>
    <col min="8" max="8" width="15.25390625" style="0" customWidth="1"/>
  </cols>
  <sheetData>
    <row r="1" spans="7:8" ht="12.75">
      <c r="G1" s="17" t="s">
        <v>6</v>
      </c>
      <c r="H1" s="17"/>
    </row>
    <row r="2" spans="6:8" ht="42" customHeight="1">
      <c r="F2" s="18" t="s">
        <v>55</v>
      </c>
      <c r="G2" s="18"/>
      <c r="H2" s="18"/>
    </row>
    <row r="4" spans="1:8" ht="18">
      <c r="A4" s="19"/>
      <c r="B4" s="20" t="s">
        <v>56</v>
      </c>
      <c r="C4" s="20"/>
      <c r="D4" s="20"/>
      <c r="E4" s="20"/>
      <c r="F4" s="20"/>
      <c r="G4" s="20"/>
      <c r="H4" s="20"/>
    </row>
    <row r="5" spans="2:8" ht="18.75" customHeight="1">
      <c r="B5" s="21" t="s">
        <v>57</v>
      </c>
      <c r="C5" s="21"/>
      <c r="D5" s="21"/>
      <c r="E5" s="21"/>
      <c r="F5" s="21"/>
      <c r="G5" s="21"/>
      <c r="H5" s="22"/>
    </row>
    <row r="6" spans="2:8" ht="18.75" customHeight="1">
      <c r="B6" s="21" t="s">
        <v>58</v>
      </c>
      <c r="C6" s="21"/>
      <c r="D6" s="21"/>
      <c r="E6" s="21"/>
      <c r="F6" s="21"/>
      <c r="G6" s="21"/>
      <c r="H6" s="22"/>
    </row>
    <row r="7" spans="1:8" ht="18">
      <c r="A7" s="19"/>
      <c r="B7" s="23" t="s">
        <v>59</v>
      </c>
      <c r="C7" s="23"/>
      <c r="D7" s="23"/>
      <c r="E7" s="23"/>
      <c r="F7" s="23"/>
      <c r="G7" s="23"/>
      <c r="H7" s="23"/>
    </row>
    <row r="8" ht="8.25" customHeight="1"/>
    <row r="9" spans="2:7" ht="18.75" customHeight="1">
      <c r="B9" s="21" t="s">
        <v>60</v>
      </c>
      <c r="C9" s="21"/>
      <c r="D9" s="21"/>
      <c r="E9" s="21"/>
      <c r="F9" s="21"/>
      <c r="G9" s="21"/>
    </row>
    <row r="10" ht="13.5" thickBot="1"/>
    <row r="11" spans="1:8" ht="28.5" customHeight="1">
      <c r="A11" s="24" t="s">
        <v>61</v>
      </c>
      <c r="B11" s="25" t="s">
        <v>62</v>
      </c>
      <c r="C11" s="26" t="s">
        <v>63</v>
      </c>
      <c r="D11" s="26" t="s">
        <v>64</v>
      </c>
      <c r="E11" s="27" t="s">
        <v>65</v>
      </c>
      <c r="F11" s="27"/>
      <c r="G11" s="27"/>
      <c r="H11" s="28" t="s">
        <v>66</v>
      </c>
    </row>
    <row r="12" spans="1:8" ht="57" customHeight="1" thickBot="1">
      <c r="A12" s="29"/>
      <c r="B12" s="30"/>
      <c r="C12" s="31"/>
      <c r="D12" s="31"/>
      <c r="E12" s="32" t="s">
        <v>67</v>
      </c>
      <c r="F12" s="32" t="s">
        <v>68</v>
      </c>
      <c r="G12" s="32" t="s">
        <v>69</v>
      </c>
      <c r="H12" s="33"/>
    </row>
    <row r="13" spans="1:8" ht="15" customHeight="1">
      <c r="A13" s="34" t="s">
        <v>3</v>
      </c>
      <c r="B13" s="35" t="s">
        <v>70</v>
      </c>
      <c r="C13" s="36" t="s">
        <v>71</v>
      </c>
      <c r="D13" s="37" t="s">
        <v>72</v>
      </c>
      <c r="E13" s="38">
        <f>E16/G16*G13</f>
        <v>3633696.008118235</v>
      </c>
      <c r="F13" s="39">
        <v>523</v>
      </c>
      <c r="G13" s="39">
        <v>7628</v>
      </c>
      <c r="H13" s="40">
        <f aca="true" t="shared" si="0" ref="H13:H36">E13/F13</f>
        <v>6947.793514566415</v>
      </c>
    </row>
    <row r="14" spans="1:8" ht="15" customHeight="1">
      <c r="A14" s="41"/>
      <c r="B14" s="35"/>
      <c r="C14" s="35"/>
      <c r="D14" s="42" t="s">
        <v>73</v>
      </c>
      <c r="E14" s="38">
        <f>E16/G16*G14</f>
        <v>2819115.4924021647</v>
      </c>
      <c r="F14" s="39">
        <v>131</v>
      </c>
      <c r="G14" s="39">
        <v>5918</v>
      </c>
      <c r="H14" s="43">
        <f t="shared" si="0"/>
        <v>21519.96559085622</v>
      </c>
    </row>
    <row r="15" spans="1:8" ht="15.75" customHeight="1">
      <c r="A15" s="41"/>
      <c r="B15" s="35"/>
      <c r="C15" s="35"/>
      <c r="D15" s="42" t="s">
        <v>74</v>
      </c>
      <c r="E15" s="38">
        <f>E16/G16*G15</f>
        <v>2700977.4994796</v>
      </c>
      <c r="F15" s="39">
        <v>20</v>
      </c>
      <c r="G15" s="39">
        <v>5670</v>
      </c>
      <c r="H15" s="43">
        <f t="shared" si="0"/>
        <v>135048.87497398</v>
      </c>
    </row>
    <row r="16" spans="1:8" s="49" customFormat="1" ht="15" customHeight="1" thickBot="1">
      <c r="A16" s="41"/>
      <c r="B16" s="35"/>
      <c r="C16" s="44"/>
      <c r="D16" s="45" t="s">
        <v>75</v>
      </c>
      <c r="E16" s="46">
        <f>'[1]Приложение 3а'!E17*1000</f>
        <v>9153789</v>
      </c>
      <c r="F16" s="47">
        <f>SUM(F13:F15)</f>
        <v>674</v>
      </c>
      <c r="G16" s="47">
        <f>SUM(G13:G15)</f>
        <v>19216</v>
      </c>
      <c r="H16" s="48">
        <f>E16/F16</f>
        <v>13581.289317507419</v>
      </c>
    </row>
    <row r="17" spans="1:8" s="49" customFormat="1" ht="15" customHeight="1">
      <c r="A17" s="41"/>
      <c r="B17" s="35"/>
      <c r="C17" s="50" t="s">
        <v>76</v>
      </c>
      <c r="D17" s="42" t="s">
        <v>72</v>
      </c>
      <c r="E17" s="38">
        <f>E20/G20*G17</f>
        <v>2469000.1514926483</v>
      </c>
      <c r="F17" s="39">
        <v>525</v>
      </c>
      <c r="G17" s="39">
        <v>7092</v>
      </c>
      <c r="H17" s="40">
        <f t="shared" si="0"/>
        <v>4702.857431414568</v>
      </c>
    </row>
    <row r="18" spans="1:8" s="49" customFormat="1" ht="15" customHeight="1">
      <c r="A18" s="41"/>
      <c r="B18" s="35"/>
      <c r="C18" s="35"/>
      <c r="D18" s="42" t="s">
        <v>73</v>
      </c>
      <c r="E18" s="38">
        <f>E20/G20*G18</f>
        <v>1906407.9003911086</v>
      </c>
      <c r="F18" s="39">
        <v>116</v>
      </c>
      <c r="G18" s="39">
        <v>5476</v>
      </c>
      <c r="H18" s="43">
        <f t="shared" si="0"/>
        <v>16434.550865440593</v>
      </c>
    </row>
    <row r="19" spans="1:8" s="49" customFormat="1" ht="15" customHeight="1">
      <c r="A19" s="41"/>
      <c r="B19" s="35"/>
      <c r="C19" s="35"/>
      <c r="D19" s="42" t="s">
        <v>74</v>
      </c>
      <c r="E19" s="38">
        <f>E20/G20*G19</f>
        <v>2656646.948116244</v>
      </c>
      <c r="F19" s="39">
        <v>17</v>
      </c>
      <c r="G19" s="39">
        <v>7631</v>
      </c>
      <c r="H19" s="43">
        <f t="shared" si="0"/>
        <v>156273.3498891908</v>
      </c>
    </row>
    <row r="20" spans="1:8" s="49" customFormat="1" ht="15" customHeight="1" thickBot="1">
      <c r="A20" s="41"/>
      <c r="B20" s="35"/>
      <c r="C20" s="44"/>
      <c r="D20" s="51" t="s">
        <v>75</v>
      </c>
      <c r="E20" s="52">
        <f>'[1]Приложение 3а'!D17*1000</f>
        <v>7032055.000000001</v>
      </c>
      <c r="F20" s="53">
        <f>SUM(F17:F19)</f>
        <v>658</v>
      </c>
      <c r="G20" s="53">
        <f>SUM(G17:G19)</f>
        <v>20199</v>
      </c>
      <c r="H20" s="54">
        <f t="shared" si="0"/>
        <v>10687.013677811552</v>
      </c>
    </row>
    <row r="21" spans="1:8" s="49" customFormat="1" ht="15" customHeight="1">
      <c r="A21" s="41"/>
      <c r="B21" s="35"/>
      <c r="C21" s="55" t="s">
        <v>77</v>
      </c>
      <c r="D21" s="42" t="s">
        <v>72</v>
      </c>
      <c r="E21" s="38">
        <f>E24/G24*G21</f>
        <v>2482768.4827100504</v>
      </c>
      <c r="F21" s="39">
        <v>596</v>
      </c>
      <c r="G21" s="39">
        <v>8062.1</v>
      </c>
      <c r="H21" s="40">
        <f t="shared" si="0"/>
        <v>4165.718930721561</v>
      </c>
    </row>
    <row r="22" spans="1:8" s="49" customFormat="1" ht="15" customHeight="1">
      <c r="A22" s="41"/>
      <c r="B22" s="35"/>
      <c r="C22" s="56"/>
      <c r="D22" s="42" t="s">
        <v>73</v>
      </c>
      <c r="E22" s="38">
        <f>E24/G24*G22</f>
        <v>2260701.7317540688</v>
      </c>
      <c r="F22" s="39">
        <v>134</v>
      </c>
      <c r="G22" s="39">
        <v>7341</v>
      </c>
      <c r="H22" s="43">
        <f t="shared" si="0"/>
        <v>16870.908445925885</v>
      </c>
    </row>
    <row r="23" spans="1:8" s="49" customFormat="1" ht="15" customHeight="1">
      <c r="A23" s="41"/>
      <c r="B23" s="35"/>
      <c r="C23" s="56"/>
      <c r="D23" s="42" t="s">
        <v>74</v>
      </c>
      <c r="E23" s="38">
        <f>E24/G24*G23</f>
        <v>1618706.7855358822</v>
      </c>
      <c r="F23" s="39">
        <v>14</v>
      </c>
      <c r="G23" s="39">
        <v>5256.3</v>
      </c>
      <c r="H23" s="43">
        <f t="shared" si="0"/>
        <v>115621.91325256301</v>
      </c>
    </row>
    <row r="24" spans="1:8" s="49" customFormat="1" ht="15" customHeight="1" thickBot="1">
      <c r="A24" s="57"/>
      <c r="B24" s="58"/>
      <c r="C24" s="59"/>
      <c r="D24" s="60" t="s">
        <v>75</v>
      </c>
      <c r="E24" s="61">
        <f>'[1]Приложение 3а'!C17*1000</f>
        <v>6362177.000000001</v>
      </c>
      <c r="F24" s="62">
        <f>SUM(F21:F23)</f>
        <v>744</v>
      </c>
      <c r="G24" s="62">
        <f>SUM(G21:G23)</f>
        <v>20659.4</v>
      </c>
      <c r="H24" s="63">
        <f t="shared" si="0"/>
        <v>8551.313172043012</v>
      </c>
    </row>
    <row r="25" spans="1:8" s="49" customFormat="1" ht="15.75" customHeight="1">
      <c r="A25" s="34" t="s">
        <v>4</v>
      </c>
      <c r="B25" s="36" t="s">
        <v>78</v>
      </c>
      <c r="C25" s="36" t="s">
        <v>71</v>
      </c>
      <c r="D25" s="37" t="s">
        <v>72</v>
      </c>
      <c r="E25" s="38">
        <f>E28/G28*G25</f>
        <v>11115067.000416322</v>
      </c>
      <c r="F25" s="39">
        <v>523</v>
      </c>
      <c r="G25" s="39">
        <v>7628</v>
      </c>
      <c r="H25" s="40">
        <f t="shared" si="0"/>
        <v>21252.518165231973</v>
      </c>
    </row>
    <row r="26" spans="1:8" s="49" customFormat="1" ht="15.75" customHeight="1">
      <c r="A26" s="41"/>
      <c r="B26" s="35"/>
      <c r="C26" s="35"/>
      <c r="D26" s="42" t="s">
        <v>73</v>
      </c>
      <c r="E26" s="38">
        <f>E28/G28*G26</f>
        <v>8623356.90986678</v>
      </c>
      <c r="F26" s="39">
        <v>131</v>
      </c>
      <c r="G26" s="39">
        <v>5918</v>
      </c>
      <c r="H26" s="43">
        <f t="shared" si="0"/>
        <v>65827.15198371588</v>
      </c>
    </row>
    <row r="27" spans="1:8" s="49" customFormat="1" ht="15.75" customHeight="1">
      <c r="A27" s="41"/>
      <c r="B27" s="35"/>
      <c r="C27" s="35"/>
      <c r="D27" s="42" t="s">
        <v>74</v>
      </c>
      <c r="E27" s="64">
        <f>E28/G28*G27</f>
        <v>8261986.089716904</v>
      </c>
      <c r="F27" s="39">
        <v>20</v>
      </c>
      <c r="G27" s="39">
        <v>5670</v>
      </c>
      <c r="H27" s="43">
        <f t="shared" si="0"/>
        <v>413099.3044858452</v>
      </c>
    </row>
    <row r="28" spans="1:8" s="49" customFormat="1" ht="15.75" customHeight="1" thickBot="1">
      <c r="A28" s="41"/>
      <c r="B28" s="35"/>
      <c r="C28" s="44"/>
      <c r="D28" s="45" t="s">
        <v>75</v>
      </c>
      <c r="E28" s="65">
        <f>'[1]Приложение 3в'!E17*1000</f>
        <v>28000410.000000004</v>
      </c>
      <c r="F28" s="47">
        <f>SUM(F25:F27)</f>
        <v>674</v>
      </c>
      <c r="G28" s="47">
        <f>SUM(G25:G27)</f>
        <v>19216</v>
      </c>
      <c r="H28" s="66">
        <f t="shared" si="0"/>
        <v>41543.6350148368</v>
      </c>
    </row>
    <row r="29" spans="1:8" s="49" customFormat="1" ht="15.75" customHeight="1">
      <c r="A29" s="41"/>
      <c r="B29" s="35"/>
      <c r="C29" s="50" t="s">
        <v>76</v>
      </c>
      <c r="D29" s="42" t="s">
        <v>72</v>
      </c>
      <c r="E29" s="38">
        <f>E32/G32*G29</f>
        <v>3409561.422248626</v>
      </c>
      <c r="F29" s="39">
        <v>525</v>
      </c>
      <c r="G29" s="39">
        <v>7092</v>
      </c>
      <c r="H29" s="40">
        <f t="shared" si="0"/>
        <v>6494.402709045002</v>
      </c>
    </row>
    <row r="30" spans="1:8" s="49" customFormat="1" ht="15.75" customHeight="1">
      <c r="A30" s="41"/>
      <c r="B30" s="35"/>
      <c r="C30" s="35"/>
      <c r="D30" s="42" t="s">
        <v>73</v>
      </c>
      <c r="E30" s="38">
        <f>E32/G32*G30</f>
        <v>2632650.641318877</v>
      </c>
      <c r="F30" s="39">
        <v>116</v>
      </c>
      <c r="G30" s="39">
        <v>5476</v>
      </c>
      <c r="H30" s="43">
        <f t="shared" si="0"/>
        <v>22695.264149300667</v>
      </c>
    </row>
    <row r="31" spans="1:8" s="49" customFormat="1" ht="15.75" customHeight="1">
      <c r="A31" s="41"/>
      <c r="B31" s="35"/>
      <c r="C31" s="35"/>
      <c r="D31" s="42" t="s">
        <v>74</v>
      </c>
      <c r="E31" s="38">
        <f>E32/G32*G31</f>
        <v>3668691.9364324966</v>
      </c>
      <c r="F31" s="39">
        <v>17</v>
      </c>
      <c r="G31" s="39">
        <v>7631</v>
      </c>
      <c r="H31" s="43">
        <f t="shared" si="0"/>
        <v>215805.408025441</v>
      </c>
    </row>
    <row r="32" spans="1:8" s="49" customFormat="1" ht="15.75" customHeight="1" thickBot="1">
      <c r="A32" s="41"/>
      <c r="B32" s="35"/>
      <c r="C32" s="44"/>
      <c r="D32" s="51" t="s">
        <v>75</v>
      </c>
      <c r="E32" s="67">
        <f>'[1]Приложение 3в'!D17*1000</f>
        <v>9710904</v>
      </c>
      <c r="F32" s="53">
        <f>SUM(F29:F31)</f>
        <v>658</v>
      </c>
      <c r="G32" s="53">
        <f>SUM(G29:G31)</f>
        <v>20199</v>
      </c>
      <c r="H32" s="68">
        <f t="shared" si="0"/>
        <v>14758.212765957447</v>
      </c>
    </row>
    <row r="33" spans="1:8" s="49" customFormat="1" ht="15.75" customHeight="1">
      <c r="A33" s="41"/>
      <c r="B33" s="35"/>
      <c r="C33" s="55" t="s">
        <v>77</v>
      </c>
      <c r="D33" s="42" t="s">
        <v>72</v>
      </c>
      <c r="E33" s="38">
        <f>E36/G36*G33</f>
        <v>3428586.81291809</v>
      </c>
      <c r="F33" s="39">
        <v>596</v>
      </c>
      <c r="G33" s="39">
        <v>8062.1</v>
      </c>
      <c r="H33" s="40">
        <f t="shared" si="0"/>
        <v>5752.66243778203</v>
      </c>
    </row>
    <row r="34" spans="1:8" s="49" customFormat="1" ht="15.75" customHeight="1">
      <c r="A34" s="41"/>
      <c r="B34" s="35"/>
      <c r="C34" s="56"/>
      <c r="D34" s="42" t="s">
        <v>73</v>
      </c>
      <c r="E34" s="38">
        <f>E36/G36*G34</f>
        <v>3121923.046555078</v>
      </c>
      <c r="F34" s="39">
        <v>134</v>
      </c>
      <c r="G34" s="39">
        <v>7341</v>
      </c>
      <c r="H34" s="43">
        <f t="shared" si="0"/>
        <v>23297.933183246852</v>
      </c>
    </row>
    <row r="35" spans="1:8" s="49" customFormat="1" ht="15.75" customHeight="1">
      <c r="A35" s="41"/>
      <c r="B35" s="35"/>
      <c r="C35" s="56"/>
      <c r="D35" s="42" t="s">
        <v>74</v>
      </c>
      <c r="E35" s="38">
        <f>E36/G36*G35</f>
        <v>2235358.1405268298</v>
      </c>
      <c r="F35" s="39">
        <v>14</v>
      </c>
      <c r="G35" s="39">
        <v>5256.3</v>
      </c>
      <c r="H35" s="43">
        <f t="shared" si="0"/>
        <v>159668.43860905926</v>
      </c>
    </row>
    <row r="36" spans="1:8" s="49" customFormat="1" ht="15.75" customHeight="1" thickBot="1">
      <c r="A36" s="57"/>
      <c r="B36" s="58"/>
      <c r="C36" s="59"/>
      <c r="D36" s="60" t="s">
        <v>75</v>
      </c>
      <c r="E36" s="61">
        <f>'[1]Приложение 3в'!C17*1000</f>
        <v>8785867.999999998</v>
      </c>
      <c r="F36" s="62">
        <f>SUM(F33:F35)</f>
        <v>744</v>
      </c>
      <c r="G36" s="62">
        <f>SUM(G33:G35)</f>
        <v>20659.4</v>
      </c>
      <c r="H36" s="63">
        <f t="shared" si="0"/>
        <v>11808.962365591395</v>
      </c>
    </row>
    <row r="41" spans="1:8" s="69" customFormat="1" ht="15">
      <c r="A41" s="69" t="s">
        <v>79</v>
      </c>
      <c r="H41" s="69" t="s">
        <v>80</v>
      </c>
    </row>
    <row r="44" spans="1:8" ht="30" customHeight="1">
      <c r="A44" s="70" t="s">
        <v>81</v>
      </c>
      <c r="B44" s="70"/>
      <c r="C44" s="70"/>
      <c r="D44" s="71"/>
      <c r="H44" s="72" t="s">
        <v>82</v>
      </c>
    </row>
    <row r="46" ht="12.75">
      <c r="A46" s="73" t="s">
        <v>83</v>
      </c>
    </row>
    <row r="47" spans="1:8" s="75" customFormat="1" ht="12.75">
      <c r="A47" s="74"/>
      <c r="B47" s="73"/>
      <c r="C47" s="73"/>
      <c r="D47" s="73"/>
      <c r="E47" s="73"/>
      <c r="F47" s="73"/>
      <c r="G47" s="73" t="s">
        <v>84</v>
      </c>
      <c r="H47" s="73"/>
    </row>
  </sheetData>
  <sheetProtection/>
  <mergeCells count="24">
    <mergeCell ref="A25:A36"/>
    <mergeCell ref="B25:B36"/>
    <mergeCell ref="C25:C28"/>
    <mergeCell ref="C29:C32"/>
    <mergeCell ref="C33:C36"/>
    <mergeCell ref="A44:C44"/>
    <mergeCell ref="H11:H12"/>
    <mergeCell ref="A13:A24"/>
    <mergeCell ref="B13:B24"/>
    <mergeCell ref="C13:C16"/>
    <mergeCell ref="C17:C20"/>
    <mergeCell ref="C21:C24"/>
    <mergeCell ref="B9:G9"/>
    <mergeCell ref="A11:A12"/>
    <mergeCell ref="B11:B12"/>
    <mergeCell ref="C11:C12"/>
    <mergeCell ref="D11:D12"/>
    <mergeCell ref="E11:G11"/>
    <mergeCell ref="G1:H1"/>
    <mergeCell ref="F2:H2"/>
    <mergeCell ref="B4:H4"/>
    <mergeCell ref="B5:G5"/>
    <mergeCell ref="B6:G6"/>
    <mergeCell ref="B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526"/>
  <sheetViews>
    <sheetView tabSelected="1" view="pageBreakPreview" zoomScale="90" zoomScaleSheetLayoutView="90" zoomScalePageLayoutView="0" workbookViewId="0" topLeftCell="A409">
      <pane xSplit="4" topLeftCell="E1" activePane="topRight" state="frozen"/>
      <selection pane="topLeft" activeCell="A353" sqref="A353"/>
      <selection pane="topRight" activeCell="BB394" sqref="BB394"/>
    </sheetView>
  </sheetViews>
  <sheetFormatPr defaultColWidth="9.125" defaultRowHeight="12.75" outlineLevelRow="1" outlineLevelCol="3"/>
  <cols>
    <col min="1" max="1" width="9.375" style="78" customWidth="1"/>
    <col min="2" max="2" width="35.625" style="79" customWidth="1"/>
    <col min="3" max="3" width="15.50390625" style="80" customWidth="1"/>
    <col min="4" max="4" width="8.75390625" style="81" customWidth="1"/>
    <col min="5" max="7" width="8.75390625" style="279" customWidth="1" outlineLevel="3"/>
    <col min="8" max="8" width="14.75390625" style="280" customWidth="1" outlineLevel="3"/>
    <col min="9" max="17" width="13.75390625" style="280" customWidth="1" outlineLevel="3"/>
    <col min="18" max="19" width="9.75390625" style="77" customWidth="1" outlineLevel="3"/>
    <col min="20" max="20" width="9.75390625" style="281" customWidth="1" outlineLevel="3"/>
    <col min="21" max="21" width="9.75390625" style="76" customWidth="1" outlineLevel="3"/>
    <col min="22" max="22" width="10.75390625" style="282" customWidth="1" outlineLevel="3"/>
    <col min="23" max="23" width="9.75390625" style="282" customWidth="1" outlineLevel="3"/>
    <col min="24" max="24" width="8.75390625" style="283" customWidth="1" outlineLevel="2"/>
    <col min="25" max="26" width="8.75390625" style="284" customWidth="1" outlineLevel="2"/>
    <col min="27" max="27" width="14.75390625" style="280" customWidth="1" outlineLevel="2"/>
    <col min="28" max="36" width="13.75390625" style="285" customWidth="1" outlineLevel="2"/>
    <col min="37" max="39" width="9.75390625" style="77" customWidth="1" outlineLevel="2"/>
    <col min="40" max="40" width="9.75390625" style="76" customWidth="1" outlineLevel="2"/>
    <col min="41" max="41" width="10.75390625" style="282" customWidth="1" outlineLevel="2"/>
    <col min="42" max="42" width="9.75390625" style="282" customWidth="1" outlineLevel="2"/>
    <col min="43" max="43" width="8.75390625" style="77" customWidth="1" outlineLevel="1"/>
    <col min="44" max="45" width="8.75390625" style="76" customWidth="1" outlineLevel="1"/>
    <col min="46" max="46" width="14.75390625" style="77" customWidth="1" outlineLevel="1"/>
    <col min="47" max="55" width="13.75390625" style="77" customWidth="1" outlineLevel="1"/>
    <col min="56" max="58" width="9.75390625" style="77" customWidth="1" outlineLevel="1"/>
    <col min="59" max="59" width="9.75390625" style="76" customWidth="1" outlineLevel="1"/>
    <col min="60" max="60" width="10.75390625" style="286" customWidth="1" outlineLevel="1"/>
    <col min="61" max="61" width="9.75390625" style="286" customWidth="1" outlineLevel="1"/>
    <col min="62" max="105" width="9.125" style="92" customWidth="1"/>
  </cols>
  <sheetData>
    <row r="1" spans="1:61" s="92" customFormat="1" ht="14.25">
      <c r="A1" s="78"/>
      <c r="B1" s="79"/>
      <c r="C1" s="80"/>
      <c r="D1" s="81"/>
      <c r="E1" s="82"/>
      <c r="F1" s="82"/>
      <c r="G1" s="82"/>
      <c r="H1" s="83"/>
      <c r="I1" s="83"/>
      <c r="J1" s="83"/>
      <c r="K1" s="83"/>
      <c r="L1" s="84"/>
      <c r="M1" s="84"/>
      <c r="N1" s="84"/>
      <c r="O1" s="84"/>
      <c r="P1" s="84"/>
      <c r="Q1" s="84"/>
      <c r="R1" s="85"/>
      <c r="S1" s="85"/>
      <c r="T1" s="86"/>
      <c r="U1" s="85"/>
      <c r="V1" s="87"/>
      <c r="W1" s="87"/>
      <c r="X1" s="88"/>
      <c r="Y1" s="89"/>
      <c r="Z1" s="89"/>
      <c r="AA1" s="83"/>
      <c r="AB1" s="90"/>
      <c r="AC1" s="90"/>
      <c r="AD1" s="90"/>
      <c r="AE1" s="90"/>
      <c r="AF1" s="90"/>
      <c r="AG1" s="90"/>
      <c r="AH1" s="90"/>
      <c r="AI1" s="90"/>
      <c r="AJ1" s="90"/>
      <c r="AK1" s="91"/>
      <c r="AL1" s="91"/>
      <c r="AM1" s="91"/>
      <c r="AN1" s="85"/>
      <c r="AO1" s="87"/>
      <c r="AP1" s="87"/>
      <c r="AQ1" s="91"/>
      <c r="AR1" s="85"/>
      <c r="AS1" s="85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85"/>
      <c r="BH1" s="91"/>
      <c r="BI1" s="91"/>
    </row>
    <row r="2" spans="1:51" s="92" customFormat="1" ht="27" customHeight="1">
      <c r="A2" s="78"/>
      <c r="B2" s="93" t="s">
        <v>86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</row>
    <row r="3" spans="1:51" s="92" customFormat="1" ht="27" customHeight="1">
      <c r="A3" s="78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</row>
    <row r="4" spans="1:51" s="92" customFormat="1" ht="18.75" customHeight="1">
      <c r="A4" s="78"/>
      <c r="B4" s="398" t="s">
        <v>806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</row>
    <row r="5" spans="1:51" s="92" customFormat="1" ht="18.75" customHeight="1">
      <c r="A5" s="78"/>
      <c r="B5" s="399" t="s">
        <v>60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</row>
    <row r="6" spans="1:61" s="92" customFormat="1" ht="14.25">
      <c r="A6" s="78"/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88"/>
      <c r="Y6" s="89"/>
      <c r="Z6" s="89"/>
      <c r="AA6" s="83"/>
      <c r="AB6" s="90"/>
      <c r="AC6" s="90"/>
      <c r="AD6" s="90"/>
      <c r="AE6" s="90"/>
      <c r="AF6" s="90"/>
      <c r="AG6" s="90"/>
      <c r="AH6" s="90"/>
      <c r="AI6" s="90"/>
      <c r="AJ6" s="90"/>
      <c r="AK6" s="91"/>
      <c r="AL6" s="91"/>
      <c r="AM6" s="91"/>
      <c r="AN6" s="85"/>
      <c r="AO6" s="87"/>
      <c r="AP6" s="87"/>
      <c r="AQ6" s="91"/>
      <c r="AR6" s="85"/>
      <c r="AS6" s="85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85"/>
      <c r="BH6" s="91"/>
      <c r="BI6" s="91"/>
    </row>
    <row r="7" spans="1:105" s="99" customFormat="1" ht="15.75" customHeight="1">
      <c r="A7" s="293"/>
      <c r="B7" s="294"/>
      <c r="C7" s="295"/>
      <c r="D7" s="296"/>
      <c r="E7" s="94">
        <v>2016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6">
        <v>2017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7">
        <v>2018</v>
      </c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411" t="s">
        <v>814</v>
      </c>
      <c r="BK7" s="411"/>
      <c r="BL7" s="411"/>
      <c r="BM7" s="411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</row>
    <row r="8" spans="1:65" s="92" customFormat="1" ht="132">
      <c r="A8" s="289" t="s">
        <v>85</v>
      </c>
      <c r="B8" s="290" t="s">
        <v>87</v>
      </c>
      <c r="C8" s="291" t="s">
        <v>88</v>
      </c>
      <c r="D8" s="292" t="s">
        <v>89</v>
      </c>
      <c r="E8" s="103" t="s">
        <v>90</v>
      </c>
      <c r="F8" s="104" t="s">
        <v>91</v>
      </c>
      <c r="G8" s="104" t="s">
        <v>91</v>
      </c>
      <c r="H8" s="105" t="s">
        <v>93</v>
      </c>
      <c r="I8" s="106" t="s">
        <v>94</v>
      </c>
      <c r="J8" s="105" t="s">
        <v>95</v>
      </c>
      <c r="K8" s="105" t="s">
        <v>96</v>
      </c>
      <c r="L8" s="106" t="s">
        <v>97</v>
      </c>
      <c r="M8" s="106" t="s">
        <v>98</v>
      </c>
      <c r="N8" s="106" t="s">
        <v>99</v>
      </c>
      <c r="O8" s="106" t="s">
        <v>100</v>
      </c>
      <c r="P8" s="105" t="s">
        <v>101</v>
      </c>
      <c r="Q8" s="105" t="s">
        <v>102</v>
      </c>
      <c r="R8" s="107" t="s">
        <v>103</v>
      </c>
      <c r="S8" s="107" t="s">
        <v>104</v>
      </c>
      <c r="T8" s="107" t="s">
        <v>105</v>
      </c>
      <c r="U8" s="107" t="s">
        <v>106</v>
      </c>
      <c r="V8" s="108" t="s">
        <v>107</v>
      </c>
      <c r="W8" s="108" t="s">
        <v>108</v>
      </c>
      <c r="X8" s="109" t="s">
        <v>90</v>
      </c>
      <c r="Y8" s="104" t="s">
        <v>91</v>
      </c>
      <c r="Z8" s="104" t="s">
        <v>109</v>
      </c>
      <c r="AA8" s="106" t="s">
        <v>93</v>
      </c>
      <c r="AB8" s="110" t="s">
        <v>94</v>
      </c>
      <c r="AC8" s="110" t="s">
        <v>95</v>
      </c>
      <c r="AD8" s="110" t="s">
        <v>96</v>
      </c>
      <c r="AE8" s="110" t="s">
        <v>97</v>
      </c>
      <c r="AF8" s="110" t="s">
        <v>98</v>
      </c>
      <c r="AG8" s="110" t="s">
        <v>110</v>
      </c>
      <c r="AH8" s="110" t="s">
        <v>100</v>
      </c>
      <c r="AI8" s="110" t="s">
        <v>101</v>
      </c>
      <c r="AJ8" s="110" t="s">
        <v>102</v>
      </c>
      <c r="AK8" s="107" t="s">
        <v>111</v>
      </c>
      <c r="AL8" s="107" t="s">
        <v>104</v>
      </c>
      <c r="AM8" s="107" t="s">
        <v>105</v>
      </c>
      <c r="AN8" s="107" t="s">
        <v>106</v>
      </c>
      <c r="AO8" s="108" t="s">
        <v>107</v>
      </c>
      <c r="AP8" s="108" t="s">
        <v>108</v>
      </c>
      <c r="AQ8" s="111" t="s">
        <v>90</v>
      </c>
      <c r="AR8" s="110" t="s">
        <v>91</v>
      </c>
      <c r="AS8" s="107" t="s">
        <v>109</v>
      </c>
      <c r="AT8" s="107" t="s">
        <v>93</v>
      </c>
      <c r="AU8" s="110" t="s">
        <v>94</v>
      </c>
      <c r="AV8" s="107" t="s">
        <v>95</v>
      </c>
      <c r="AW8" s="107" t="s">
        <v>96</v>
      </c>
      <c r="AX8" s="110" t="s">
        <v>97</v>
      </c>
      <c r="AY8" s="110" t="s">
        <v>98</v>
      </c>
      <c r="AZ8" s="110" t="s">
        <v>110</v>
      </c>
      <c r="BA8" s="110" t="s">
        <v>100</v>
      </c>
      <c r="BB8" s="107" t="s">
        <v>101</v>
      </c>
      <c r="BC8" s="107" t="s">
        <v>102</v>
      </c>
      <c r="BD8" s="107" t="s">
        <v>111</v>
      </c>
      <c r="BE8" s="107" t="s">
        <v>104</v>
      </c>
      <c r="BF8" s="107" t="s">
        <v>105</v>
      </c>
      <c r="BG8" s="107" t="s">
        <v>106</v>
      </c>
      <c r="BH8" s="112" t="s">
        <v>107</v>
      </c>
      <c r="BI8" s="112" t="s">
        <v>108</v>
      </c>
      <c r="BJ8" s="412" t="s">
        <v>90</v>
      </c>
      <c r="BK8" s="413" t="s">
        <v>91</v>
      </c>
      <c r="BL8" s="413" t="s">
        <v>109</v>
      </c>
      <c r="BM8" s="413" t="s">
        <v>93</v>
      </c>
    </row>
    <row r="9" spans="1:65" s="118" customFormat="1" ht="14.25">
      <c r="A9" s="113">
        <v>1</v>
      </c>
      <c r="B9" s="114">
        <v>2</v>
      </c>
      <c r="C9" s="115"/>
      <c r="D9" s="116">
        <v>3</v>
      </c>
      <c r="E9" s="116">
        <v>4</v>
      </c>
      <c r="F9" s="114">
        <v>5</v>
      </c>
      <c r="G9" s="116">
        <v>5</v>
      </c>
      <c r="H9" s="116">
        <v>7</v>
      </c>
      <c r="I9" s="114">
        <v>8</v>
      </c>
      <c r="J9" s="116">
        <v>9</v>
      </c>
      <c r="K9" s="116">
        <v>10</v>
      </c>
      <c r="L9" s="114">
        <v>11</v>
      </c>
      <c r="M9" s="116">
        <v>12</v>
      </c>
      <c r="N9" s="116">
        <v>13</v>
      </c>
      <c r="O9" s="114">
        <v>14</v>
      </c>
      <c r="P9" s="116">
        <v>15</v>
      </c>
      <c r="Q9" s="116">
        <v>16</v>
      </c>
      <c r="R9" s="114">
        <v>17</v>
      </c>
      <c r="S9" s="116">
        <v>18</v>
      </c>
      <c r="T9" s="116">
        <v>19</v>
      </c>
      <c r="U9" s="114">
        <v>20</v>
      </c>
      <c r="V9" s="116">
        <v>21</v>
      </c>
      <c r="W9" s="116">
        <v>22</v>
      </c>
      <c r="X9" s="117">
        <v>23</v>
      </c>
      <c r="Y9" s="116">
        <v>24</v>
      </c>
      <c r="Z9" s="116">
        <v>25</v>
      </c>
      <c r="AA9" s="114">
        <v>26</v>
      </c>
      <c r="AB9" s="116">
        <v>27</v>
      </c>
      <c r="AC9" s="116">
        <v>28</v>
      </c>
      <c r="AD9" s="114">
        <v>29</v>
      </c>
      <c r="AE9" s="116">
        <v>30</v>
      </c>
      <c r="AF9" s="116">
        <v>31</v>
      </c>
      <c r="AG9" s="114">
        <v>32</v>
      </c>
      <c r="AH9" s="116">
        <v>33</v>
      </c>
      <c r="AI9" s="116">
        <v>34</v>
      </c>
      <c r="AJ9" s="114">
        <v>35</v>
      </c>
      <c r="AK9" s="116">
        <v>36</v>
      </c>
      <c r="AL9" s="116">
        <v>37</v>
      </c>
      <c r="AM9" s="114">
        <v>38</v>
      </c>
      <c r="AN9" s="116">
        <v>39</v>
      </c>
      <c r="AO9" s="116">
        <v>40</v>
      </c>
      <c r="AP9" s="114">
        <v>41</v>
      </c>
      <c r="AQ9" s="116">
        <v>42</v>
      </c>
      <c r="AR9" s="116">
        <v>43</v>
      </c>
      <c r="AS9" s="114">
        <v>44</v>
      </c>
      <c r="AT9" s="116">
        <v>45</v>
      </c>
      <c r="AU9" s="116">
        <v>46</v>
      </c>
      <c r="AV9" s="114">
        <v>47</v>
      </c>
      <c r="AW9" s="116">
        <v>48</v>
      </c>
      <c r="AX9" s="116">
        <v>49</v>
      </c>
      <c r="AY9" s="114">
        <v>50</v>
      </c>
      <c r="AZ9" s="116">
        <v>51</v>
      </c>
      <c r="BA9" s="116">
        <v>52</v>
      </c>
      <c r="BB9" s="114">
        <v>53</v>
      </c>
      <c r="BC9" s="116">
        <v>54</v>
      </c>
      <c r="BD9" s="116">
        <v>55</v>
      </c>
      <c r="BE9" s="114">
        <v>56</v>
      </c>
      <c r="BF9" s="116">
        <v>57</v>
      </c>
      <c r="BG9" s="116">
        <v>58</v>
      </c>
      <c r="BH9" s="114">
        <v>59</v>
      </c>
      <c r="BI9" s="116">
        <v>60</v>
      </c>
      <c r="BJ9" s="414"/>
      <c r="BK9" s="414"/>
      <c r="BL9" s="414"/>
      <c r="BM9" s="414"/>
    </row>
    <row r="10" spans="1:65" s="129" customFormat="1" ht="88.5" customHeight="1">
      <c r="A10" s="119" t="s">
        <v>112</v>
      </c>
      <c r="B10" s="120" t="s">
        <v>113</v>
      </c>
      <c r="C10" s="121"/>
      <c r="D10" s="122"/>
      <c r="E10" s="123">
        <f>E11+E22+E87+E98+E134</f>
        <v>4474</v>
      </c>
      <c r="F10" s="123">
        <f aca="true" t="shared" si="0" ref="F10:R10">F11+F22+F87+F98+F134</f>
        <v>698</v>
      </c>
      <c r="G10" s="123">
        <f>G11+G22+G87+G98+G134</f>
        <v>698</v>
      </c>
      <c r="H10" s="124">
        <f t="shared" si="0"/>
        <v>2186.3697</v>
      </c>
      <c r="I10" s="124">
        <f t="shared" si="0"/>
        <v>1583.04855</v>
      </c>
      <c r="J10" s="124">
        <f t="shared" si="0"/>
        <v>363.44975</v>
      </c>
      <c r="K10" s="124">
        <f t="shared" si="0"/>
        <v>1007.2144600000001</v>
      </c>
      <c r="L10" s="124">
        <f t="shared" si="0"/>
        <v>306.85525</v>
      </c>
      <c r="M10" s="124">
        <f t="shared" si="0"/>
        <v>0</v>
      </c>
      <c r="N10" s="124">
        <f t="shared" si="0"/>
        <v>0</v>
      </c>
      <c r="O10" s="124">
        <f t="shared" si="0"/>
        <v>131.21113</v>
      </c>
      <c r="P10" s="124">
        <f t="shared" si="0"/>
        <v>3180.1063000000004</v>
      </c>
      <c r="Q10" s="124">
        <f t="shared" si="0"/>
        <v>393.63550000000004</v>
      </c>
      <c r="R10" s="125"/>
      <c r="S10" s="125"/>
      <c r="T10" s="126"/>
      <c r="U10" s="127"/>
      <c r="V10" s="128">
        <f aca="true" t="shared" si="1" ref="V10:V253">H10/E10*1000</f>
        <v>488.6834376396961</v>
      </c>
      <c r="W10" s="128">
        <f aca="true" t="shared" si="2" ref="W10:W253">H10/F10</f>
        <v>3.132334813753582</v>
      </c>
      <c r="X10" s="123">
        <f aca="true" t="shared" si="3" ref="X10:AJ10">X11+X22+X87+X98+X134</f>
        <v>5450</v>
      </c>
      <c r="Y10" s="123">
        <f t="shared" si="3"/>
        <v>956</v>
      </c>
      <c r="Z10" s="123">
        <f t="shared" si="3"/>
        <v>956</v>
      </c>
      <c r="AA10" s="124">
        <f t="shared" si="3"/>
        <v>2928.3013499999997</v>
      </c>
      <c r="AB10" s="124">
        <f t="shared" si="3"/>
        <v>2086.10482</v>
      </c>
      <c r="AC10" s="124">
        <f t="shared" si="3"/>
        <v>514.37762</v>
      </c>
      <c r="AD10" s="124">
        <f>AE11+AE22+AE87+AE98+AE134</f>
        <v>410.13602000000003</v>
      </c>
      <c r="AE10" s="124">
        <f t="shared" si="3"/>
        <v>410.13602000000003</v>
      </c>
      <c r="AF10" s="124">
        <f t="shared" si="3"/>
        <v>0</v>
      </c>
      <c r="AG10" s="124">
        <f>AE11+AE22+AE87+AE98+AE134</f>
        <v>410.13602000000003</v>
      </c>
      <c r="AH10" s="124">
        <f t="shared" si="3"/>
        <v>187.33107</v>
      </c>
      <c r="AI10" s="124">
        <f t="shared" si="3"/>
        <v>3791.29</v>
      </c>
      <c r="AJ10" s="124">
        <f t="shared" si="3"/>
        <v>388.75204</v>
      </c>
      <c r="AK10" s="125"/>
      <c r="AL10" s="125"/>
      <c r="AM10" s="125"/>
      <c r="AN10" s="127"/>
      <c r="AO10" s="128">
        <f aca="true" t="shared" si="4" ref="AO10:AO252">AA10/X10*1000</f>
        <v>537.303</v>
      </c>
      <c r="AP10" s="128">
        <f aca="true" t="shared" si="5" ref="AP10:AP249">AA10/Y10</f>
        <v>3.063076725941422</v>
      </c>
      <c r="AQ10" s="123">
        <f>AQ11+AQ22+AQ87+AQ98+AQ134</f>
        <v>5368</v>
      </c>
      <c r="AR10" s="123">
        <f aca="true" t="shared" si="6" ref="AR10:BC10">AR11+AR22+AR87+AR98+AR134</f>
        <v>842.4</v>
      </c>
      <c r="AS10" s="123">
        <f t="shared" si="6"/>
        <v>842.4</v>
      </c>
      <c r="AT10" s="124">
        <f>AT11+AT22+AT87+AT98+AT134</f>
        <v>3659.4418700000006</v>
      </c>
      <c r="AU10" s="124">
        <f t="shared" si="6"/>
        <v>2200.21999</v>
      </c>
      <c r="AV10" s="124">
        <f t="shared" si="6"/>
        <v>518.7105799999999</v>
      </c>
      <c r="AW10" s="124">
        <f>AX11+AX22+AX87+AX98+AX134</f>
        <v>520.14436</v>
      </c>
      <c r="AX10" s="124">
        <f t="shared" si="6"/>
        <v>520.14436</v>
      </c>
      <c r="AY10" s="124">
        <f t="shared" si="6"/>
        <v>0</v>
      </c>
      <c r="AZ10" s="124">
        <f t="shared" si="6"/>
        <v>0</v>
      </c>
      <c r="BA10" s="124">
        <f t="shared" si="6"/>
        <v>265.5072</v>
      </c>
      <c r="BB10" s="124">
        <f t="shared" si="6"/>
        <v>4215.950000000001</v>
      </c>
      <c r="BC10" s="124">
        <f t="shared" si="6"/>
        <v>441.41998</v>
      </c>
      <c r="BD10" s="125"/>
      <c r="BE10" s="125"/>
      <c r="BF10" s="125"/>
      <c r="BG10" s="127"/>
      <c r="BH10" s="128">
        <f aca="true" t="shared" si="7" ref="BH10:BH99">AT10/AQ10*1000</f>
        <v>681.7142082712371</v>
      </c>
      <c r="BI10" s="128">
        <f aca="true" t="shared" si="8" ref="BI10:BI99">AT10/AR10</f>
        <v>4.344066797245965</v>
      </c>
      <c r="BJ10" s="416">
        <f>E10+X10+AQ10</f>
        <v>15292</v>
      </c>
      <c r="BK10" s="416">
        <f aca="true" t="shared" si="9" ref="BK10:BM25">F10+Y10+AR10</f>
        <v>2496.4</v>
      </c>
      <c r="BL10" s="416">
        <f t="shared" si="9"/>
        <v>2496.4</v>
      </c>
      <c r="BM10" s="416">
        <f t="shared" si="9"/>
        <v>8774.11292</v>
      </c>
    </row>
    <row r="11" spans="1:65" s="129" customFormat="1" ht="24" customHeight="1">
      <c r="A11" s="130" t="s">
        <v>114</v>
      </c>
      <c r="B11" s="131" t="s">
        <v>115</v>
      </c>
      <c r="C11" s="132"/>
      <c r="D11" s="133">
        <v>0.4</v>
      </c>
      <c r="E11" s="134">
        <f aca="true" t="shared" si="10" ref="E11:Q11">SUM(E12:E21)</f>
        <v>277</v>
      </c>
      <c r="F11" s="134">
        <f t="shared" si="10"/>
        <v>67</v>
      </c>
      <c r="G11" s="134">
        <f>SUM(G12:G21)</f>
        <v>67</v>
      </c>
      <c r="H11" s="135">
        <f t="shared" si="10"/>
        <v>102.52931000000001</v>
      </c>
      <c r="I11" s="135">
        <f t="shared" si="10"/>
        <v>67.79698</v>
      </c>
      <c r="J11" s="135">
        <f t="shared" si="10"/>
        <v>4.718990000000001</v>
      </c>
      <c r="K11" s="135">
        <f t="shared" si="10"/>
        <v>51.62487999999999</v>
      </c>
      <c r="L11" s="135">
        <f t="shared" si="10"/>
        <v>17.57848</v>
      </c>
      <c r="M11" s="135">
        <f t="shared" si="10"/>
        <v>0</v>
      </c>
      <c r="N11" s="135">
        <f t="shared" si="10"/>
        <v>0</v>
      </c>
      <c r="O11" s="135">
        <f t="shared" si="10"/>
        <v>7.58851</v>
      </c>
      <c r="P11" s="135">
        <f t="shared" si="10"/>
        <v>86.16872</v>
      </c>
      <c r="Q11" s="135">
        <f t="shared" si="10"/>
        <v>38.40121</v>
      </c>
      <c r="R11" s="136"/>
      <c r="S11" s="136"/>
      <c r="T11" s="137"/>
      <c r="U11" s="138"/>
      <c r="V11" s="139">
        <f t="shared" si="1"/>
        <v>370.14191335740077</v>
      </c>
      <c r="W11" s="139">
        <f t="shared" si="2"/>
        <v>1.530288208955224</v>
      </c>
      <c r="X11" s="140">
        <f aca="true" t="shared" si="11" ref="X11:AJ11">SUM(X12:X21)</f>
        <v>36</v>
      </c>
      <c r="Y11" s="134">
        <f t="shared" si="11"/>
        <v>15</v>
      </c>
      <c r="Z11" s="134">
        <f t="shared" si="11"/>
        <v>15</v>
      </c>
      <c r="AA11" s="135">
        <f t="shared" si="11"/>
        <v>16.55536</v>
      </c>
      <c r="AB11" s="135">
        <f t="shared" si="11"/>
        <v>11.60226</v>
      </c>
      <c r="AC11" s="135">
        <f t="shared" si="11"/>
        <v>0.954</v>
      </c>
      <c r="AD11" s="135">
        <f>SUM(AE12:AE21)</f>
        <v>2.50442</v>
      </c>
      <c r="AE11" s="135">
        <f t="shared" si="11"/>
        <v>2.50442</v>
      </c>
      <c r="AF11" s="135">
        <f t="shared" si="11"/>
        <v>0</v>
      </c>
      <c r="AG11" s="135">
        <f>SUM(AE12:AE21)</f>
        <v>2.50442</v>
      </c>
      <c r="AH11" s="135">
        <f t="shared" si="11"/>
        <v>1.08344</v>
      </c>
      <c r="AI11" s="135">
        <f t="shared" si="11"/>
        <v>26.5</v>
      </c>
      <c r="AJ11" s="135">
        <f t="shared" si="11"/>
        <v>8.7039</v>
      </c>
      <c r="AK11" s="136"/>
      <c r="AL11" s="136"/>
      <c r="AM11" s="136"/>
      <c r="AN11" s="138"/>
      <c r="AO11" s="139">
        <f t="shared" si="4"/>
        <v>459.87111111111113</v>
      </c>
      <c r="AP11" s="139">
        <f t="shared" si="5"/>
        <v>1.1036906666666666</v>
      </c>
      <c r="AQ11" s="134">
        <f aca="true" t="shared" si="12" ref="AQ11:BC11">SUM(AQ12:AQ21)</f>
        <v>440</v>
      </c>
      <c r="AR11" s="134">
        <f t="shared" si="12"/>
        <v>12.4</v>
      </c>
      <c r="AS11" s="134">
        <f t="shared" si="12"/>
        <v>12.4</v>
      </c>
      <c r="AT11" s="135">
        <f t="shared" si="12"/>
        <v>349.91191000000003</v>
      </c>
      <c r="AU11" s="135">
        <f t="shared" si="12"/>
        <v>229.41761</v>
      </c>
      <c r="AV11" s="135">
        <f t="shared" si="12"/>
        <v>11.3596</v>
      </c>
      <c r="AW11" s="135">
        <f>SUM(AX12:AX21)</f>
        <v>56.06066</v>
      </c>
      <c r="AX11" s="135">
        <f t="shared" si="12"/>
        <v>56.06066</v>
      </c>
      <c r="AY11" s="135">
        <f t="shared" si="12"/>
        <v>0</v>
      </c>
      <c r="AZ11" s="135">
        <f t="shared" si="12"/>
        <v>0</v>
      </c>
      <c r="BA11" s="135">
        <f t="shared" si="12"/>
        <v>28.54666</v>
      </c>
      <c r="BB11" s="135">
        <f t="shared" si="12"/>
        <v>77.96</v>
      </c>
      <c r="BC11" s="135">
        <f t="shared" si="12"/>
        <v>27.4658</v>
      </c>
      <c r="BD11" s="136"/>
      <c r="BE11" s="136"/>
      <c r="BF11" s="136"/>
      <c r="BG11" s="138"/>
      <c r="BH11" s="139">
        <f t="shared" si="7"/>
        <v>795.254340909091</v>
      </c>
      <c r="BI11" s="139">
        <f t="shared" si="8"/>
        <v>28.21870241935484</v>
      </c>
      <c r="BJ11" s="415">
        <f aca="true" t="shared" si="13" ref="BJ11:BM74">E11+X11+AQ11</f>
        <v>753</v>
      </c>
      <c r="BK11" s="415">
        <f t="shared" si="9"/>
        <v>94.4</v>
      </c>
      <c r="BL11" s="415">
        <f t="shared" si="9"/>
        <v>94.4</v>
      </c>
      <c r="BM11" s="415">
        <f t="shared" si="9"/>
        <v>468.99658000000005</v>
      </c>
    </row>
    <row r="12" spans="1:65" s="129" customFormat="1" ht="18.75" outlineLevel="1">
      <c r="A12" s="141" t="s">
        <v>116</v>
      </c>
      <c r="B12" s="142" t="s">
        <v>117</v>
      </c>
      <c r="C12" s="143" t="s">
        <v>118</v>
      </c>
      <c r="D12" s="144">
        <v>0.4</v>
      </c>
      <c r="E12" s="145">
        <v>90</v>
      </c>
      <c r="F12" s="146">
        <v>15</v>
      </c>
      <c r="G12" s="147">
        <v>15</v>
      </c>
      <c r="H12" s="148">
        <v>29.276</v>
      </c>
      <c r="I12" s="149">
        <v>18.933</v>
      </c>
      <c r="J12" s="149">
        <v>1.4338</v>
      </c>
      <c r="K12" s="149">
        <v>15.04068</v>
      </c>
      <c r="L12" s="149">
        <v>5.21302</v>
      </c>
      <c r="M12" s="149">
        <v>0</v>
      </c>
      <c r="N12" s="149">
        <v>0</v>
      </c>
      <c r="O12" s="149">
        <v>2.27403</v>
      </c>
      <c r="P12" s="149">
        <v>15.932</v>
      </c>
      <c r="Q12" s="149">
        <v>7.52034</v>
      </c>
      <c r="R12" s="150" t="s">
        <v>119</v>
      </c>
      <c r="S12" s="151" t="s">
        <v>120</v>
      </c>
      <c r="T12" s="152"/>
      <c r="U12" s="153">
        <v>16</v>
      </c>
      <c r="V12" s="154">
        <f t="shared" si="1"/>
        <v>325.2888888888889</v>
      </c>
      <c r="W12" s="154">
        <f t="shared" si="2"/>
        <v>1.9517333333333333</v>
      </c>
      <c r="X12" s="155"/>
      <c r="Y12" s="146"/>
      <c r="Z12" s="147"/>
      <c r="AA12" s="148"/>
      <c r="AB12" s="149"/>
      <c r="AC12" s="149"/>
      <c r="AD12" s="149"/>
      <c r="AE12" s="149"/>
      <c r="AF12" s="149"/>
      <c r="AG12" s="149"/>
      <c r="AH12" s="149"/>
      <c r="AI12" s="149"/>
      <c r="AJ12" s="149"/>
      <c r="AK12" s="156"/>
      <c r="AL12" s="156"/>
      <c r="AM12" s="156"/>
      <c r="AN12" s="153"/>
      <c r="AO12" s="154" t="e">
        <f t="shared" si="4"/>
        <v>#DIV/0!</v>
      </c>
      <c r="AP12" s="154" t="e">
        <f t="shared" si="5"/>
        <v>#DIV/0!</v>
      </c>
      <c r="AQ12" s="145"/>
      <c r="AR12" s="146"/>
      <c r="AS12" s="147"/>
      <c r="AT12" s="148"/>
      <c r="AU12" s="149"/>
      <c r="AV12" s="149"/>
      <c r="AW12" s="149"/>
      <c r="AX12" s="149"/>
      <c r="AY12" s="149"/>
      <c r="AZ12" s="149"/>
      <c r="BA12" s="149"/>
      <c r="BB12" s="149"/>
      <c r="BC12" s="149"/>
      <c r="BD12" s="156"/>
      <c r="BE12" s="156"/>
      <c r="BF12" s="156"/>
      <c r="BG12" s="153"/>
      <c r="BH12" s="154" t="e">
        <f t="shared" si="7"/>
        <v>#DIV/0!</v>
      </c>
      <c r="BI12" s="154" t="e">
        <f t="shared" si="8"/>
        <v>#DIV/0!</v>
      </c>
      <c r="BJ12" s="415">
        <f t="shared" si="13"/>
        <v>90</v>
      </c>
      <c r="BK12" s="415">
        <f t="shared" si="9"/>
        <v>15</v>
      </c>
      <c r="BL12" s="415">
        <f t="shared" si="9"/>
        <v>15</v>
      </c>
      <c r="BM12" s="415">
        <f t="shared" si="9"/>
        <v>29.276</v>
      </c>
    </row>
    <row r="13" spans="1:65" s="129" customFormat="1" ht="18.75" outlineLevel="1">
      <c r="A13" s="141" t="s">
        <v>121</v>
      </c>
      <c r="B13" s="157" t="s">
        <v>122</v>
      </c>
      <c r="C13" s="143" t="s">
        <v>123</v>
      </c>
      <c r="D13" s="144">
        <v>0.4</v>
      </c>
      <c r="E13" s="145">
        <v>30</v>
      </c>
      <c r="F13" s="146">
        <v>12</v>
      </c>
      <c r="G13" s="147">
        <v>12</v>
      </c>
      <c r="H13" s="148">
        <v>14.489</v>
      </c>
      <c r="I13" s="149">
        <v>9.88977</v>
      </c>
      <c r="J13" s="149">
        <v>0.47797</v>
      </c>
      <c r="K13" s="149">
        <v>7.52</v>
      </c>
      <c r="L13" s="149">
        <v>2.35897</v>
      </c>
      <c r="M13" s="149">
        <v>0</v>
      </c>
      <c r="N13" s="149">
        <v>0</v>
      </c>
      <c r="O13" s="149">
        <v>0.98866</v>
      </c>
      <c r="P13" s="149">
        <v>15.93233</v>
      </c>
      <c r="Q13" s="149">
        <v>7.52</v>
      </c>
      <c r="R13" s="150" t="s">
        <v>119</v>
      </c>
      <c r="S13" s="151" t="s">
        <v>120</v>
      </c>
      <c r="T13" s="152"/>
      <c r="U13" s="153">
        <v>24</v>
      </c>
      <c r="V13" s="154">
        <f t="shared" si="1"/>
        <v>482.9666666666667</v>
      </c>
      <c r="W13" s="154">
        <f t="shared" si="2"/>
        <v>1.2074166666666668</v>
      </c>
      <c r="X13" s="155"/>
      <c r="Y13" s="146"/>
      <c r="Z13" s="147"/>
      <c r="AA13" s="148"/>
      <c r="AB13" s="149"/>
      <c r="AC13" s="149"/>
      <c r="AD13" s="149"/>
      <c r="AE13" s="149"/>
      <c r="AF13" s="149"/>
      <c r="AG13" s="149"/>
      <c r="AH13" s="149"/>
      <c r="AI13" s="149"/>
      <c r="AJ13" s="149"/>
      <c r="AK13" s="156"/>
      <c r="AL13" s="156"/>
      <c r="AM13" s="156"/>
      <c r="AN13" s="153"/>
      <c r="AO13" s="154" t="e">
        <f t="shared" si="4"/>
        <v>#DIV/0!</v>
      </c>
      <c r="AP13" s="154" t="e">
        <f t="shared" si="5"/>
        <v>#DIV/0!</v>
      </c>
      <c r="AQ13" s="145"/>
      <c r="AR13" s="146"/>
      <c r="AS13" s="147"/>
      <c r="AT13" s="148"/>
      <c r="AU13" s="149"/>
      <c r="AV13" s="149"/>
      <c r="AW13" s="149"/>
      <c r="AX13" s="149"/>
      <c r="AY13" s="149"/>
      <c r="AZ13" s="149"/>
      <c r="BA13" s="149"/>
      <c r="BB13" s="149"/>
      <c r="BC13" s="149"/>
      <c r="BD13" s="156"/>
      <c r="BE13" s="156"/>
      <c r="BF13" s="156"/>
      <c r="BG13" s="153"/>
      <c r="BH13" s="154" t="e">
        <f t="shared" si="7"/>
        <v>#DIV/0!</v>
      </c>
      <c r="BI13" s="154" t="e">
        <f t="shared" si="8"/>
        <v>#DIV/0!</v>
      </c>
      <c r="BJ13" s="415">
        <f t="shared" si="13"/>
        <v>30</v>
      </c>
      <c r="BK13" s="415">
        <f t="shared" si="9"/>
        <v>12</v>
      </c>
      <c r="BL13" s="415">
        <f t="shared" si="9"/>
        <v>12</v>
      </c>
      <c r="BM13" s="415">
        <f t="shared" si="9"/>
        <v>14.489</v>
      </c>
    </row>
    <row r="14" spans="1:65" s="129" customFormat="1" ht="18.75" outlineLevel="1">
      <c r="A14" s="141" t="s">
        <v>124</v>
      </c>
      <c r="B14" s="142" t="s">
        <v>125</v>
      </c>
      <c r="C14" s="143" t="s">
        <v>126</v>
      </c>
      <c r="D14" s="144">
        <v>0.4</v>
      </c>
      <c r="E14" s="145">
        <v>70</v>
      </c>
      <c r="F14" s="146">
        <v>15</v>
      </c>
      <c r="G14" s="147">
        <v>15</v>
      </c>
      <c r="H14" s="148">
        <v>29.52297</v>
      </c>
      <c r="I14" s="149">
        <v>20.01441</v>
      </c>
      <c r="J14" s="149">
        <v>1.11525</v>
      </c>
      <c r="K14" s="149">
        <v>14.5322</v>
      </c>
      <c r="L14" s="149">
        <v>4.81913</v>
      </c>
      <c r="M14" s="149">
        <v>0</v>
      </c>
      <c r="N14" s="149">
        <v>0</v>
      </c>
      <c r="O14" s="149">
        <v>2.06825</v>
      </c>
      <c r="P14" s="149">
        <v>15.93214</v>
      </c>
      <c r="Q14" s="149">
        <v>7.266</v>
      </c>
      <c r="R14" s="150" t="s">
        <v>119</v>
      </c>
      <c r="S14" s="151" t="s">
        <v>120</v>
      </c>
      <c r="T14" s="152"/>
      <c r="U14" s="153">
        <v>54</v>
      </c>
      <c r="V14" s="154">
        <f t="shared" si="1"/>
        <v>421.75671428571434</v>
      </c>
      <c r="W14" s="154">
        <f t="shared" si="2"/>
        <v>1.9681980000000001</v>
      </c>
      <c r="X14" s="155"/>
      <c r="Y14" s="146"/>
      <c r="Z14" s="147"/>
      <c r="AA14" s="148"/>
      <c r="AB14" s="149"/>
      <c r="AC14" s="149"/>
      <c r="AD14" s="149"/>
      <c r="AE14" s="149"/>
      <c r="AF14" s="149"/>
      <c r="AG14" s="149"/>
      <c r="AH14" s="149"/>
      <c r="AI14" s="149"/>
      <c r="AJ14" s="149"/>
      <c r="AK14" s="156"/>
      <c r="AL14" s="156"/>
      <c r="AM14" s="156"/>
      <c r="AN14" s="153"/>
      <c r="AO14" s="154" t="e">
        <f t="shared" si="4"/>
        <v>#DIV/0!</v>
      </c>
      <c r="AP14" s="154" t="e">
        <f t="shared" si="5"/>
        <v>#DIV/0!</v>
      </c>
      <c r="AQ14" s="145"/>
      <c r="AR14" s="146"/>
      <c r="AS14" s="147"/>
      <c r="AT14" s="148"/>
      <c r="AU14" s="149"/>
      <c r="AV14" s="149"/>
      <c r="AW14" s="149"/>
      <c r="AX14" s="149"/>
      <c r="AY14" s="149"/>
      <c r="AZ14" s="149"/>
      <c r="BA14" s="149"/>
      <c r="BB14" s="149"/>
      <c r="BC14" s="149"/>
      <c r="BD14" s="156"/>
      <c r="BE14" s="156"/>
      <c r="BF14" s="156"/>
      <c r="BG14" s="153"/>
      <c r="BH14" s="154" t="e">
        <f t="shared" si="7"/>
        <v>#DIV/0!</v>
      </c>
      <c r="BI14" s="154" t="e">
        <f t="shared" si="8"/>
        <v>#DIV/0!</v>
      </c>
      <c r="BJ14" s="415">
        <f t="shared" si="13"/>
        <v>70</v>
      </c>
      <c r="BK14" s="415">
        <f t="shared" si="9"/>
        <v>15</v>
      </c>
      <c r="BL14" s="415">
        <f t="shared" si="9"/>
        <v>15</v>
      </c>
      <c r="BM14" s="415">
        <f t="shared" si="9"/>
        <v>29.52297</v>
      </c>
    </row>
    <row r="15" spans="1:65" s="129" customFormat="1" ht="18.75" outlineLevel="1">
      <c r="A15" s="141" t="s">
        <v>127</v>
      </c>
      <c r="B15" s="142" t="s">
        <v>128</v>
      </c>
      <c r="C15" s="158" t="s">
        <v>129</v>
      </c>
      <c r="D15" s="144">
        <v>0.4</v>
      </c>
      <c r="E15" s="145">
        <v>47</v>
      </c>
      <c r="F15" s="146">
        <v>15</v>
      </c>
      <c r="G15" s="147">
        <v>15</v>
      </c>
      <c r="H15" s="148">
        <v>3.135</v>
      </c>
      <c r="I15" s="149">
        <v>1.055</v>
      </c>
      <c r="J15" s="149">
        <v>1.05468</v>
      </c>
      <c r="K15" s="149">
        <v>0</v>
      </c>
      <c r="L15" s="149">
        <v>1.014</v>
      </c>
      <c r="M15" s="149">
        <v>0</v>
      </c>
      <c r="N15" s="149">
        <v>0</v>
      </c>
      <c r="O15" s="149">
        <v>0.498</v>
      </c>
      <c r="P15" s="149">
        <v>22.44</v>
      </c>
      <c r="Q15" s="149">
        <v>8.82887</v>
      </c>
      <c r="R15" s="150" t="s">
        <v>119</v>
      </c>
      <c r="S15" s="151" t="s">
        <v>120</v>
      </c>
      <c r="T15" s="152"/>
      <c r="U15" s="153">
        <v>207</v>
      </c>
      <c r="V15" s="154">
        <f t="shared" si="1"/>
        <v>66.70212765957446</v>
      </c>
      <c r="W15" s="154">
        <f t="shared" si="2"/>
        <v>0.209</v>
      </c>
      <c r="X15" s="155"/>
      <c r="Y15" s="146"/>
      <c r="Z15" s="147"/>
      <c r="AA15" s="148"/>
      <c r="AB15" s="149"/>
      <c r="AC15" s="149"/>
      <c r="AD15" s="149"/>
      <c r="AE15" s="149"/>
      <c r="AF15" s="149"/>
      <c r="AG15" s="149"/>
      <c r="AH15" s="149"/>
      <c r="AI15" s="149"/>
      <c r="AJ15" s="149"/>
      <c r="AK15" s="156"/>
      <c r="AL15" s="156"/>
      <c r="AM15" s="156"/>
      <c r="AN15" s="153"/>
      <c r="AO15" s="154" t="e">
        <f t="shared" si="4"/>
        <v>#DIV/0!</v>
      </c>
      <c r="AP15" s="154" t="e">
        <f t="shared" si="5"/>
        <v>#DIV/0!</v>
      </c>
      <c r="AQ15" s="145"/>
      <c r="AR15" s="146"/>
      <c r="AS15" s="147"/>
      <c r="AT15" s="148"/>
      <c r="AU15" s="149"/>
      <c r="AV15" s="149"/>
      <c r="AW15" s="149"/>
      <c r="AX15" s="149"/>
      <c r="AY15" s="149"/>
      <c r="AZ15" s="149"/>
      <c r="BA15" s="149"/>
      <c r="BB15" s="149"/>
      <c r="BC15" s="149"/>
      <c r="BD15" s="156"/>
      <c r="BE15" s="156"/>
      <c r="BF15" s="156"/>
      <c r="BG15" s="153"/>
      <c r="BH15" s="154" t="e">
        <f t="shared" si="7"/>
        <v>#DIV/0!</v>
      </c>
      <c r="BI15" s="154" t="e">
        <f t="shared" si="8"/>
        <v>#DIV/0!</v>
      </c>
      <c r="BJ15" s="415">
        <f t="shared" si="13"/>
        <v>47</v>
      </c>
      <c r="BK15" s="415">
        <f t="shared" si="9"/>
        <v>15</v>
      </c>
      <c r="BL15" s="415">
        <f t="shared" si="9"/>
        <v>15</v>
      </c>
      <c r="BM15" s="415">
        <f t="shared" si="9"/>
        <v>3.135</v>
      </c>
    </row>
    <row r="16" spans="1:65" s="129" customFormat="1" ht="18.75" outlineLevel="1">
      <c r="A16" s="141" t="s">
        <v>130</v>
      </c>
      <c r="B16" s="142" t="s">
        <v>131</v>
      </c>
      <c r="C16" s="143" t="s">
        <v>132</v>
      </c>
      <c r="D16" s="144">
        <v>0.4</v>
      </c>
      <c r="E16" s="145">
        <v>40</v>
      </c>
      <c r="F16" s="146">
        <v>10</v>
      </c>
      <c r="G16" s="147">
        <v>10</v>
      </c>
      <c r="H16" s="148">
        <v>26.10634</v>
      </c>
      <c r="I16" s="149">
        <v>17.9048</v>
      </c>
      <c r="J16" s="149">
        <v>0.63729</v>
      </c>
      <c r="K16" s="149">
        <v>14.532</v>
      </c>
      <c r="L16" s="149">
        <v>4.17336</v>
      </c>
      <c r="M16" s="149">
        <v>0</v>
      </c>
      <c r="N16" s="149">
        <v>0</v>
      </c>
      <c r="O16" s="149">
        <v>1.75957</v>
      </c>
      <c r="P16" s="149">
        <v>15.93225</v>
      </c>
      <c r="Q16" s="149">
        <v>7.266</v>
      </c>
      <c r="R16" s="150" t="s">
        <v>119</v>
      </c>
      <c r="S16" s="151" t="s">
        <v>120</v>
      </c>
      <c r="T16" s="152"/>
      <c r="U16" s="153">
        <v>58</v>
      </c>
      <c r="V16" s="154">
        <f t="shared" si="1"/>
        <v>652.6585</v>
      </c>
      <c r="W16" s="154">
        <f t="shared" si="2"/>
        <v>2.610634</v>
      </c>
      <c r="X16" s="155"/>
      <c r="Y16" s="146"/>
      <c r="Z16" s="147"/>
      <c r="AA16" s="148"/>
      <c r="AB16" s="149"/>
      <c r="AC16" s="149"/>
      <c r="AD16" s="149"/>
      <c r="AE16" s="149"/>
      <c r="AF16" s="149"/>
      <c r="AG16" s="149"/>
      <c r="AH16" s="149"/>
      <c r="AI16" s="149"/>
      <c r="AJ16" s="149"/>
      <c r="AK16" s="156"/>
      <c r="AL16" s="156"/>
      <c r="AM16" s="156"/>
      <c r="AN16" s="153"/>
      <c r="AO16" s="154" t="e">
        <f t="shared" si="4"/>
        <v>#DIV/0!</v>
      </c>
      <c r="AP16" s="154" t="e">
        <f t="shared" si="5"/>
        <v>#DIV/0!</v>
      </c>
      <c r="AQ16" s="145"/>
      <c r="AR16" s="146"/>
      <c r="AS16" s="147"/>
      <c r="AT16" s="148"/>
      <c r="AU16" s="149"/>
      <c r="AV16" s="149"/>
      <c r="AW16" s="149"/>
      <c r="AX16" s="149"/>
      <c r="AY16" s="149"/>
      <c r="AZ16" s="149"/>
      <c r="BA16" s="149"/>
      <c r="BB16" s="149"/>
      <c r="BC16" s="149"/>
      <c r="BD16" s="156"/>
      <c r="BE16" s="156"/>
      <c r="BF16" s="156"/>
      <c r="BG16" s="153"/>
      <c r="BH16" s="154" t="e">
        <f t="shared" si="7"/>
        <v>#DIV/0!</v>
      </c>
      <c r="BI16" s="154" t="e">
        <f t="shared" si="8"/>
        <v>#DIV/0!</v>
      </c>
      <c r="BJ16" s="415">
        <f t="shared" si="13"/>
        <v>40</v>
      </c>
      <c r="BK16" s="415">
        <f t="shared" si="9"/>
        <v>10</v>
      </c>
      <c r="BL16" s="415">
        <f t="shared" si="9"/>
        <v>10</v>
      </c>
      <c r="BM16" s="415">
        <f t="shared" si="9"/>
        <v>26.10634</v>
      </c>
    </row>
    <row r="17" spans="1:65" s="129" customFormat="1" ht="20.25" outlineLevel="1">
      <c r="A17" s="141" t="s">
        <v>133</v>
      </c>
      <c r="B17" s="159" t="s">
        <v>134</v>
      </c>
      <c r="C17" s="160" t="s">
        <v>135</v>
      </c>
      <c r="D17" s="144">
        <v>0.4</v>
      </c>
      <c r="E17" s="161"/>
      <c r="F17" s="161"/>
      <c r="G17" s="161"/>
      <c r="H17" s="162"/>
      <c r="I17" s="149"/>
      <c r="J17" s="149"/>
      <c r="K17" s="149"/>
      <c r="L17" s="149"/>
      <c r="M17" s="149"/>
      <c r="N17" s="149"/>
      <c r="O17" s="149"/>
      <c r="P17" s="149"/>
      <c r="Q17" s="149"/>
      <c r="R17" s="156"/>
      <c r="S17" s="156"/>
      <c r="T17" s="152"/>
      <c r="U17" s="153"/>
      <c r="V17" s="154" t="e">
        <f t="shared" si="1"/>
        <v>#DIV/0!</v>
      </c>
      <c r="W17" s="154" t="e">
        <f t="shared" si="2"/>
        <v>#DIV/0!</v>
      </c>
      <c r="X17" s="163">
        <v>36</v>
      </c>
      <c r="Y17" s="161">
        <v>15</v>
      </c>
      <c r="Z17" s="161">
        <v>15</v>
      </c>
      <c r="AA17" s="162">
        <v>16.55536</v>
      </c>
      <c r="AB17" s="149">
        <v>11.60226</v>
      </c>
      <c r="AC17" s="149">
        <v>0.954</v>
      </c>
      <c r="AD17" s="149">
        <v>8.7039</v>
      </c>
      <c r="AE17" s="149">
        <v>2.50442</v>
      </c>
      <c r="AF17" s="149">
        <v>0</v>
      </c>
      <c r="AG17" s="149">
        <v>0</v>
      </c>
      <c r="AH17" s="149">
        <v>1.08344</v>
      </c>
      <c r="AI17" s="149">
        <v>26.5</v>
      </c>
      <c r="AJ17" s="149">
        <v>8.7039</v>
      </c>
      <c r="AK17" s="150" t="s">
        <v>119</v>
      </c>
      <c r="AL17" s="150" t="s">
        <v>120</v>
      </c>
      <c r="AM17" s="156"/>
      <c r="AN17" s="153">
        <v>178</v>
      </c>
      <c r="AO17" s="154">
        <f t="shared" si="4"/>
        <v>459.87111111111113</v>
      </c>
      <c r="AP17" s="154">
        <f t="shared" si="5"/>
        <v>1.1036906666666666</v>
      </c>
      <c r="AQ17" s="161"/>
      <c r="AR17" s="161"/>
      <c r="AS17" s="161"/>
      <c r="AT17" s="162"/>
      <c r="AU17" s="149"/>
      <c r="AV17" s="149"/>
      <c r="AW17" s="149"/>
      <c r="AX17" s="149"/>
      <c r="AY17" s="149"/>
      <c r="AZ17" s="149"/>
      <c r="BA17" s="149"/>
      <c r="BB17" s="149"/>
      <c r="BC17" s="149"/>
      <c r="BD17" s="156"/>
      <c r="BE17" s="156"/>
      <c r="BF17" s="156"/>
      <c r="BG17" s="153"/>
      <c r="BH17" s="154" t="e">
        <f t="shared" si="7"/>
        <v>#DIV/0!</v>
      </c>
      <c r="BI17" s="154" t="e">
        <f t="shared" si="8"/>
        <v>#DIV/0!</v>
      </c>
      <c r="BJ17" s="415">
        <f t="shared" si="13"/>
        <v>36</v>
      </c>
      <c r="BK17" s="415">
        <f t="shared" si="9"/>
        <v>15</v>
      </c>
      <c r="BL17" s="415">
        <f t="shared" si="9"/>
        <v>15</v>
      </c>
      <c r="BM17" s="415">
        <f t="shared" si="9"/>
        <v>16.55536</v>
      </c>
    </row>
    <row r="18" spans="1:65" s="129" customFormat="1" ht="18.75" outlineLevel="1">
      <c r="A18" s="141" t="s">
        <v>136</v>
      </c>
      <c r="B18" s="164" t="s">
        <v>137</v>
      </c>
      <c r="C18" s="143" t="s">
        <v>138</v>
      </c>
      <c r="D18" s="144">
        <v>0.4</v>
      </c>
      <c r="E18" s="145"/>
      <c r="F18" s="146"/>
      <c r="G18" s="165"/>
      <c r="H18" s="166"/>
      <c r="I18" s="149"/>
      <c r="J18" s="149"/>
      <c r="K18" s="149"/>
      <c r="L18" s="149"/>
      <c r="M18" s="149"/>
      <c r="N18" s="149"/>
      <c r="O18" s="149"/>
      <c r="P18" s="149"/>
      <c r="Q18" s="149"/>
      <c r="R18" s="156"/>
      <c r="S18" s="156"/>
      <c r="T18" s="152"/>
      <c r="U18" s="153"/>
      <c r="V18" s="154" t="e">
        <f t="shared" si="1"/>
        <v>#DIV/0!</v>
      </c>
      <c r="W18" s="154" t="e">
        <f t="shared" si="2"/>
        <v>#DIV/0!</v>
      </c>
      <c r="X18" s="155"/>
      <c r="Y18" s="146"/>
      <c r="Z18" s="165"/>
      <c r="AA18" s="166"/>
      <c r="AB18" s="149"/>
      <c r="AC18" s="149"/>
      <c r="AD18" s="149"/>
      <c r="AE18" s="149"/>
      <c r="AF18" s="149"/>
      <c r="AG18" s="149"/>
      <c r="AH18" s="149"/>
      <c r="AI18" s="149"/>
      <c r="AJ18" s="149"/>
      <c r="AK18" s="156"/>
      <c r="AL18" s="156"/>
      <c r="AM18" s="156"/>
      <c r="AN18" s="153"/>
      <c r="AO18" s="154" t="e">
        <f t="shared" si="4"/>
        <v>#DIV/0!</v>
      </c>
      <c r="AP18" s="154" t="e">
        <f t="shared" si="5"/>
        <v>#DIV/0!</v>
      </c>
      <c r="AQ18" s="145">
        <v>40</v>
      </c>
      <c r="AR18" s="167">
        <v>0.8</v>
      </c>
      <c r="AS18" s="168">
        <v>0.8</v>
      </c>
      <c r="AT18" s="166">
        <v>32.81042</v>
      </c>
      <c r="AU18" s="149">
        <v>22.01876</v>
      </c>
      <c r="AV18" s="149">
        <v>1.0296</v>
      </c>
      <c r="AW18" s="149">
        <v>17.94716</v>
      </c>
      <c r="AX18" s="149">
        <v>4.92896</v>
      </c>
      <c r="AY18" s="149">
        <v>0</v>
      </c>
      <c r="AZ18" s="149">
        <v>0</v>
      </c>
      <c r="BA18" s="149">
        <v>2.59162</v>
      </c>
      <c r="BB18" s="149">
        <v>25.74</v>
      </c>
      <c r="BC18" s="149">
        <v>8.97358</v>
      </c>
      <c r="BD18" s="150" t="s">
        <v>119</v>
      </c>
      <c r="BE18" s="151" t="s">
        <v>120</v>
      </c>
      <c r="BF18" s="156"/>
      <c r="BG18" s="153">
        <v>125</v>
      </c>
      <c r="BH18" s="154">
        <f t="shared" si="7"/>
        <v>820.2605000000001</v>
      </c>
      <c r="BI18" s="154">
        <f t="shared" si="8"/>
        <v>41.013025</v>
      </c>
      <c r="BJ18" s="415">
        <f t="shared" si="13"/>
        <v>40</v>
      </c>
      <c r="BK18" s="415">
        <f t="shared" si="9"/>
        <v>0.8</v>
      </c>
      <c r="BL18" s="415">
        <f t="shared" si="9"/>
        <v>0.8</v>
      </c>
      <c r="BM18" s="415">
        <f t="shared" si="9"/>
        <v>32.81042</v>
      </c>
    </row>
    <row r="19" spans="1:65" s="129" customFormat="1" ht="18.75" outlineLevel="1">
      <c r="A19" s="141" t="s">
        <v>139</v>
      </c>
      <c r="B19" s="164" t="s">
        <v>137</v>
      </c>
      <c r="C19" s="143" t="s">
        <v>140</v>
      </c>
      <c r="D19" s="144">
        <v>0.4</v>
      </c>
      <c r="E19" s="145"/>
      <c r="F19" s="146"/>
      <c r="G19" s="165"/>
      <c r="H19" s="166"/>
      <c r="I19" s="149"/>
      <c r="J19" s="149"/>
      <c r="K19" s="149"/>
      <c r="L19" s="149"/>
      <c r="M19" s="149"/>
      <c r="N19" s="149"/>
      <c r="O19" s="149"/>
      <c r="P19" s="149"/>
      <c r="Q19" s="149"/>
      <c r="R19" s="156"/>
      <c r="S19" s="156"/>
      <c r="T19" s="152"/>
      <c r="U19" s="153"/>
      <c r="V19" s="154" t="e">
        <f t="shared" si="1"/>
        <v>#DIV/0!</v>
      </c>
      <c r="W19" s="154" t="e">
        <f t="shared" si="2"/>
        <v>#DIV/0!</v>
      </c>
      <c r="X19" s="155"/>
      <c r="Y19" s="146"/>
      <c r="Z19" s="165"/>
      <c r="AA19" s="166"/>
      <c r="AB19" s="149"/>
      <c r="AC19" s="149"/>
      <c r="AD19" s="149"/>
      <c r="AE19" s="149"/>
      <c r="AF19" s="149"/>
      <c r="AG19" s="149"/>
      <c r="AH19" s="149"/>
      <c r="AI19" s="149"/>
      <c r="AJ19" s="149"/>
      <c r="AK19" s="156"/>
      <c r="AL19" s="156"/>
      <c r="AM19" s="156"/>
      <c r="AN19" s="153"/>
      <c r="AO19" s="154" t="e">
        <f t="shared" si="4"/>
        <v>#DIV/0!</v>
      </c>
      <c r="AP19" s="154" t="e">
        <f t="shared" si="5"/>
        <v>#DIV/0!</v>
      </c>
      <c r="AQ19" s="145">
        <v>350</v>
      </c>
      <c r="AR19" s="167">
        <v>1.6</v>
      </c>
      <c r="AS19" s="168">
        <v>1.6</v>
      </c>
      <c r="AT19" s="166">
        <v>298.40715</v>
      </c>
      <c r="AU19" s="149">
        <v>194.89087</v>
      </c>
      <c r="AV19" s="149">
        <v>9.0055</v>
      </c>
      <c r="AW19" s="149">
        <f>89.7358+53.84148+26.92074</f>
        <v>170.49802</v>
      </c>
      <c r="AX19" s="149">
        <v>48.15901</v>
      </c>
      <c r="AY19" s="149">
        <v>0</v>
      </c>
      <c r="AZ19" s="149">
        <v>0</v>
      </c>
      <c r="BA19" s="149">
        <v>24.53709</v>
      </c>
      <c r="BB19" s="149">
        <v>25.73</v>
      </c>
      <c r="BC19" s="149">
        <v>8.97358</v>
      </c>
      <c r="BD19" s="150" t="s">
        <v>119</v>
      </c>
      <c r="BE19" s="151" t="s">
        <v>120</v>
      </c>
      <c r="BF19" s="156"/>
      <c r="BG19" s="153">
        <v>134</v>
      </c>
      <c r="BH19" s="154">
        <f t="shared" si="7"/>
        <v>852.5918571428572</v>
      </c>
      <c r="BI19" s="154">
        <f t="shared" si="8"/>
        <v>186.50446875</v>
      </c>
      <c r="BJ19" s="415">
        <f t="shared" si="13"/>
        <v>350</v>
      </c>
      <c r="BK19" s="415">
        <f t="shared" si="9"/>
        <v>1.6</v>
      </c>
      <c r="BL19" s="415">
        <f t="shared" si="9"/>
        <v>1.6</v>
      </c>
      <c r="BM19" s="415">
        <f t="shared" si="9"/>
        <v>298.40715</v>
      </c>
    </row>
    <row r="20" spans="1:65" s="129" customFormat="1" ht="18.75" outlineLevel="1">
      <c r="A20" s="141" t="s">
        <v>141</v>
      </c>
      <c r="B20" s="164" t="s">
        <v>142</v>
      </c>
      <c r="C20" s="169" t="s">
        <v>143</v>
      </c>
      <c r="D20" s="144">
        <v>0.4</v>
      </c>
      <c r="E20" s="145"/>
      <c r="F20" s="146"/>
      <c r="G20" s="165"/>
      <c r="H20" s="166"/>
      <c r="I20" s="149"/>
      <c r="J20" s="149"/>
      <c r="K20" s="149"/>
      <c r="L20" s="149"/>
      <c r="M20" s="149"/>
      <c r="N20" s="149"/>
      <c r="O20" s="149"/>
      <c r="P20" s="149"/>
      <c r="Q20" s="149"/>
      <c r="R20" s="156"/>
      <c r="S20" s="156"/>
      <c r="T20" s="152"/>
      <c r="U20" s="153"/>
      <c r="V20" s="154" t="e">
        <f t="shared" si="1"/>
        <v>#DIV/0!</v>
      </c>
      <c r="W20" s="154" t="e">
        <f t="shared" si="2"/>
        <v>#DIV/0!</v>
      </c>
      <c r="X20" s="155"/>
      <c r="Y20" s="146"/>
      <c r="Z20" s="165"/>
      <c r="AA20" s="166"/>
      <c r="AB20" s="149"/>
      <c r="AC20" s="149"/>
      <c r="AD20" s="149"/>
      <c r="AE20" s="149"/>
      <c r="AF20" s="149"/>
      <c r="AG20" s="149"/>
      <c r="AH20" s="149"/>
      <c r="AI20" s="149"/>
      <c r="AJ20" s="149"/>
      <c r="AK20" s="156"/>
      <c r="AL20" s="156"/>
      <c r="AM20" s="156"/>
      <c r="AN20" s="153"/>
      <c r="AO20" s="154" t="e">
        <f t="shared" si="4"/>
        <v>#DIV/0!</v>
      </c>
      <c r="AP20" s="154" t="e">
        <f t="shared" si="5"/>
        <v>#DIV/0!</v>
      </c>
      <c r="AQ20" s="145">
        <v>50</v>
      </c>
      <c r="AR20" s="146">
        <v>10</v>
      </c>
      <c r="AS20" s="147">
        <v>10</v>
      </c>
      <c r="AT20" s="166">
        <v>18.69434</v>
      </c>
      <c r="AU20" s="149">
        <v>12.50798</v>
      </c>
      <c r="AV20" s="149">
        <v>1.3245</v>
      </c>
      <c r="AW20" s="149">
        <v>9.51864</v>
      </c>
      <c r="AX20" s="149">
        <v>2.97269</v>
      </c>
      <c r="AY20" s="149">
        <v>0</v>
      </c>
      <c r="AZ20" s="149">
        <v>0</v>
      </c>
      <c r="BA20" s="149">
        <v>1.41795</v>
      </c>
      <c r="BB20" s="149">
        <v>26.49</v>
      </c>
      <c r="BC20" s="149">
        <v>9.51864</v>
      </c>
      <c r="BD20" s="150" t="s">
        <v>119</v>
      </c>
      <c r="BE20" s="151" t="s">
        <v>120</v>
      </c>
      <c r="BF20" s="156"/>
      <c r="BG20" s="153">
        <v>160</v>
      </c>
      <c r="BH20" s="154">
        <f t="shared" si="7"/>
        <v>373.8868</v>
      </c>
      <c r="BI20" s="154">
        <f t="shared" si="8"/>
        <v>1.869434</v>
      </c>
      <c r="BJ20" s="415">
        <f t="shared" si="13"/>
        <v>50</v>
      </c>
      <c r="BK20" s="415">
        <f t="shared" si="9"/>
        <v>10</v>
      </c>
      <c r="BL20" s="415">
        <f t="shared" si="9"/>
        <v>10</v>
      </c>
      <c r="BM20" s="415">
        <f t="shared" si="9"/>
        <v>18.69434</v>
      </c>
    </row>
    <row r="21" spans="1:65" s="129" customFormat="1" ht="14.25">
      <c r="A21" s="141"/>
      <c r="B21" s="170"/>
      <c r="C21" s="143"/>
      <c r="D21" s="144"/>
      <c r="E21" s="145"/>
      <c r="F21" s="146"/>
      <c r="G21" s="165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6"/>
      <c r="S21" s="156"/>
      <c r="T21" s="152"/>
      <c r="U21" s="153"/>
      <c r="V21" s="154" t="e">
        <f t="shared" si="1"/>
        <v>#DIV/0!</v>
      </c>
      <c r="W21" s="154" t="e">
        <f t="shared" si="2"/>
        <v>#DIV/0!</v>
      </c>
      <c r="X21" s="155"/>
      <c r="Y21" s="146"/>
      <c r="Z21" s="165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56"/>
      <c r="AL21" s="156"/>
      <c r="AM21" s="156"/>
      <c r="AN21" s="153"/>
      <c r="AO21" s="154" t="e">
        <f t="shared" si="4"/>
        <v>#DIV/0!</v>
      </c>
      <c r="AP21" s="154" t="e">
        <f t="shared" si="5"/>
        <v>#DIV/0!</v>
      </c>
      <c r="AQ21" s="145"/>
      <c r="AR21" s="146"/>
      <c r="AS21" s="147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56"/>
      <c r="BE21" s="156"/>
      <c r="BF21" s="156"/>
      <c r="BG21" s="153"/>
      <c r="BH21" s="154" t="e">
        <f t="shared" si="7"/>
        <v>#DIV/0!</v>
      </c>
      <c r="BI21" s="154" t="e">
        <f t="shared" si="8"/>
        <v>#DIV/0!</v>
      </c>
      <c r="BJ21" s="415">
        <f t="shared" si="13"/>
        <v>0</v>
      </c>
      <c r="BK21" s="415">
        <f t="shared" si="9"/>
        <v>0</v>
      </c>
      <c r="BL21" s="415">
        <f t="shared" si="9"/>
        <v>0</v>
      </c>
      <c r="BM21" s="415">
        <f t="shared" si="9"/>
        <v>0</v>
      </c>
    </row>
    <row r="22" spans="1:65" s="129" customFormat="1" ht="24" customHeight="1">
      <c r="A22" s="130" t="s">
        <v>144</v>
      </c>
      <c r="B22" s="131" t="s">
        <v>145</v>
      </c>
      <c r="C22" s="132"/>
      <c r="D22" s="133">
        <v>0.4</v>
      </c>
      <c r="E22" s="134">
        <f aca="true" t="shared" si="14" ref="E22:Q22">SUM(E23:E86)</f>
        <v>1929</v>
      </c>
      <c r="F22" s="134">
        <f t="shared" si="14"/>
        <v>406</v>
      </c>
      <c r="G22" s="134">
        <f>SUM(G23:G86)</f>
        <v>406</v>
      </c>
      <c r="H22" s="135">
        <f t="shared" si="14"/>
        <v>756.3472499999999</v>
      </c>
      <c r="I22" s="135">
        <f t="shared" si="14"/>
        <v>531.23061</v>
      </c>
      <c r="J22" s="135">
        <f t="shared" si="14"/>
        <v>100.43136000000001</v>
      </c>
      <c r="K22" s="135">
        <f t="shared" si="14"/>
        <v>353.3166600000001</v>
      </c>
      <c r="L22" s="135">
        <f t="shared" si="14"/>
        <v>113.29039</v>
      </c>
      <c r="M22" s="135">
        <f t="shared" si="14"/>
        <v>0</v>
      </c>
      <c r="N22" s="135">
        <f t="shared" si="14"/>
        <v>0</v>
      </c>
      <c r="O22" s="135">
        <f t="shared" si="14"/>
        <v>49.59356</v>
      </c>
      <c r="P22" s="135">
        <f t="shared" si="14"/>
        <v>1404.6000000000004</v>
      </c>
      <c r="Q22" s="135">
        <f t="shared" si="14"/>
        <v>228.75536000000002</v>
      </c>
      <c r="R22" s="136"/>
      <c r="S22" s="136"/>
      <c r="T22" s="137"/>
      <c r="U22" s="138"/>
      <c r="V22" s="139">
        <f t="shared" si="1"/>
        <v>392.09292379471225</v>
      </c>
      <c r="W22" s="139">
        <f t="shared" si="2"/>
        <v>1.8629242610837435</v>
      </c>
      <c r="X22" s="140">
        <f aca="true" t="shared" si="15" ref="X22:AJ22">SUM(X23:X86)</f>
        <v>1757</v>
      </c>
      <c r="Y22" s="134">
        <f t="shared" si="15"/>
        <v>354</v>
      </c>
      <c r="Z22" s="134">
        <f t="shared" si="15"/>
        <v>354</v>
      </c>
      <c r="AA22" s="135">
        <f t="shared" si="15"/>
        <v>653.79779</v>
      </c>
      <c r="AB22" s="135">
        <f t="shared" si="15"/>
        <v>427.33340000000004</v>
      </c>
      <c r="AC22" s="135">
        <f t="shared" si="15"/>
        <v>98.90326</v>
      </c>
      <c r="AD22" s="135">
        <f>SUM(AE23:AE86)</f>
        <v>109.81830000000001</v>
      </c>
      <c r="AE22" s="135">
        <f t="shared" si="15"/>
        <v>109.81830000000001</v>
      </c>
      <c r="AF22" s="135">
        <f t="shared" si="15"/>
        <v>0</v>
      </c>
      <c r="AG22" s="135">
        <f>SUM(AE23:AE86)</f>
        <v>109.81830000000001</v>
      </c>
      <c r="AH22" s="135">
        <f t="shared" si="15"/>
        <v>51.366049999999994</v>
      </c>
      <c r="AI22" s="135">
        <f t="shared" si="15"/>
        <v>1166.02</v>
      </c>
      <c r="AJ22" s="135">
        <f t="shared" si="15"/>
        <v>158.74114</v>
      </c>
      <c r="AK22" s="136"/>
      <c r="AL22" s="136"/>
      <c r="AM22" s="136"/>
      <c r="AN22" s="138"/>
      <c r="AO22" s="139">
        <f t="shared" si="4"/>
        <v>372.1102959590211</v>
      </c>
      <c r="AP22" s="139">
        <f t="shared" si="5"/>
        <v>1.8468864124293785</v>
      </c>
      <c r="AQ22" s="134">
        <f>SUM(AQ23:AQ86)</f>
        <v>1013</v>
      </c>
      <c r="AR22" s="134">
        <f>SUM(AR23:AR86)</f>
        <v>211</v>
      </c>
      <c r="AS22" s="134">
        <f>SUM(AS23:AS86)</f>
        <v>211</v>
      </c>
      <c r="AT22" s="135">
        <f>SUM(AT23:AT86)</f>
        <v>504.21574</v>
      </c>
      <c r="AU22" s="135"/>
      <c r="AV22" s="135">
        <f aca="true" t="shared" si="16" ref="AV22:BC22">SUM(AV23:AV86)</f>
        <v>57.525639999999996</v>
      </c>
      <c r="AW22" s="135">
        <f>SUM(AX23:AX86)</f>
        <v>76.18613</v>
      </c>
      <c r="AX22" s="135">
        <f t="shared" si="16"/>
        <v>76.18613</v>
      </c>
      <c r="AY22" s="135">
        <f t="shared" si="16"/>
        <v>0</v>
      </c>
      <c r="AZ22" s="135">
        <f t="shared" si="16"/>
        <v>0</v>
      </c>
      <c r="BA22" s="135">
        <f t="shared" si="16"/>
        <v>38.572179999999996</v>
      </c>
      <c r="BB22" s="135">
        <f t="shared" si="16"/>
        <v>856.6600000000002</v>
      </c>
      <c r="BC22" s="135">
        <f t="shared" si="16"/>
        <v>137.85089000000002</v>
      </c>
      <c r="BD22" s="136"/>
      <c r="BE22" s="136"/>
      <c r="BF22" s="136"/>
      <c r="BG22" s="138"/>
      <c r="BH22" s="139">
        <f t="shared" si="7"/>
        <v>497.7450542941757</v>
      </c>
      <c r="BI22" s="139">
        <f t="shared" si="8"/>
        <v>2.389648056872038</v>
      </c>
      <c r="BJ22" s="415">
        <f t="shared" si="13"/>
        <v>4699</v>
      </c>
      <c r="BK22" s="415">
        <f t="shared" si="9"/>
        <v>971</v>
      </c>
      <c r="BL22" s="415">
        <f t="shared" si="9"/>
        <v>971</v>
      </c>
      <c r="BM22" s="415">
        <f t="shared" si="9"/>
        <v>1914.36078</v>
      </c>
    </row>
    <row r="23" spans="1:65" s="129" customFormat="1" ht="18.75" outlineLevel="1">
      <c r="A23" s="141" t="s">
        <v>146</v>
      </c>
      <c r="B23" s="142" t="s">
        <v>147</v>
      </c>
      <c r="C23" s="143" t="s">
        <v>148</v>
      </c>
      <c r="D23" s="144">
        <v>0.4</v>
      </c>
      <c r="E23" s="145">
        <v>43</v>
      </c>
      <c r="F23" s="146">
        <v>15</v>
      </c>
      <c r="G23" s="147">
        <v>15</v>
      </c>
      <c r="H23" s="148">
        <v>16.44839</v>
      </c>
      <c r="I23" s="149">
        <v>11.36388</v>
      </c>
      <c r="J23" s="149">
        <v>2.13194</v>
      </c>
      <c r="K23" s="149">
        <v>7.2661</v>
      </c>
      <c r="L23" s="149">
        <v>2.56346</v>
      </c>
      <c r="M23" s="149">
        <v>0</v>
      </c>
      <c r="N23" s="149">
        <v>0</v>
      </c>
      <c r="O23" s="149">
        <v>1.11644</v>
      </c>
      <c r="P23" s="149">
        <v>49.58</v>
      </c>
      <c r="Q23" s="149">
        <v>7.266</v>
      </c>
      <c r="R23" s="150" t="s">
        <v>119</v>
      </c>
      <c r="S23" s="151" t="s">
        <v>120</v>
      </c>
      <c r="T23" s="152"/>
      <c r="U23" s="153">
        <v>2</v>
      </c>
      <c r="V23" s="154">
        <f t="shared" si="1"/>
        <v>382.5206976744186</v>
      </c>
      <c r="W23" s="154">
        <f t="shared" si="2"/>
        <v>1.0965593333333332</v>
      </c>
      <c r="X23" s="155"/>
      <c r="Y23" s="146"/>
      <c r="Z23" s="147"/>
      <c r="AA23" s="148"/>
      <c r="AB23" s="149"/>
      <c r="AC23" s="149"/>
      <c r="AD23" s="149"/>
      <c r="AE23" s="149"/>
      <c r="AF23" s="149"/>
      <c r="AG23" s="149"/>
      <c r="AH23" s="149"/>
      <c r="AI23" s="149"/>
      <c r="AJ23" s="149"/>
      <c r="AK23" s="156"/>
      <c r="AL23" s="156"/>
      <c r="AM23" s="156"/>
      <c r="AN23" s="153"/>
      <c r="AO23" s="154" t="e">
        <f t="shared" si="4"/>
        <v>#DIV/0!</v>
      </c>
      <c r="AP23" s="154" t="e">
        <f t="shared" si="5"/>
        <v>#DIV/0!</v>
      </c>
      <c r="AQ23" s="145"/>
      <c r="AR23" s="146"/>
      <c r="AS23" s="147"/>
      <c r="AT23" s="148"/>
      <c r="AU23" s="149"/>
      <c r="AV23" s="149"/>
      <c r="AW23" s="149"/>
      <c r="AX23" s="149"/>
      <c r="AY23" s="149"/>
      <c r="AZ23" s="149"/>
      <c r="BA23" s="149"/>
      <c r="BB23" s="149"/>
      <c r="BC23" s="149"/>
      <c r="BD23" s="156"/>
      <c r="BE23" s="156"/>
      <c r="BF23" s="156"/>
      <c r="BG23" s="153"/>
      <c r="BH23" s="154" t="e">
        <f t="shared" si="7"/>
        <v>#DIV/0!</v>
      </c>
      <c r="BI23" s="154" t="e">
        <f t="shared" si="8"/>
        <v>#DIV/0!</v>
      </c>
      <c r="BJ23" s="415">
        <f t="shared" si="13"/>
        <v>43</v>
      </c>
      <c r="BK23" s="415">
        <f t="shared" si="9"/>
        <v>15</v>
      </c>
      <c r="BL23" s="415">
        <f t="shared" si="9"/>
        <v>15</v>
      </c>
      <c r="BM23" s="415">
        <f t="shared" si="9"/>
        <v>16.44839</v>
      </c>
    </row>
    <row r="24" spans="1:65" s="129" customFormat="1" ht="18.75" outlineLevel="1">
      <c r="A24" s="141" t="s">
        <v>149</v>
      </c>
      <c r="B24" s="142" t="s">
        <v>150</v>
      </c>
      <c r="C24" s="143" t="s">
        <v>151</v>
      </c>
      <c r="D24" s="144">
        <v>0.4</v>
      </c>
      <c r="E24" s="145">
        <v>50</v>
      </c>
      <c r="F24" s="146">
        <v>15</v>
      </c>
      <c r="G24" s="147">
        <v>15</v>
      </c>
      <c r="H24" s="148">
        <v>18.49685</v>
      </c>
      <c r="I24" s="149">
        <v>13.08905</v>
      </c>
      <c r="J24" s="149">
        <v>2.479</v>
      </c>
      <c r="K24" s="149">
        <v>7.52034</v>
      </c>
      <c r="L24" s="149">
        <v>2.73245</v>
      </c>
      <c r="M24" s="149">
        <v>0</v>
      </c>
      <c r="N24" s="149">
        <v>0</v>
      </c>
      <c r="O24" s="149">
        <v>1.18847</v>
      </c>
      <c r="P24" s="129">
        <v>49.58</v>
      </c>
      <c r="Q24" s="149">
        <v>7.52034</v>
      </c>
      <c r="R24" s="150" t="s">
        <v>119</v>
      </c>
      <c r="S24" s="151" t="s">
        <v>120</v>
      </c>
      <c r="T24" s="152"/>
      <c r="U24" s="153">
        <v>20</v>
      </c>
      <c r="V24" s="154">
        <f t="shared" si="1"/>
        <v>369.93699999999995</v>
      </c>
      <c r="W24" s="154">
        <f t="shared" si="2"/>
        <v>1.2331233333333331</v>
      </c>
      <c r="X24" s="155"/>
      <c r="Y24" s="146"/>
      <c r="Z24" s="147"/>
      <c r="AA24" s="148"/>
      <c r="AB24" s="149"/>
      <c r="AC24" s="149"/>
      <c r="AD24" s="149"/>
      <c r="AE24" s="149"/>
      <c r="AF24" s="149"/>
      <c r="AG24" s="149"/>
      <c r="AH24" s="149"/>
      <c r="AI24" s="149"/>
      <c r="AJ24" s="149"/>
      <c r="AK24" s="156"/>
      <c r="AL24" s="156"/>
      <c r="AM24" s="156"/>
      <c r="AN24" s="153"/>
      <c r="AO24" s="154" t="e">
        <f t="shared" si="4"/>
        <v>#DIV/0!</v>
      </c>
      <c r="AP24" s="154" t="e">
        <f t="shared" si="5"/>
        <v>#DIV/0!</v>
      </c>
      <c r="AQ24" s="145"/>
      <c r="AR24" s="146"/>
      <c r="AS24" s="147"/>
      <c r="AT24" s="148"/>
      <c r="AU24" s="149"/>
      <c r="AV24" s="149"/>
      <c r="AW24" s="149"/>
      <c r="AX24" s="149"/>
      <c r="AY24" s="149"/>
      <c r="AZ24" s="149"/>
      <c r="BA24" s="149"/>
      <c r="BB24" s="149"/>
      <c r="BC24" s="149"/>
      <c r="BD24" s="156"/>
      <c r="BE24" s="156"/>
      <c r="BF24" s="156"/>
      <c r="BG24" s="153"/>
      <c r="BH24" s="154" t="e">
        <f t="shared" si="7"/>
        <v>#DIV/0!</v>
      </c>
      <c r="BI24" s="154" t="e">
        <f t="shared" si="8"/>
        <v>#DIV/0!</v>
      </c>
      <c r="BJ24" s="415">
        <f t="shared" si="13"/>
        <v>50</v>
      </c>
      <c r="BK24" s="415">
        <f t="shared" si="9"/>
        <v>15</v>
      </c>
      <c r="BL24" s="415">
        <f t="shared" si="9"/>
        <v>15</v>
      </c>
      <c r="BM24" s="415">
        <f t="shared" si="9"/>
        <v>18.49685</v>
      </c>
    </row>
    <row r="25" spans="1:65" s="129" customFormat="1" ht="18.75" outlineLevel="1">
      <c r="A25" s="141" t="s">
        <v>152</v>
      </c>
      <c r="B25" s="142" t="s">
        <v>153</v>
      </c>
      <c r="C25" s="158" t="s">
        <v>154</v>
      </c>
      <c r="D25" s="144">
        <v>0.4</v>
      </c>
      <c r="E25" s="145">
        <v>45</v>
      </c>
      <c r="F25" s="146">
        <v>15</v>
      </c>
      <c r="G25" s="147">
        <v>15</v>
      </c>
      <c r="H25" s="148">
        <v>18.3461</v>
      </c>
      <c r="I25" s="149">
        <v>13.156</v>
      </c>
      <c r="J25" s="149">
        <v>2.231</v>
      </c>
      <c r="K25" s="149">
        <v>7.52</v>
      </c>
      <c r="L25" s="149">
        <v>2.6248</v>
      </c>
      <c r="M25" s="149">
        <v>0</v>
      </c>
      <c r="N25" s="149">
        <v>0</v>
      </c>
      <c r="O25" s="149">
        <v>1.137</v>
      </c>
      <c r="P25" s="149">
        <v>49.58</v>
      </c>
      <c r="Q25" s="149">
        <v>7.52</v>
      </c>
      <c r="R25" s="150" t="s">
        <v>119</v>
      </c>
      <c r="S25" s="151" t="s">
        <v>120</v>
      </c>
      <c r="T25" s="152"/>
      <c r="U25" s="153">
        <v>28</v>
      </c>
      <c r="V25" s="154">
        <f t="shared" si="1"/>
        <v>407.6911111111111</v>
      </c>
      <c r="W25" s="154">
        <f t="shared" si="2"/>
        <v>1.2230733333333332</v>
      </c>
      <c r="X25" s="155"/>
      <c r="Y25" s="146"/>
      <c r="Z25" s="147"/>
      <c r="AA25" s="148"/>
      <c r="AB25" s="149"/>
      <c r="AC25" s="149"/>
      <c r="AD25" s="149"/>
      <c r="AE25" s="149"/>
      <c r="AF25" s="149"/>
      <c r="AG25" s="149"/>
      <c r="AH25" s="149"/>
      <c r="AI25" s="149"/>
      <c r="AJ25" s="149"/>
      <c r="AK25" s="156"/>
      <c r="AL25" s="156"/>
      <c r="AM25" s="156"/>
      <c r="AN25" s="153"/>
      <c r="AO25" s="154" t="e">
        <f t="shared" si="4"/>
        <v>#DIV/0!</v>
      </c>
      <c r="AP25" s="154" t="e">
        <f t="shared" si="5"/>
        <v>#DIV/0!</v>
      </c>
      <c r="AQ25" s="145"/>
      <c r="AR25" s="146"/>
      <c r="AS25" s="147"/>
      <c r="AT25" s="148"/>
      <c r="AU25" s="149"/>
      <c r="AV25" s="149"/>
      <c r="AW25" s="149"/>
      <c r="AX25" s="149"/>
      <c r="AY25" s="149"/>
      <c r="AZ25" s="149"/>
      <c r="BA25" s="149"/>
      <c r="BB25" s="149"/>
      <c r="BC25" s="149"/>
      <c r="BD25" s="156"/>
      <c r="BE25" s="156"/>
      <c r="BF25" s="156"/>
      <c r="BG25" s="153"/>
      <c r="BH25" s="154" t="e">
        <f t="shared" si="7"/>
        <v>#DIV/0!</v>
      </c>
      <c r="BI25" s="154" t="e">
        <f t="shared" si="8"/>
        <v>#DIV/0!</v>
      </c>
      <c r="BJ25" s="415">
        <f t="shared" si="13"/>
        <v>45</v>
      </c>
      <c r="BK25" s="415">
        <f t="shared" si="9"/>
        <v>15</v>
      </c>
      <c r="BL25" s="415">
        <f t="shared" si="9"/>
        <v>15</v>
      </c>
      <c r="BM25" s="415">
        <f t="shared" si="9"/>
        <v>18.3461</v>
      </c>
    </row>
    <row r="26" spans="1:65" s="129" customFormat="1" ht="18.75" outlineLevel="1">
      <c r="A26" s="141" t="s">
        <v>155</v>
      </c>
      <c r="B26" s="142" t="s">
        <v>156</v>
      </c>
      <c r="C26" s="158" t="s">
        <v>157</v>
      </c>
      <c r="D26" s="144">
        <v>0.4</v>
      </c>
      <c r="E26" s="145">
        <v>60</v>
      </c>
      <c r="F26" s="146">
        <v>15</v>
      </c>
      <c r="G26" s="147">
        <v>15</v>
      </c>
      <c r="H26" s="148">
        <v>18.32385</v>
      </c>
      <c r="I26" s="149">
        <v>12.48039</v>
      </c>
      <c r="J26" s="149">
        <v>2.9748</v>
      </c>
      <c r="K26" s="149">
        <v>7.52</v>
      </c>
      <c r="L26" s="149">
        <v>2.9477</v>
      </c>
      <c r="M26" s="149">
        <v>0</v>
      </c>
      <c r="N26" s="149">
        <v>0</v>
      </c>
      <c r="O26" s="149">
        <v>1.29136</v>
      </c>
      <c r="P26" s="149">
        <v>49.58</v>
      </c>
      <c r="Q26" s="149">
        <v>7.52034</v>
      </c>
      <c r="R26" s="150" t="s">
        <v>119</v>
      </c>
      <c r="S26" s="151" t="s">
        <v>120</v>
      </c>
      <c r="T26" s="152"/>
      <c r="U26" s="153">
        <v>32</v>
      </c>
      <c r="V26" s="154">
        <f t="shared" si="1"/>
        <v>305.3975</v>
      </c>
      <c r="W26" s="154">
        <f t="shared" si="2"/>
        <v>1.22159</v>
      </c>
      <c r="X26" s="155"/>
      <c r="Y26" s="146"/>
      <c r="Z26" s="147"/>
      <c r="AA26" s="148"/>
      <c r="AB26" s="149"/>
      <c r="AC26" s="149"/>
      <c r="AD26" s="149"/>
      <c r="AE26" s="149"/>
      <c r="AF26" s="149"/>
      <c r="AG26" s="149"/>
      <c r="AH26" s="149"/>
      <c r="AI26" s="149"/>
      <c r="AJ26" s="149"/>
      <c r="AK26" s="156"/>
      <c r="AL26" s="156"/>
      <c r="AM26" s="156"/>
      <c r="AN26" s="153"/>
      <c r="AO26" s="154" t="e">
        <f t="shared" si="4"/>
        <v>#DIV/0!</v>
      </c>
      <c r="AP26" s="154" t="e">
        <f t="shared" si="5"/>
        <v>#DIV/0!</v>
      </c>
      <c r="AQ26" s="145"/>
      <c r="AR26" s="146"/>
      <c r="AS26" s="147"/>
      <c r="AT26" s="148"/>
      <c r="AU26" s="149"/>
      <c r="AV26" s="149"/>
      <c r="AW26" s="149"/>
      <c r="AX26" s="149"/>
      <c r="AY26" s="149"/>
      <c r="AZ26" s="149"/>
      <c r="BA26" s="149"/>
      <c r="BB26" s="149"/>
      <c r="BC26" s="149"/>
      <c r="BD26" s="156"/>
      <c r="BE26" s="156"/>
      <c r="BF26" s="156"/>
      <c r="BG26" s="153"/>
      <c r="BH26" s="154" t="e">
        <f t="shared" si="7"/>
        <v>#DIV/0!</v>
      </c>
      <c r="BI26" s="154" t="e">
        <f t="shared" si="8"/>
        <v>#DIV/0!</v>
      </c>
      <c r="BJ26" s="415">
        <f t="shared" si="13"/>
        <v>60</v>
      </c>
      <c r="BK26" s="415">
        <f t="shared" si="13"/>
        <v>15</v>
      </c>
      <c r="BL26" s="415">
        <f t="shared" si="13"/>
        <v>15</v>
      </c>
      <c r="BM26" s="415">
        <f t="shared" si="13"/>
        <v>18.32385</v>
      </c>
    </row>
    <row r="27" spans="1:65" s="129" customFormat="1" ht="18.75" outlineLevel="1">
      <c r="A27" s="141" t="s">
        <v>158</v>
      </c>
      <c r="B27" s="142" t="s">
        <v>159</v>
      </c>
      <c r="C27" s="158" t="s">
        <v>160</v>
      </c>
      <c r="D27" s="144">
        <v>0.4</v>
      </c>
      <c r="E27" s="145">
        <v>100</v>
      </c>
      <c r="F27" s="146">
        <v>15</v>
      </c>
      <c r="G27" s="147">
        <v>15</v>
      </c>
      <c r="H27" s="148">
        <v>45.03385</v>
      </c>
      <c r="I27" s="149">
        <v>31.04374</v>
      </c>
      <c r="J27" s="149">
        <v>4.958</v>
      </c>
      <c r="K27" s="149">
        <v>22.561</v>
      </c>
      <c r="L27" s="149">
        <v>7.0661</v>
      </c>
      <c r="M27" s="149">
        <v>0</v>
      </c>
      <c r="N27" s="149">
        <v>0</v>
      </c>
      <c r="O27" s="149">
        <v>3.0509</v>
      </c>
      <c r="P27" s="149">
        <v>49.58</v>
      </c>
      <c r="Q27" s="149">
        <v>7.52</v>
      </c>
      <c r="R27" s="150" t="s">
        <v>119</v>
      </c>
      <c r="S27" s="151" t="s">
        <v>120</v>
      </c>
      <c r="T27" s="152"/>
      <c r="U27" s="153">
        <v>40</v>
      </c>
      <c r="V27" s="154">
        <f t="shared" si="1"/>
        <v>450.3385</v>
      </c>
      <c r="W27" s="154">
        <f t="shared" si="2"/>
        <v>3.002256666666667</v>
      </c>
      <c r="X27" s="155"/>
      <c r="Y27" s="146"/>
      <c r="Z27" s="147"/>
      <c r="AA27" s="148"/>
      <c r="AB27" s="149"/>
      <c r="AC27" s="149"/>
      <c r="AD27" s="149"/>
      <c r="AE27" s="149"/>
      <c r="AF27" s="149"/>
      <c r="AG27" s="149"/>
      <c r="AH27" s="149"/>
      <c r="AI27" s="149"/>
      <c r="AJ27" s="149"/>
      <c r="AK27" s="156"/>
      <c r="AL27" s="156"/>
      <c r="AM27" s="156"/>
      <c r="AN27" s="153"/>
      <c r="AO27" s="154" t="e">
        <f t="shared" si="4"/>
        <v>#DIV/0!</v>
      </c>
      <c r="AP27" s="154" t="e">
        <f t="shared" si="5"/>
        <v>#DIV/0!</v>
      </c>
      <c r="AQ27" s="145"/>
      <c r="AR27" s="146"/>
      <c r="AS27" s="147"/>
      <c r="AT27" s="148"/>
      <c r="AU27" s="149"/>
      <c r="AV27" s="149"/>
      <c r="AW27" s="149"/>
      <c r="AX27" s="149"/>
      <c r="AY27" s="149"/>
      <c r="AZ27" s="149"/>
      <c r="BA27" s="149"/>
      <c r="BB27" s="149"/>
      <c r="BC27" s="149"/>
      <c r="BD27" s="156"/>
      <c r="BE27" s="156"/>
      <c r="BF27" s="156"/>
      <c r="BG27" s="153"/>
      <c r="BH27" s="154" t="e">
        <f t="shared" si="7"/>
        <v>#DIV/0!</v>
      </c>
      <c r="BI27" s="154" t="e">
        <f t="shared" si="8"/>
        <v>#DIV/0!</v>
      </c>
      <c r="BJ27" s="415">
        <f t="shared" si="13"/>
        <v>100</v>
      </c>
      <c r="BK27" s="415">
        <f t="shared" si="13"/>
        <v>15</v>
      </c>
      <c r="BL27" s="415">
        <f t="shared" si="13"/>
        <v>15</v>
      </c>
      <c r="BM27" s="415">
        <f t="shared" si="13"/>
        <v>45.03385</v>
      </c>
    </row>
    <row r="28" spans="1:65" s="129" customFormat="1" ht="18.75" outlineLevel="1">
      <c r="A28" s="141" t="s">
        <v>161</v>
      </c>
      <c r="B28" s="142" t="s">
        <v>162</v>
      </c>
      <c r="C28" s="158" t="s">
        <v>163</v>
      </c>
      <c r="D28" s="144">
        <v>0.4</v>
      </c>
      <c r="E28" s="145">
        <v>42</v>
      </c>
      <c r="F28" s="146">
        <v>15</v>
      </c>
      <c r="G28" s="146">
        <v>15</v>
      </c>
      <c r="H28" s="171">
        <v>6.725</v>
      </c>
      <c r="I28" s="172">
        <v>4.895</v>
      </c>
      <c r="J28" s="172">
        <v>2.21424</v>
      </c>
      <c r="K28" s="172">
        <v>2.681</v>
      </c>
      <c r="L28" s="172">
        <v>0.904</v>
      </c>
      <c r="M28" s="172">
        <v>0</v>
      </c>
      <c r="N28" s="172">
        <v>0</v>
      </c>
      <c r="O28" s="172">
        <v>0.432</v>
      </c>
      <c r="P28" s="172">
        <v>52.72</v>
      </c>
      <c r="Q28" s="172">
        <v>7.69812</v>
      </c>
      <c r="R28" s="150" t="s">
        <v>119</v>
      </c>
      <c r="S28" s="151" t="s">
        <v>120</v>
      </c>
      <c r="T28" s="152"/>
      <c r="U28" s="153">
        <v>81</v>
      </c>
      <c r="V28" s="154">
        <f t="shared" si="1"/>
        <v>160.1190476190476</v>
      </c>
      <c r="W28" s="154">
        <f t="shared" si="2"/>
        <v>0.4483333333333333</v>
      </c>
      <c r="X28" s="155"/>
      <c r="Y28" s="146"/>
      <c r="Z28" s="147"/>
      <c r="AA28" s="148"/>
      <c r="AB28" s="149"/>
      <c r="AC28" s="149"/>
      <c r="AD28" s="149"/>
      <c r="AE28" s="149"/>
      <c r="AF28" s="149"/>
      <c r="AG28" s="149"/>
      <c r="AH28" s="149"/>
      <c r="AI28" s="149"/>
      <c r="AJ28" s="149"/>
      <c r="AK28" s="156"/>
      <c r="AL28" s="156"/>
      <c r="AM28" s="156"/>
      <c r="AN28" s="153"/>
      <c r="AO28" s="154" t="e">
        <f t="shared" si="4"/>
        <v>#DIV/0!</v>
      </c>
      <c r="AP28" s="154" t="e">
        <f t="shared" si="5"/>
        <v>#DIV/0!</v>
      </c>
      <c r="AQ28" s="145"/>
      <c r="AR28" s="146"/>
      <c r="AS28" s="147"/>
      <c r="AT28" s="148"/>
      <c r="AU28" s="149"/>
      <c r="AV28" s="149"/>
      <c r="AW28" s="149"/>
      <c r="AX28" s="149"/>
      <c r="AY28" s="149"/>
      <c r="AZ28" s="149"/>
      <c r="BA28" s="149"/>
      <c r="BB28" s="149"/>
      <c r="BC28" s="149"/>
      <c r="BD28" s="156"/>
      <c r="BE28" s="156"/>
      <c r="BF28" s="156"/>
      <c r="BG28" s="153"/>
      <c r="BH28" s="154" t="e">
        <f t="shared" si="7"/>
        <v>#DIV/0!</v>
      </c>
      <c r="BI28" s="154" t="e">
        <f t="shared" si="8"/>
        <v>#DIV/0!</v>
      </c>
      <c r="BJ28" s="415">
        <f t="shared" si="13"/>
        <v>42</v>
      </c>
      <c r="BK28" s="415">
        <f t="shared" si="13"/>
        <v>15</v>
      </c>
      <c r="BL28" s="415">
        <f t="shared" si="13"/>
        <v>15</v>
      </c>
      <c r="BM28" s="415">
        <f t="shared" si="13"/>
        <v>6.725</v>
      </c>
    </row>
    <row r="29" spans="1:65" s="129" customFormat="1" ht="18.75" outlineLevel="1">
      <c r="A29" s="141" t="s">
        <v>164</v>
      </c>
      <c r="B29" s="142" t="s">
        <v>165</v>
      </c>
      <c r="C29" s="158" t="s">
        <v>166</v>
      </c>
      <c r="D29" s="144">
        <v>0.4</v>
      </c>
      <c r="E29" s="145">
        <v>105</v>
      </c>
      <c r="F29" s="146">
        <v>15</v>
      </c>
      <c r="G29" s="147">
        <v>15</v>
      </c>
      <c r="H29" s="148">
        <v>35.83987</v>
      </c>
      <c r="I29" s="149">
        <v>24.80648</v>
      </c>
      <c r="J29" s="149">
        <v>5.2059</v>
      </c>
      <c r="K29" s="149">
        <v>15.0227</v>
      </c>
      <c r="L29" s="149">
        <v>5.57252</v>
      </c>
      <c r="M29" s="149">
        <v>0</v>
      </c>
      <c r="N29" s="149">
        <v>0</v>
      </c>
      <c r="O29" s="149">
        <v>2.42838</v>
      </c>
      <c r="P29" s="149">
        <v>49.58</v>
      </c>
      <c r="Q29" s="149">
        <v>7.51135</v>
      </c>
      <c r="R29" s="150" t="s">
        <v>119</v>
      </c>
      <c r="S29" s="151" t="s">
        <v>120</v>
      </c>
      <c r="T29" s="152"/>
      <c r="U29" s="153">
        <v>46</v>
      </c>
      <c r="V29" s="154">
        <f t="shared" si="1"/>
        <v>341.33209523809523</v>
      </c>
      <c r="W29" s="154">
        <f t="shared" si="2"/>
        <v>2.3893246666666665</v>
      </c>
      <c r="X29" s="155"/>
      <c r="Y29" s="146"/>
      <c r="Z29" s="147"/>
      <c r="AA29" s="148"/>
      <c r="AB29" s="149"/>
      <c r="AC29" s="149"/>
      <c r="AD29" s="149"/>
      <c r="AE29" s="149"/>
      <c r="AF29" s="149"/>
      <c r="AG29" s="149"/>
      <c r="AH29" s="149"/>
      <c r="AI29" s="149"/>
      <c r="AJ29" s="149"/>
      <c r="AK29" s="156"/>
      <c r="AL29" s="156"/>
      <c r="AM29" s="156"/>
      <c r="AN29" s="153"/>
      <c r="AO29" s="154" t="e">
        <f t="shared" si="4"/>
        <v>#DIV/0!</v>
      </c>
      <c r="AP29" s="154" t="e">
        <f t="shared" si="5"/>
        <v>#DIV/0!</v>
      </c>
      <c r="AQ29" s="145"/>
      <c r="AR29" s="146"/>
      <c r="AS29" s="147"/>
      <c r="AT29" s="148"/>
      <c r="AU29" s="149"/>
      <c r="AV29" s="149"/>
      <c r="AW29" s="149"/>
      <c r="AX29" s="149"/>
      <c r="AY29" s="149"/>
      <c r="AZ29" s="149"/>
      <c r="BA29" s="149"/>
      <c r="BB29" s="149"/>
      <c r="BC29" s="149"/>
      <c r="BD29" s="156"/>
      <c r="BE29" s="156"/>
      <c r="BF29" s="156"/>
      <c r="BG29" s="153"/>
      <c r="BH29" s="154" t="e">
        <f t="shared" si="7"/>
        <v>#DIV/0!</v>
      </c>
      <c r="BI29" s="154" t="e">
        <f t="shared" si="8"/>
        <v>#DIV/0!</v>
      </c>
      <c r="BJ29" s="415">
        <f t="shared" si="13"/>
        <v>105</v>
      </c>
      <c r="BK29" s="415">
        <f t="shared" si="13"/>
        <v>15</v>
      </c>
      <c r="BL29" s="415">
        <f t="shared" si="13"/>
        <v>15</v>
      </c>
      <c r="BM29" s="415">
        <f t="shared" si="13"/>
        <v>35.83987</v>
      </c>
    </row>
    <row r="30" spans="1:65" s="129" customFormat="1" ht="18.75" outlineLevel="1">
      <c r="A30" s="141" t="s">
        <v>167</v>
      </c>
      <c r="B30" s="142" t="s">
        <v>168</v>
      </c>
      <c r="C30" s="158" t="s">
        <v>169</v>
      </c>
      <c r="D30" s="144">
        <v>0.4</v>
      </c>
      <c r="E30" s="145">
        <v>178</v>
      </c>
      <c r="F30" s="146">
        <v>15</v>
      </c>
      <c r="G30" s="147">
        <v>15</v>
      </c>
      <c r="H30" s="148">
        <v>53.00953</v>
      </c>
      <c r="I30" s="149">
        <v>35.36627</v>
      </c>
      <c r="J30" s="149">
        <v>9.38416</v>
      </c>
      <c r="K30" s="149">
        <v>22.54926</v>
      </c>
      <c r="L30" s="149">
        <v>8.77356</v>
      </c>
      <c r="M30" s="149">
        <v>0</v>
      </c>
      <c r="N30" s="149">
        <v>0</v>
      </c>
      <c r="O30" s="149">
        <v>3.94796</v>
      </c>
      <c r="P30" s="149">
        <v>52.72</v>
      </c>
      <c r="Q30" s="149">
        <v>7.51642</v>
      </c>
      <c r="R30" s="150" t="s">
        <v>119</v>
      </c>
      <c r="S30" s="151" t="s">
        <v>120</v>
      </c>
      <c r="T30" s="152"/>
      <c r="U30" s="153">
        <v>76</v>
      </c>
      <c r="V30" s="154">
        <f t="shared" si="1"/>
        <v>297.80634831460674</v>
      </c>
      <c r="W30" s="154">
        <f t="shared" si="2"/>
        <v>3.5339686666666665</v>
      </c>
      <c r="X30" s="155"/>
      <c r="Y30" s="146"/>
      <c r="Z30" s="147"/>
      <c r="AA30" s="148"/>
      <c r="AB30" s="149"/>
      <c r="AC30" s="149"/>
      <c r="AD30" s="149"/>
      <c r="AE30" s="149"/>
      <c r="AF30" s="149"/>
      <c r="AG30" s="149"/>
      <c r="AH30" s="149"/>
      <c r="AI30" s="149"/>
      <c r="AJ30" s="149"/>
      <c r="AK30" s="156"/>
      <c r="AL30" s="156"/>
      <c r="AM30" s="156"/>
      <c r="AN30" s="153"/>
      <c r="AO30" s="154" t="e">
        <f t="shared" si="4"/>
        <v>#DIV/0!</v>
      </c>
      <c r="AP30" s="154" t="e">
        <f t="shared" si="5"/>
        <v>#DIV/0!</v>
      </c>
      <c r="AQ30" s="145"/>
      <c r="AR30" s="146"/>
      <c r="AS30" s="147"/>
      <c r="AT30" s="148"/>
      <c r="AU30" s="149"/>
      <c r="AV30" s="149"/>
      <c r="AW30" s="149"/>
      <c r="AX30" s="149"/>
      <c r="AY30" s="149"/>
      <c r="AZ30" s="149"/>
      <c r="BA30" s="149"/>
      <c r="BB30" s="149"/>
      <c r="BC30" s="149"/>
      <c r="BD30" s="156"/>
      <c r="BE30" s="156"/>
      <c r="BF30" s="156"/>
      <c r="BG30" s="153"/>
      <c r="BH30" s="154" t="e">
        <f t="shared" si="7"/>
        <v>#DIV/0!</v>
      </c>
      <c r="BI30" s="154" t="e">
        <f t="shared" si="8"/>
        <v>#DIV/0!</v>
      </c>
      <c r="BJ30" s="415">
        <f t="shared" si="13"/>
        <v>178</v>
      </c>
      <c r="BK30" s="415">
        <f t="shared" si="13"/>
        <v>15</v>
      </c>
      <c r="BL30" s="415">
        <f t="shared" si="13"/>
        <v>15</v>
      </c>
      <c r="BM30" s="415">
        <f t="shared" si="13"/>
        <v>53.00953</v>
      </c>
    </row>
    <row r="31" spans="1:65" s="129" customFormat="1" ht="18.75" outlineLevel="1">
      <c r="A31" s="141" t="s">
        <v>170</v>
      </c>
      <c r="B31" s="142" t="s">
        <v>171</v>
      </c>
      <c r="C31" s="158" t="s">
        <v>172</v>
      </c>
      <c r="D31" s="144">
        <v>0.4</v>
      </c>
      <c r="E31" s="145">
        <v>30</v>
      </c>
      <c r="F31" s="146">
        <v>15</v>
      </c>
      <c r="G31" s="147">
        <v>15</v>
      </c>
      <c r="H31" s="148">
        <v>16.51158</v>
      </c>
      <c r="I31" s="149">
        <v>11.91974</v>
      </c>
      <c r="J31" s="149">
        <v>1.5816</v>
      </c>
      <c r="K31" s="149">
        <v>7.9</v>
      </c>
      <c r="L31" s="149">
        <v>2.30089</v>
      </c>
      <c r="M31" s="149">
        <v>0</v>
      </c>
      <c r="N31" s="149">
        <v>0</v>
      </c>
      <c r="O31" s="149">
        <v>1.00527</v>
      </c>
      <c r="P31" s="149">
        <v>52.72</v>
      </c>
      <c r="Q31" s="149">
        <v>7.9</v>
      </c>
      <c r="R31" s="150" t="s">
        <v>119</v>
      </c>
      <c r="S31" s="151" t="s">
        <v>120</v>
      </c>
      <c r="T31" s="152"/>
      <c r="U31" s="153">
        <v>119</v>
      </c>
      <c r="V31" s="154">
        <f t="shared" si="1"/>
        <v>550.386</v>
      </c>
      <c r="W31" s="154">
        <f t="shared" si="2"/>
        <v>1.1007719999999999</v>
      </c>
      <c r="X31" s="155"/>
      <c r="Y31" s="146"/>
      <c r="Z31" s="147"/>
      <c r="AA31" s="148"/>
      <c r="AB31" s="149"/>
      <c r="AC31" s="149"/>
      <c r="AD31" s="149"/>
      <c r="AE31" s="149"/>
      <c r="AF31" s="149"/>
      <c r="AG31" s="149"/>
      <c r="AH31" s="149"/>
      <c r="AI31" s="149"/>
      <c r="AJ31" s="149"/>
      <c r="AK31" s="156"/>
      <c r="AL31" s="156"/>
      <c r="AM31" s="156"/>
      <c r="AN31" s="153"/>
      <c r="AO31" s="154" t="e">
        <f t="shared" si="4"/>
        <v>#DIV/0!</v>
      </c>
      <c r="AP31" s="154" t="e">
        <f t="shared" si="5"/>
        <v>#DIV/0!</v>
      </c>
      <c r="AQ31" s="145"/>
      <c r="AR31" s="146"/>
      <c r="AS31" s="147"/>
      <c r="AT31" s="148"/>
      <c r="AU31" s="149"/>
      <c r="AV31" s="149"/>
      <c r="AW31" s="149"/>
      <c r="AX31" s="149"/>
      <c r="AY31" s="149"/>
      <c r="AZ31" s="149"/>
      <c r="BA31" s="149"/>
      <c r="BB31" s="149"/>
      <c r="BC31" s="149"/>
      <c r="BD31" s="156"/>
      <c r="BE31" s="156"/>
      <c r="BF31" s="156"/>
      <c r="BG31" s="153"/>
      <c r="BH31" s="154" t="e">
        <f t="shared" si="7"/>
        <v>#DIV/0!</v>
      </c>
      <c r="BI31" s="154" t="e">
        <f t="shared" si="8"/>
        <v>#DIV/0!</v>
      </c>
      <c r="BJ31" s="415">
        <f t="shared" si="13"/>
        <v>30</v>
      </c>
      <c r="BK31" s="415">
        <f t="shared" si="13"/>
        <v>15</v>
      </c>
      <c r="BL31" s="415">
        <f t="shared" si="13"/>
        <v>15</v>
      </c>
      <c r="BM31" s="415">
        <f t="shared" si="13"/>
        <v>16.51158</v>
      </c>
    </row>
    <row r="32" spans="1:65" s="129" customFormat="1" ht="18.75" outlineLevel="1">
      <c r="A32" s="141" t="s">
        <v>173</v>
      </c>
      <c r="B32" s="142" t="s">
        <v>174</v>
      </c>
      <c r="C32" s="158" t="s">
        <v>175</v>
      </c>
      <c r="D32" s="144">
        <v>0.4</v>
      </c>
      <c r="E32" s="145">
        <v>168</v>
      </c>
      <c r="F32" s="146">
        <v>15</v>
      </c>
      <c r="G32" s="147">
        <v>15</v>
      </c>
      <c r="H32" s="148">
        <v>92.60341</v>
      </c>
      <c r="I32" s="149">
        <v>64.51638</v>
      </c>
      <c r="J32" s="149">
        <v>8.85696</v>
      </c>
      <c r="K32" s="149">
        <f>15.8+31.6</f>
        <v>47.400000000000006</v>
      </c>
      <c r="L32" s="149">
        <v>14.40524</v>
      </c>
      <c r="M32" s="149">
        <v>0</v>
      </c>
      <c r="N32" s="149">
        <v>0</v>
      </c>
      <c r="O32" s="149">
        <v>6.03702</v>
      </c>
      <c r="P32" s="149">
        <v>52.72</v>
      </c>
      <c r="Q32" s="149">
        <v>7.9</v>
      </c>
      <c r="R32" s="150" t="s">
        <v>119</v>
      </c>
      <c r="S32" s="151" t="s">
        <v>120</v>
      </c>
      <c r="T32" s="152"/>
      <c r="U32" s="153">
        <v>127</v>
      </c>
      <c r="V32" s="154">
        <f t="shared" si="1"/>
        <v>551.2107738095237</v>
      </c>
      <c r="W32" s="154">
        <f t="shared" si="2"/>
        <v>6.173560666666666</v>
      </c>
      <c r="X32" s="155"/>
      <c r="Y32" s="146"/>
      <c r="Z32" s="147"/>
      <c r="AA32" s="148"/>
      <c r="AB32" s="149"/>
      <c r="AC32" s="149"/>
      <c r="AD32" s="149"/>
      <c r="AE32" s="149"/>
      <c r="AF32" s="149"/>
      <c r="AG32" s="149"/>
      <c r="AH32" s="149"/>
      <c r="AI32" s="149"/>
      <c r="AJ32" s="149"/>
      <c r="AK32" s="156"/>
      <c r="AL32" s="156"/>
      <c r="AM32" s="156"/>
      <c r="AN32" s="153"/>
      <c r="AO32" s="154" t="e">
        <f t="shared" si="4"/>
        <v>#DIV/0!</v>
      </c>
      <c r="AP32" s="154" t="e">
        <f t="shared" si="5"/>
        <v>#DIV/0!</v>
      </c>
      <c r="AQ32" s="145"/>
      <c r="AR32" s="146"/>
      <c r="AS32" s="147"/>
      <c r="AT32" s="148"/>
      <c r="AU32" s="149"/>
      <c r="AV32" s="149"/>
      <c r="AW32" s="149"/>
      <c r="AX32" s="149"/>
      <c r="AY32" s="149"/>
      <c r="AZ32" s="149"/>
      <c r="BA32" s="149"/>
      <c r="BB32" s="149"/>
      <c r="BC32" s="149"/>
      <c r="BD32" s="156"/>
      <c r="BE32" s="156"/>
      <c r="BF32" s="156"/>
      <c r="BG32" s="153"/>
      <c r="BH32" s="154" t="e">
        <f t="shared" si="7"/>
        <v>#DIV/0!</v>
      </c>
      <c r="BI32" s="154" t="e">
        <f t="shared" si="8"/>
        <v>#DIV/0!</v>
      </c>
      <c r="BJ32" s="415">
        <f t="shared" si="13"/>
        <v>168</v>
      </c>
      <c r="BK32" s="415">
        <f t="shared" si="13"/>
        <v>15</v>
      </c>
      <c r="BL32" s="415">
        <f t="shared" si="13"/>
        <v>15</v>
      </c>
      <c r="BM32" s="415">
        <f t="shared" si="13"/>
        <v>92.60341</v>
      </c>
    </row>
    <row r="33" spans="1:65" s="129" customFormat="1" ht="18.75" outlineLevel="1">
      <c r="A33" s="141" t="s">
        <v>176</v>
      </c>
      <c r="B33" s="142" t="s">
        <v>177</v>
      </c>
      <c r="C33" s="158" t="s">
        <v>178</v>
      </c>
      <c r="D33" s="144">
        <v>0.4</v>
      </c>
      <c r="E33" s="145">
        <v>42</v>
      </c>
      <c r="F33" s="146">
        <v>15</v>
      </c>
      <c r="G33" s="147">
        <v>15</v>
      </c>
      <c r="H33" s="148">
        <v>16.75226</v>
      </c>
      <c r="I33" s="149">
        <v>11.62928</v>
      </c>
      <c r="J33" s="149">
        <v>2.21424</v>
      </c>
      <c r="K33" s="149">
        <v>7.37693</v>
      </c>
      <c r="L33" s="149">
        <v>2.55973</v>
      </c>
      <c r="M33" s="149">
        <v>0</v>
      </c>
      <c r="N33" s="149">
        <v>0</v>
      </c>
      <c r="O33" s="149">
        <v>1.13238</v>
      </c>
      <c r="P33" s="149">
        <v>52.72</v>
      </c>
      <c r="Q33" s="149">
        <v>7.37693</v>
      </c>
      <c r="R33" s="150" t="s">
        <v>119</v>
      </c>
      <c r="S33" s="151" t="s">
        <v>120</v>
      </c>
      <c r="T33" s="152"/>
      <c r="U33" s="153">
        <v>131</v>
      </c>
      <c r="V33" s="154">
        <f t="shared" si="1"/>
        <v>398.86333333333334</v>
      </c>
      <c r="W33" s="154">
        <f t="shared" si="2"/>
        <v>1.1168173333333333</v>
      </c>
      <c r="X33" s="155"/>
      <c r="Y33" s="146"/>
      <c r="Z33" s="147"/>
      <c r="AA33" s="148"/>
      <c r="AB33" s="149"/>
      <c r="AC33" s="149"/>
      <c r="AD33" s="149"/>
      <c r="AE33" s="149"/>
      <c r="AF33" s="149"/>
      <c r="AG33" s="149"/>
      <c r="AH33" s="149"/>
      <c r="AI33" s="149"/>
      <c r="AJ33" s="149"/>
      <c r="AK33" s="156"/>
      <c r="AL33" s="156"/>
      <c r="AM33" s="156"/>
      <c r="AN33" s="153"/>
      <c r="AO33" s="154" t="e">
        <f t="shared" si="4"/>
        <v>#DIV/0!</v>
      </c>
      <c r="AP33" s="154" t="e">
        <f t="shared" si="5"/>
        <v>#DIV/0!</v>
      </c>
      <c r="AQ33" s="145"/>
      <c r="AR33" s="146"/>
      <c r="AS33" s="147"/>
      <c r="AT33" s="148"/>
      <c r="AU33" s="149"/>
      <c r="AV33" s="149"/>
      <c r="AW33" s="149"/>
      <c r="AX33" s="149"/>
      <c r="AY33" s="149"/>
      <c r="AZ33" s="149"/>
      <c r="BA33" s="149"/>
      <c r="BB33" s="149"/>
      <c r="BC33" s="149"/>
      <c r="BD33" s="156"/>
      <c r="BE33" s="156"/>
      <c r="BF33" s="156"/>
      <c r="BG33" s="153"/>
      <c r="BH33" s="154" t="e">
        <f t="shared" si="7"/>
        <v>#DIV/0!</v>
      </c>
      <c r="BI33" s="154" t="e">
        <f t="shared" si="8"/>
        <v>#DIV/0!</v>
      </c>
      <c r="BJ33" s="415">
        <f t="shared" si="13"/>
        <v>42</v>
      </c>
      <c r="BK33" s="415">
        <f t="shared" si="13"/>
        <v>15</v>
      </c>
      <c r="BL33" s="415">
        <f t="shared" si="13"/>
        <v>15</v>
      </c>
      <c r="BM33" s="415">
        <f t="shared" si="13"/>
        <v>16.75226</v>
      </c>
    </row>
    <row r="34" spans="1:65" s="129" customFormat="1" ht="18.75" outlineLevel="1">
      <c r="A34" s="141" t="s">
        <v>179</v>
      </c>
      <c r="B34" s="142" t="s">
        <v>180</v>
      </c>
      <c r="C34" s="158" t="s">
        <v>181</v>
      </c>
      <c r="D34" s="144">
        <v>0.4</v>
      </c>
      <c r="E34" s="145">
        <v>46</v>
      </c>
      <c r="F34" s="146">
        <v>15</v>
      </c>
      <c r="G34" s="147">
        <v>15</v>
      </c>
      <c r="H34" s="148">
        <v>17.79725</v>
      </c>
      <c r="I34" s="149">
        <v>12.49723</v>
      </c>
      <c r="J34" s="149">
        <v>2.42512</v>
      </c>
      <c r="K34" s="149">
        <v>8.82887</v>
      </c>
      <c r="L34" s="149">
        <v>2.64601</v>
      </c>
      <c r="M34" s="149">
        <v>0</v>
      </c>
      <c r="N34" s="149">
        <v>0</v>
      </c>
      <c r="O34" s="149">
        <v>1.17475</v>
      </c>
      <c r="P34" s="149">
        <v>52.72</v>
      </c>
      <c r="Q34" s="149">
        <v>8.82887</v>
      </c>
      <c r="R34" s="150" t="s">
        <v>119</v>
      </c>
      <c r="S34" s="151" t="s">
        <v>120</v>
      </c>
      <c r="T34" s="152"/>
      <c r="U34" s="153">
        <v>161</v>
      </c>
      <c r="V34" s="154">
        <f t="shared" si="1"/>
        <v>386.89673913043475</v>
      </c>
      <c r="W34" s="154">
        <f t="shared" si="2"/>
        <v>1.1864833333333331</v>
      </c>
      <c r="X34" s="155"/>
      <c r="Y34" s="146"/>
      <c r="Z34" s="147"/>
      <c r="AA34" s="148"/>
      <c r="AB34" s="149"/>
      <c r="AC34" s="149"/>
      <c r="AD34" s="149"/>
      <c r="AE34" s="149"/>
      <c r="AF34" s="149"/>
      <c r="AG34" s="149"/>
      <c r="AH34" s="149"/>
      <c r="AI34" s="149"/>
      <c r="AJ34" s="149"/>
      <c r="AK34" s="156"/>
      <c r="AL34" s="156"/>
      <c r="AM34" s="156"/>
      <c r="AN34" s="153"/>
      <c r="AO34" s="154" t="e">
        <f t="shared" si="4"/>
        <v>#DIV/0!</v>
      </c>
      <c r="AP34" s="154" t="e">
        <f t="shared" si="5"/>
        <v>#DIV/0!</v>
      </c>
      <c r="AQ34" s="145"/>
      <c r="AR34" s="146"/>
      <c r="AS34" s="147"/>
      <c r="AT34" s="148"/>
      <c r="AU34" s="149"/>
      <c r="AV34" s="149"/>
      <c r="AW34" s="149"/>
      <c r="AX34" s="149"/>
      <c r="AY34" s="149"/>
      <c r="AZ34" s="149"/>
      <c r="BA34" s="149"/>
      <c r="BB34" s="149"/>
      <c r="BC34" s="149"/>
      <c r="BD34" s="156"/>
      <c r="BE34" s="156"/>
      <c r="BF34" s="156"/>
      <c r="BG34" s="153"/>
      <c r="BH34" s="154" t="e">
        <f t="shared" si="7"/>
        <v>#DIV/0!</v>
      </c>
      <c r="BI34" s="154" t="e">
        <f t="shared" si="8"/>
        <v>#DIV/0!</v>
      </c>
      <c r="BJ34" s="415">
        <f t="shared" si="13"/>
        <v>46</v>
      </c>
      <c r="BK34" s="415">
        <f t="shared" si="13"/>
        <v>15</v>
      </c>
      <c r="BL34" s="415">
        <f t="shared" si="13"/>
        <v>15</v>
      </c>
      <c r="BM34" s="415">
        <f t="shared" si="13"/>
        <v>17.79725</v>
      </c>
    </row>
    <row r="35" spans="1:65" s="129" customFormat="1" ht="18.75" outlineLevel="1">
      <c r="A35" s="141" t="s">
        <v>182</v>
      </c>
      <c r="B35" s="142" t="s">
        <v>183</v>
      </c>
      <c r="C35" s="158" t="s">
        <v>184</v>
      </c>
      <c r="D35" s="144">
        <v>0.4</v>
      </c>
      <c r="E35" s="145">
        <v>112</v>
      </c>
      <c r="F35" s="146">
        <v>30</v>
      </c>
      <c r="G35" s="147">
        <v>30</v>
      </c>
      <c r="H35" s="148">
        <v>27.70783</v>
      </c>
      <c r="I35" s="149">
        <v>19.48658</v>
      </c>
      <c r="J35" s="149">
        <v>5.90464</v>
      </c>
      <c r="K35" s="149">
        <v>8.82887</v>
      </c>
      <c r="L35" s="149">
        <v>4.06961</v>
      </c>
      <c r="M35" s="149">
        <v>0</v>
      </c>
      <c r="N35" s="149">
        <v>0</v>
      </c>
      <c r="O35" s="149">
        <v>1.87386</v>
      </c>
      <c r="P35" s="149">
        <v>52.72</v>
      </c>
      <c r="Q35" s="149">
        <v>8.82887</v>
      </c>
      <c r="R35" s="150" t="s">
        <v>119</v>
      </c>
      <c r="S35" s="151" t="s">
        <v>120</v>
      </c>
      <c r="T35" s="152"/>
      <c r="U35" s="153">
        <v>165</v>
      </c>
      <c r="V35" s="154">
        <f t="shared" si="1"/>
        <v>247.3913392857143</v>
      </c>
      <c r="W35" s="154">
        <f t="shared" si="2"/>
        <v>0.9235943333333334</v>
      </c>
      <c r="X35" s="155"/>
      <c r="Y35" s="146"/>
      <c r="Z35" s="147"/>
      <c r="AA35" s="148"/>
      <c r="AB35" s="149"/>
      <c r="AC35" s="149"/>
      <c r="AD35" s="149"/>
      <c r="AE35" s="149"/>
      <c r="AF35" s="149"/>
      <c r="AG35" s="149"/>
      <c r="AH35" s="149"/>
      <c r="AI35" s="149"/>
      <c r="AJ35" s="149"/>
      <c r="AK35" s="156"/>
      <c r="AL35" s="156"/>
      <c r="AM35" s="156"/>
      <c r="AN35" s="153"/>
      <c r="AO35" s="154" t="e">
        <f t="shared" si="4"/>
        <v>#DIV/0!</v>
      </c>
      <c r="AP35" s="154" t="e">
        <f t="shared" si="5"/>
        <v>#DIV/0!</v>
      </c>
      <c r="AQ35" s="145"/>
      <c r="AR35" s="146"/>
      <c r="AS35" s="147"/>
      <c r="AT35" s="148"/>
      <c r="AU35" s="149"/>
      <c r="AV35" s="149"/>
      <c r="AW35" s="149"/>
      <c r="AX35" s="149"/>
      <c r="AY35" s="149"/>
      <c r="AZ35" s="149"/>
      <c r="BA35" s="149"/>
      <c r="BB35" s="149"/>
      <c r="BC35" s="149"/>
      <c r="BD35" s="156"/>
      <c r="BE35" s="156"/>
      <c r="BF35" s="156"/>
      <c r="BG35" s="153"/>
      <c r="BH35" s="154" t="e">
        <f t="shared" si="7"/>
        <v>#DIV/0!</v>
      </c>
      <c r="BI35" s="154" t="e">
        <f t="shared" si="8"/>
        <v>#DIV/0!</v>
      </c>
      <c r="BJ35" s="415">
        <f t="shared" si="13"/>
        <v>112</v>
      </c>
      <c r="BK35" s="415">
        <f t="shared" si="13"/>
        <v>30</v>
      </c>
      <c r="BL35" s="415">
        <f t="shared" si="13"/>
        <v>30</v>
      </c>
      <c r="BM35" s="415">
        <f t="shared" si="13"/>
        <v>27.70783</v>
      </c>
    </row>
    <row r="36" spans="1:65" s="129" customFormat="1" ht="18.75" outlineLevel="1">
      <c r="A36" s="141" t="s">
        <v>185</v>
      </c>
      <c r="B36" s="142" t="s">
        <v>186</v>
      </c>
      <c r="C36" s="158" t="s">
        <v>187</v>
      </c>
      <c r="D36" s="144">
        <v>0.4</v>
      </c>
      <c r="E36" s="145">
        <v>70</v>
      </c>
      <c r="F36" s="146">
        <v>15</v>
      </c>
      <c r="G36" s="147">
        <v>15</v>
      </c>
      <c r="H36" s="148">
        <v>44.73822</v>
      </c>
      <c r="I36" s="149">
        <v>31.31437</v>
      </c>
      <c r="J36" s="149">
        <v>3.6904</v>
      </c>
      <c r="K36" s="149">
        <f>8.51024+17.02048</f>
        <v>25.53072</v>
      </c>
      <c r="L36" s="149">
        <v>6.90064</v>
      </c>
      <c r="M36" s="149">
        <v>0</v>
      </c>
      <c r="N36" s="149">
        <v>0</v>
      </c>
      <c r="O36" s="149">
        <v>2.87021</v>
      </c>
      <c r="P36" s="149">
        <v>52.72</v>
      </c>
      <c r="Q36" s="149">
        <v>8.51024</v>
      </c>
      <c r="R36" s="150" t="s">
        <v>119</v>
      </c>
      <c r="S36" s="151" t="s">
        <v>120</v>
      </c>
      <c r="T36" s="152"/>
      <c r="U36" s="153">
        <v>237</v>
      </c>
      <c r="V36" s="154">
        <f t="shared" si="1"/>
        <v>639.1174285714285</v>
      </c>
      <c r="W36" s="154">
        <f t="shared" si="2"/>
        <v>2.982548</v>
      </c>
      <c r="X36" s="155"/>
      <c r="Y36" s="146"/>
      <c r="Z36" s="147"/>
      <c r="AA36" s="148"/>
      <c r="AB36" s="149"/>
      <c r="AC36" s="149"/>
      <c r="AD36" s="149"/>
      <c r="AE36" s="149"/>
      <c r="AF36" s="149"/>
      <c r="AG36" s="149"/>
      <c r="AH36" s="149"/>
      <c r="AI36" s="149"/>
      <c r="AJ36" s="149"/>
      <c r="AK36" s="156"/>
      <c r="AL36" s="156"/>
      <c r="AM36" s="156"/>
      <c r="AN36" s="153"/>
      <c r="AO36" s="154" t="e">
        <f t="shared" si="4"/>
        <v>#DIV/0!</v>
      </c>
      <c r="AP36" s="154" t="e">
        <f t="shared" si="5"/>
        <v>#DIV/0!</v>
      </c>
      <c r="AQ36" s="145"/>
      <c r="AR36" s="146"/>
      <c r="AS36" s="147"/>
      <c r="AT36" s="148"/>
      <c r="AU36" s="149"/>
      <c r="AV36" s="149"/>
      <c r="AW36" s="149"/>
      <c r="AX36" s="149"/>
      <c r="AY36" s="149"/>
      <c r="AZ36" s="149"/>
      <c r="BA36" s="149"/>
      <c r="BB36" s="149"/>
      <c r="BC36" s="149"/>
      <c r="BD36" s="156"/>
      <c r="BE36" s="156"/>
      <c r="BF36" s="156"/>
      <c r="BG36" s="153"/>
      <c r="BH36" s="154" t="e">
        <f t="shared" si="7"/>
        <v>#DIV/0!</v>
      </c>
      <c r="BI36" s="154" t="e">
        <f t="shared" si="8"/>
        <v>#DIV/0!</v>
      </c>
      <c r="BJ36" s="415">
        <f t="shared" si="13"/>
        <v>70</v>
      </c>
      <c r="BK36" s="415">
        <f t="shared" si="13"/>
        <v>15</v>
      </c>
      <c r="BL36" s="415">
        <f t="shared" si="13"/>
        <v>15</v>
      </c>
      <c r="BM36" s="415">
        <f t="shared" si="13"/>
        <v>44.73822</v>
      </c>
    </row>
    <row r="37" spans="1:65" s="129" customFormat="1" ht="18.75" outlineLevel="1">
      <c r="A37" s="141" t="s">
        <v>188</v>
      </c>
      <c r="B37" s="142" t="s">
        <v>189</v>
      </c>
      <c r="C37" s="158" t="s">
        <v>190</v>
      </c>
      <c r="D37" s="144">
        <v>0.4</v>
      </c>
      <c r="E37" s="145">
        <v>170</v>
      </c>
      <c r="F37" s="146">
        <v>1</v>
      </c>
      <c r="G37" s="147">
        <v>1</v>
      </c>
      <c r="H37" s="148">
        <v>31.34452</v>
      </c>
      <c r="I37" s="149">
        <v>20.55611</v>
      </c>
      <c r="J37" s="149">
        <v>8.9624</v>
      </c>
      <c r="K37" s="149">
        <v>8.51023</v>
      </c>
      <c r="L37" s="149">
        <v>5.32066</v>
      </c>
      <c r="M37" s="149">
        <v>0</v>
      </c>
      <c r="N37" s="149">
        <v>0</v>
      </c>
      <c r="O37" s="149">
        <v>2.48824</v>
      </c>
      <c r="P37" s="149">
        <v>52.72</v>
      </c>
      <c r="Q37" s="149">
        <v>8.51023</v>
      </c>
      <c r="R37" s="150" t="s">
        <v>119</v>
      </c>
      <c r="S37" s="151" t="s">
        <v>120</v>
      </c>
      <c r="T37" s="152"/>
      <c r="U37" s="153">
        <v>244</v>
      </c>
      <c r="V37" s="154">
        <f t="shared" si="1"/>
        <v>184.37952941176468</v>
      </c>
      <c r="W37" s="154">
        <f t="shared" si="2"/>
        <v>31.34452</v>
      </c>
      <c r="X37" s="155"/>
      <c r="Y37" s="146"/>
      <c r="Z37" s="147"/>
      <c r="AA37" s="148"/>
      <c r="AB37" s="149"/>
      <c r="AC37" s="149"/>
      <c r="AD37" s="149"/>
      <c r="AE37" s="149"/>
      <c r="AF37" s="149"/>
      <c r="AG37" s="149"/>
      <c r="AH37" s="149"/>
      <c r="AI37" s="149"/>
      <c r="AJ37" s="149"/>
      <c r="AK37" s="156"/>
      <c r="AL37" s="156"/>
      <c r="AM37" s="156"/>
      <c r="AN37" s="153"/>
      <c r="AO37" s="154" t="e">
        <f t="shared" si="4"/>
        <v>#DIV/0!</v>
      </c>
      <c r="AP37" s="154" t="e">
        <f t="shared" si="5"/>
        <v>#DIV/0!</v>
      </c>
      <c r="AQ37" s="145"/>
      <c r="AR37" s="146"/>
      <c r="AS37" s="147"/>
      <c r="AT37" s="148"/>
      <c r="AU37" s="149"/>
      <c r="AV37" s="149"/>
      <c r="AW37" s="149"/>
      <c r="AX37" s="149"/>
      <c r="AY37" s="149"/>
      <c r="AZ37" s="149"/>
      <c r="BA37" s="149"/>
      <c r="BB37" s="149"/>
      <c r="BC37" s="149"/>
      <c r="BD37" s="156"/>
      <c r="BE37" s="156"/>
      <c r="BF37" s="156"/>
      <c r="BG37" s="153"/>
      <c r="BH37" s="154" t="e">
        <f t="shared" si="7"/>
        <v>#DIV/0!</v>
      </c>
      <c r="BI37" s="154" t="e">
        <f t="shared" si="8"/>
        <v>#DIV/0!</v>
      </c>
      <c r="BJ37" s="415">
        <f t="shared" si="13"/>
        <v>170</v>
      </c>
      <c r="BK37" s="415">
        <f t="shared" si="13"/>
        <v>1</v>
      </c>
      <c r="BL37" s="415">
        <f t="shared" si="13"/>
        <v>1</v>
      </c>
      <c r="BM37" s="415">
        <f t="shared" si="13"/>
        <v>31.34452</v>
      </c>
    </row>
    <row r="38" spans="1:65" s="129" customFormat="1" ht="18.75" outlineLevel="1">
      <c r="A38" s="141" t="s">
        <v>191</v>
      </c>
      <c r="B38" s="142" t="s">
        <v>192</v>
      </c>
      <c r="C38" s="158" t="s">
        <v>193</v>
      </c>
      <c r="D38" s="144">
        <v>0.4</v>
      </c>
      <c r="E38" s="145">
        <v>153</v>
      </c>
      <c r="F38" s="146">
        <v>15</v>
      </c>
      <c r="G38" s="147">
        <v>15</v>
      </c>
      <c r="H38" s="148">
        <v>67.49732</v>
      </c>
      <c r="I38" s="149">
        <v>47.42505</v>
      </c>
      <c r="J38" s="149">
        <v>8.06616</v>
      </c>
      <c r="K38" s="149">
        <v>34.74164</v>
      </c>
      <c r="L38" s="149">
        <v>10.11693</v>
      </c>
      <c r="M38" s="149">
        <v>0</v>
      </c>
      <c r="N38" s="149">
        <v>0</v>
      </c>
      <c r="O38" s="149">
        <v>4.38551</v>
      </c>
      <c r="P38" s="149">
        <v>52.72</v>
      </c>
      <c r="Q38" s="149">
        <v>8.68541</v>
      </c>
      <c r="R38" s="150" t="s">
        <v>119</v>
      </c>
      <c r="S38" s="151" t="s">
        <v>120</v>
      </c>
      <c r="T38" s="152"/>
      <c r="U38" s="153">
        <v>252</v>
      </c>
      <c r="V38" s="154">
        <f t="shared" si="1"/>
        <v>441.15895424836606</v>
      </c>
      <c r="W38" s="154">
        <f t="shared" si="2"/>
        <v>4.499821333333333</v>
      </c>
      <c r="X38" s="155"/>
      <c r="Y38" s="146"/>
      <c r="Z38" s="147"/>
      <c r="AA38" s="148"/>
      <c r="AB38" s="149"/>
      <c r="AC38" s="149"/>
      <c r="AD38" s="149"/>
      <c r="AE38" s="149"/>
      <c r="AF38" s="149"/>
      <c r="AG38" s="149"/>
      <c r="AH38" s="149"/>
      <c r="AI38" s="149"/>
      <c r="AJ38" s="149"/>
      <c r="AK38" s="156"/>
      <c r="AL38" s="156"/>
      <c r="AM38" s="156"/>
      <c r="AN38" s="153"/>
      <c r="AO38" s="154" t="e">
        <f t="shared" si="4"/>
        <v>#DIV/0!</v>
      </c>
      <c r="AP38" s="154" t="e">
        <f t="shared" si="5"/>
        <v>#DIV/0!</v>
      </c>
      <c r="AQ38" s="145"/>
      <c r="AR38" s="146"/>
      <c r="AS38" s="147"/>
      <c r="AT38" s="148"/>
      <c r="AU38" s="149"/>
      <c r="AV38" s="149"/>
      <c r="AW38" s="149"/>
      <c r="AX38" s="149"/>
      <c r="AY38" s="149"/>
      <c r="AZ38" s="149"/>
      <c r="BA38" s="149"/>
      <c r="BB38" s="149"/>
      <c r="BC38" s="149"/>
      <c r="BD38" s="156"/>
      <c r="BE38" s="156"/>
      <c r="BF38" s="156"/>
      <c r="BG38" s="153"/>
      <c r="BH38" s="154" t="e">
        <f t="shared" si="7"/>
        <v>#DIV/0!</v>
      </c>
      <c r="BI38" s="154" t="e">
        <f t="shared" si="8"/>
        <v>#DIV/0!</v>
      </c>
      <c r="BJ38" s="415">
        <f t="shared" si="13"/>
        <v>153</v>
      </c>
      <c r="BK38" s="415">
        <f t="shared" si="13"/>
        <v>15</v>
      </c>
      <c r="BL38" s="415">
        <f t="shared" si="13"/>
        <v>15</v>
      </c>
      <c r="BM38" s="415">
        <f t="shared" si="13"/>
        <v>67.49732</v>
      </c>
    </row>
    <row r="39" spans="1:65" s="129" customFormat="1" ht="18.75" outlineLevel="1">
      <c r="A39" s="141" t="s">
        <v>194</v>
      </c>
      <c r="B39" s="142" t="s">
        <v>195</v>
      </c>
      <c r="C39" s="158" t="s">
        <v>196</v>
      </c>
      <c r="D39" s="144">
        <v>0.4</v>
      </c>
      <c r="E39" s="145">
        <v>43</v>
      </c>
      <c r="F39" s="146">
        <v>15</v>
      </c>
      <c r="G39" s="147">
        <v>15</v>
      </c>
      <c r="H39" s="148">
        <v>18.18576</v>
      </c>
      <c r="I39" s="149">
        <v>13.00921</v>
      </c>
      <c r="J39" s="149">
        <v>2.26696</v>
      </c>
      <c r="K39" s="149">
        <v>9.03311</v>
      </c>
      <c r="L39" s="149">
        <v>2.5906</v>
      </c>
      <c r="M39" s="149">
        <v>0</v>
      </c>
      <c r="N39" s="149">
        <v>0</v>
      </c>
      <c r="O39" s="149">
        <v>1.14298</v>
      </c>
      <c r="P39" s="149">
        <v>52.72</v>
      </c>
      <c r="Q39" s="149">
        <v>9.03311</v>
      </c>
      <c r="R39" s="150" t="s">
        <v>119</v>
      </c>
      <c r="S39" s="151" t="s">
        <v>120</v>
      </c>
      <c r="T39" s="152"/>
      <c r="U39" s="153">
        <v>264</v>
      </c>
      <c r="V39" s="154">
        <f t="shared" si="1"/>
        <v>422.92465116279067</v>
      </c>
      <c r="W39" s="154">
        <f t="shared" si="2"/>
        <v>1.212384</v>
      </c>
      <c r="X39" s="155"/>
      <c r="Y39" s="146"/>
      <c r="Z39" s="147"/>
      <c r="AA39" s="148"/>
      <c r="AB39" s="149"/>
      <c r="AC39" s="149"/>
      <c r="AD39" s="149"/>
      <c r="AE39" s="149"/>
      <c r="AF39" s="149"/>
      <c r="AG39" s="149"/>
      <c r="AH39" s="149"/>
      <c r="AI39" s="149"/>
      <c r="AJ39" s="149"/>
      <c r="AK39" s="156"/>
      <c r="AL39" s="156"/>
      <c r="AM39" s="156"/>
      <c r="AN39" s="153"/>
      <c r="AO39" s="154" t="e">
        <f t="shared" si="4"/>
        <v>#DIV/0!</v>
      </c>
      <c r="AP39" s="154" t="e">
        <f t="shared" si="5"/>
        <v>#DIV/0!</v>
      </c>
      <c r="AQ39" s="145"/>
      <c r="AR39" s="146"/>
      <c r="AS39" s="147"/>
      <c r="AT39" s="148"/>
      <c r="AU39" s="149"/>
      <c r="AV39" s="149"/>
      <c r="AW39" s="149"/>
      <c r="AX39" s="149"/>
      <c r="AY39" s="149"/>
      <c r="AZ39" s="149"/>
      <c r="BA39" s="149"/>
      <c r="BB39" s="149"/>
      <c r="BC39" s="149"/>
      <c r="BD39" s="156"/>
      <c r="BE39" s="156"/>
      <c r="BF39" s="156"/>
      <c r="BG39" s="153"/>
      <c r="BH39" s="154" t="e">
        <f t="shared" si="7"/>
        <v>#DIV/0!</v>
      </c>
      <c r="BI39" s="154" t="e">
        <f t="shared" si="8"/>
        <v>#DIV/0!</v>
      </c>
      <c r="BJ39" s="415">
        <f t="shared" si="13"/>
        <v>43</v>
      </c>
      <c r="BK39" s="415">
        <f t="shared" si="13"/>
        <v>15</v>
      </c>
      <c r="BL39" s="415">
        <f t="shared" si="13"/>
        <v>15</v>
      </c>
      <c r="BM39" s="415">
        <f t="shared" si="13"/>
        <v>18.18576</v>
      </c>
    </row>
    <row r="40" spans="1:65" s="129" customFormat="1" ht="18.75" outlineLevel="1">
      <c r="A40" s="141" t="s">
        <v>197</v>
      </c>
      <c r="B40" s="142" t="s">
        <v>198</v>
      </c>
      <c r="C40" s="158" t="s">
        <v>199</v>
      </c>
      <c r="D40" s="144">
        <v>0.4</v>
      </c>
      <c r="E40" s="145">
        <v>40</v>
      </c>
      <c r="F40" s="146">
        <v>15</v>
      </c>
      <c r="G40" s="147">
        <v>15</v>
      </c>
      <c r="H40" s="148">
        <v>17.62284</v>
      </c>
      <c r="I40" s="149">
        <v>12.57931</v>
      </c>
      <c r="J40" s="149">
        <v>2.1088</v>
      </c>
      <c r="K40" s="149">
        <v>9.03311</v>
      </c>
      <c r="L40" s="149">
        <v>2.52566</v>
      </c>
      <c r="M40" s="149">
        <v>0</v>
      </c>
      <c r="N40" s="149">
        <v>0</v>
      </c>
      <c r="O40" s="149">
        <v>1.1112</v>
      </c>
      <c r="P40" s="149">
        <v>52.72</v>
      </c>
      <c r="Q40" s="149">
        <v>9.03311</v>
      </c>
      <c r="R40" s="150" t="s">
        <v>119</v>
      </c>
      <c r="S40" s="151" t="s">
        <v>120</v>
      </c>
      <c r="T40" s="152"/>
      <c r="U40" s="153">
        <v>268</v>
      </c>
      <c r="V40" s="154">
        <f t="shared" si="1"/>
        <v>440.57099999999997</v>
      </c>
      <c r="W40" s="154">
        <f t="shared" si="2"/>
        <v>1.174856</v>
      </c>
      <c r="X40" s="155"/>
      <c r="Y40" s="146"/>
      <c r="Z40" s="147"/>
      <c r="AA40" s="148"/>
      <c r="AB40" s="149"/>
      <c r="AC40" s="149"/>
      <c r="AD40" s="149"/>
      <c r="AE40" s="149"/>
      <c r="AF40" s="149"/>
      <c r="AG40" s="149"/>
      <c r="AH40" s="149"/>
      <c r="AI40" s="149"/>
      <c r="AJ40" s="149"/>
      <c r="AK40" s="156"/>
      <c r="AL40" s="156"/>
      <c r="AM40" s="156"/>
      <c r="AN40" s="153"/>
      <c r="AO40" s="154" t="e">
        <f t="shared" si="4"/>
        <v>#DIV/0!</v>
      </c>
      <c r="AP40" s="154" t="e">
        <f t="shared" si="5"/>
        <v>#DIV/0!</v>
      </c>
      <c r="AQ40" s="145"/>
      <c r="AR40" s="146"/>
      <c r="AS40" s="147"/>
      <c r="AT40" s="148"/>
      <c r="AU40" s="149"/>
      <c r="AV40" s="149"/>
      <c r="AW40" s="149"/>
      <c r="AX40" s="149"/>
      <c r="AY40" s="149"/>
      <c r="AZ40" s="149"/>
      <c r="BA40" s="149"/>
      <c r="BB40" s="149"/>
      <c r="BC40" s="149"/>
      <c r="BD40" s="156"/>
      <c r="BE40" s="156"/>
      <c r="BF40" s="156"/>
      <c r="BG40" s="153"/>
      <c r="BH40" s="154" t="e">
        <f t="shared" si="7"/>
        <v>#DIV/0!</v>
      </c>
      <c r="BI40" s="154" t="e">
        <f t="shared" si="8"/>
        <v>#DIV/0!</v>
      </c>
      <c r="BJ40" s="415">
        <f t="shared" si="13"/>
        <v>40</v>
      </c>
      <c r="BK40" s="415">
        <f t="shared" si="13"/>
        <v>15</v>
      </c>
      <c r="BL40" s="415">
        <f t="shared" si="13"/>
        <v>15</v>
      </c>
      <c r="BM40" s="415">
        <f t="shared" si="13"/>
        <v>17.62284</v>
      </c>
    </row>
    <row r="41" spans="1:65" s="129" customFormat="1" ht="18.75" outlineLevel="1">
      <c r="A41" s="141" t="s">
        <v>200</v>
      </c>
      <c r="B41" s="142" t="s">
        <v>201</v>
      </c>
      <c r="C41" s="158" t="s">
        <v>202</v>
      </c>
      <c r="D41" s="144">
        <v>0.4</v>
      </c>
      <c r="E41" s="145">
        <v>40</v>
      </c>
      <c r="F41" s="146">
        <v>15</v>
      </c>
      <c r="G41" s="147">
        <v>15</v>
      </c>
      <c r="H41" s="148">
        <v>17.62284</v>
      </c>
      <c r="I41" s="149">
        <v>12.57931</v>
      </c>
      <c r="J41" s="149">
        <v>2.1088</v>
      </c>
      <c r="K41" s="149">
        <v>9.03311</v>
      </c>
      <c r="L41" s="149">
        <v>2.52566</v>
      </c>
      <c r="M41" s="149">
        <v>0</v>
      </c>
      <c r="N41" s="149">
        <v>0</v>
      </c>
      <c r="O41" s="149">
        <v>1.1112</v>
      </c>
      <c r="P41" s="149">
        <v>52.72</v>
      </c>
      <c r="Q41" s="149">
        <v>9.03311</v>
      </c>
      <c r="R41" s="150" t="s">
        <v>119</v>
      </c>
      <c r="S41" s="151" t="s">
        <v>120</v>
      </c>
      <c r="T41" s="152"/>
      <c r="U41" s="153">
        <v>272</v>
      </c>
      <c r="V41" s="154">
        <f t="shared" si="1"/>
        <v>440.57099999999997</v>
      </c>
      <c r="W41" s="154">
        <f t="shared" si="2"/>
        <v>1.174856</v>
      </c>
      <c r="X41" s="155"/>
      <c r="Y41" s="146"/>
      <c r="Z41" s="147"/>
      <c r="AA41" s="148"/>
      <c r="AB41" s="149"/>
      <c r="AC41" s="149"/>
      <c r="AD41" s="149"/>
      <c r="AE41" s="149"/>
      <c r="AF41" s="149"/>
      <c r="AG41" s="149"/>
      <c r="AH41" s="149"/>
      <c r="AI41" s="149"/>
      <c r="AJ41" s="149"/>
      <c r="AK41" s="156"/>
      <c r="AL41" s="156"/>
      <c r="AM41" s="156"/>
      <c r="AN41" s="153"/>
      <c r="AO41" s="154" t="e">
        <f t="shared" si="4"/>
        <v>#DIV/0!</v>
      </c>
      <c r="AP41" s="154" t="e">
        <f t="shared" si="5"/>
        <v>#DIV/0!</v>
      </c>
      <c r="AQ41" s="145"/>
      <c r="AR41" s="146"/>
      <c r="AS41" s="147"/>
      <c r="AT41" s="148"/>
      <c r="AU41" s="149"/>
      <c r="AV41" s="149"/>
      <c r="AW41" s="149"/>
      <c r="AX41" s="149"/>
      <c r="AY41" s="149"/>
      <c r="AZ41" s="149"/>
      <c r="BA41" s="149"/>
      <c r="BB41" s="149"/>
      <c r="BC41" s="149"/>
      <c r="BD41" s="156"/>
      <c r="BE41" s="156"/>
      <c r="BF41" s="156"/>
      <c r="BG41" s="153"/>
      <c r="BH41" s="154" t="e">
        <f t="shared" si="7"/>
        <v>#DIV/0!</v>
      </c>
      <c r="BI41" s="154" t="e">
        <f t="shared" si="8"/>
        <v>#DIV/0!</v>
      </c>
      <c r="BJ41" s="415">
        <f t="shared" si="13"/>
        <v>40</v>
      </c>
      <c r="BK41" s="415">
        <f t="shared" si="13"/>
        <v>15</v>
      </c>
      <c r="BL41" s="415">
        <f t="shared" si="13"/>
        <v>15</v>
      </c>
      <c r="BM41" s="415">
        <f t="shared" si="13"/>
        <v>17.62284</v>
      </c>
    </row>
    <row r="42" spans="1:65" s="129" customFormat="1" ht="18.75" outlineLevel="1">
      <c r="A42" s="141" t="s">
        <v>203</v>
      </c>
      <c r="B42" s="142" t="s">
        <v>204</v>
      </c>
      <c r="C42" s="158" t="s">
        <v>205</v>
      </c>
      <c r="D42" s="144">
        <v>0.4</v>
      </c>
      <c r="E42" s="145">
        <v>43</v>
      </c>
      <c r="F42" s="146">
        <v>15</v>
      </c>
      <c r="G42" s="147">
        <v>15</v>
      </c>
      <c r="H42" s="148">
        <v>18.18576</v>
      </c>
      <c r="I42" s="149">
        <v>13.00921</v>
      </c>
      <c r="J42" s="149">
        <v>2.26696</v>
      </c>
      <c r="K42" s="149">
        <v>9.03311</v>
      </c>
      <c r="L42" s="149">
        <v>2.5906</v>
      </c>
      <c r="M42" s="149">
        <v>0</v>
      </c>
      <c r="N42" s="149">
        <v>0</v>
      </c>
      <c r="O42" s="149">
        <v>1.14298</v>
      </c>
      <c r="P42" s="149">
        <v>52.72</v>
      </c>
      <c r="Q42" s="149">
        <v>9.03311</v>
      </c>
      <c r="R42" s="150" t="s">
        <v>119</v>
      </c>
      <c r="S42" s="151" t="s">
        <v>120</v>
      </c>
      <c r="T42" s="152"/>
      <c r="U42" s="153">
        <v>280</v>
      </c>
      <c r="V42" s="154">
        <f t="shared" si="1"/>
        <v>422.92465116279067</v>
      </c>
      <c r="W42" s="154">
        <f t="shared" si="2"/>
        <v>1.212384</v>
      </c>
      <c r="X42" s="155"/>
      <c r="Y42" s="146"/>
      <c r="Z42" s="147"/>
      <c r="AA42" s="148"/>
      <c r="AB42" s="149"/>
      <c r="AC42" s="149"/>
      <c r="AD42" s="149"/>
      <c r="AE42" s="149"/>
      <c r="AF42" s="149"/>
      <c r="AG42" s="149"/>
      <c r="AH42" s="149"/>
      <c r="AI42" s="149"/>
      <c r="AJ42" s="149"/>
      <c r="AK42" s="156"/>
      <c r="AL42" s="156"/>
      <c r="AM42" s="156"/>
      <c r="AN42" s="153"/>
      <c r="AO42" s="154" t="e">
        <f t="shared" si="4"/>
        <v>#DIV/0!</v>
      </c>
      <c r="AP42" s="154" t="e">
        <f t="shared" si="5"/>
        <v>#DIV/0!</v>
      </c>
      <c r="AQ42" s="145"/>
      <c r="AR42" s="146"/>
      <c r="AS42" s="147"/>
      <c r="AT42" s="148"/>
      <c r="AU42" s="149"/>
      <c r="AV42" s="149"/>
      <c r="AW42" s="149"/>
      <c r="AX42" s="149"/>
      <c r="AY42" s="149"/>
      <c r="AZ42" s="149"/>
      <c r="BA42" s="149"/>
      <c r="BB42" s="149"/>
      <c r="BC42" s="149"/>
      <c r="BD42" s="156"/>
      <c r="BE42" s="156"/>
      <c r="BF42" s="156"/>
      <c r="BG42" s="153"/>
      <c r="BH42" s="154" t="e">
        <f t="shared" si="7"/>
        <v>#DIV/0!</v>
      </c>
      <c r="BI42" s="154" t="e">
        <f t="shared" si="8"/>
        <v>#DIV/0!</v>
      </c>
      <c r="BJ42" s="415">
        <f t="shared" si="13"/>
        <v>43</v>
      </c>
      <c r="BK42" s="415">
        <f t="shared" si="13"/>
        <v>15</v>
      </c>
      <c r="BL42" s="415">
        <f t="shared" si="13"/>
        <v>15</v>
      </c>
      <c r="BM42" s="415">
        <f t="shared" si="13"/>
        <v>18.18576</v>
      </c>
    </row>
    <row r="43" spans="1:65" s="129" customFormat="1" ht="18.75" outlineLevel="1">
      <c r="A43" s="141" t="s">
        <v>206</v>
      </c>
      <c r="B43" s="142" t="s">
        <v>207</v>
      </c>
      <c r="C43" s="158" t="s">
        <v>208</v>
      </c>
      <c r="D43" s="144">
        <v>0.4</v>
      </c>
      <c r="E43" s="145">
        <v>42</v>
      </c>
      <c r="F43" s="146">
        <v>15</v>
      </c>
      <c r="G43" s="147">
        <v>15</v>
      </c>
      <c r="H43" s="148">
        <v>20.38283</v>
      </c>
      <c r="I43" s="149">
        <v>15.1686</v>
      </c>
      <c r="J43" s="149">
        <v>2.21424</v>
      </c>
      <c r="K43" s="149">
        <v>9.41676</v>
      </c>
      <c r="L43" s="149">
        <v>2.64008</v>
      </c>
      <c r="M43" s="149">
        <v>0</v>
      </c>
      <c r="N43" s="149">
        <v>0</v>
      </c>
      <c r="O43" s="149">
        <v>1.14328</v>
      </c>
      <c r="P43" s="149">
        <v>52.72</v>
      </c>
      <c r="Q43" s="149">
        <v>9.41676</v>
      </c>
      <c r="R43" s="150" t="s">
        <v>119</v>
      </c>
      <c r="S43" s="151" t="s">
        <v>120</v>
      </c>
      <c r="T43" s="152"/>
      <c r="U43" s="153">
        <v>288</v>
      </c>
      <c r="V43" s="154">
        <f t="shared" si="1"/>
        <v>485.30547619047616</v>
      </c>
      <c r="W43" s="154">
        <f t="shared" si="2"/>
        <v>1.3588553333333333</v>
      </c>
      <c r="X43" s="155"/>
      <c r="Y43" s="146"/>
      <c r="Z43" s="147"/>
      <c r="AA43" s="148"/>
      <c r="AB43" s="149"/>
      <c r="AC43" s="149"/>
      <c r="AD43" s="149"/>
      <c r="AE43" s="149"/>
      <c r="AF43" s="149"/>
      <c r="AG43" s="149"/>
      <c r="AH43" s="149"/>
      <c r="AI43" s="149"/>
      <c r="AJ43" s="149"/>
      <c r="AK43" s="156"/>
      <c r="AL43" s="156"/>
      <c r="AM43" s="156"/>
      <c r="AN43" s="153"/>
      <c r="AO43" s="154" t="e">
        <f t="shared" si="4"/>
        <v>#DIV/0!</v>
      </c>
      <c r="AP43" s="154" t="e">
        <f t="shared" si="5"/>
        <v>#DIV/0!</v>
      </c>
      <c r="AQ43" s="145"/>
      <c r="AR43" s="146"/>
      <c r="AS43" s="147"/>
      <c r="AT43" s="148"/>
      <c r="AU43" s="149"/>
      <c r="AV43" s="149"/>
      <c r="AW43" s="149"/>
      <c r="AX43" s="149"/>
      <c r="AY43" s="149"/>
      <c r="AZ43" s="149"/>
      <c r="BA43" s="149"/>
      <c r="BB43" s="149"/>
      <c r="BC43" s="149"/>
      <c r="BD43" s="156"/>
      <c r="BE43" s="156"/>
      <c r="BF43" s="156"/>
      <c r="BG43" s="153"/>
      <c r="BH43" s="154" t="e">
        <f t="shared" si="7"/>
        <v>#DIV/0!</v>
      </c>
      <c r="BI43" s="154" t="e">
        <f t="shared" si="8"/>
        <v>#DIV/0!</v>
      </c>
      <c r="BJ43" s="415">
        <f t="shared" si="13"/>
        <v>42</v>
      </c>
      <c r="BK43" s="415">
        <f t="shared" si="13"/>
        <v>15</v>
      </c>
      <c r="BL43" s="415">
        <f t="shared" si="13"/>
        <v>15</v>
      </c>
      <c r="BM43" s="415">
        <f t="shared" si="13"/>
        <v>20.38283</v>
      </c>
    </row>
    <row r="44" spans="1:65" s="129" customFormat="1" ht="18.75" outlineLevel="1">
      <c r="A44" s="141" t="s">
        <v>209</v>
      </c>
      <c r="B44" s="142" t="s">
        <v>210</v>
      </c>
      <c r="C44" s="158" t="s">
        <v>211</v>
      </c>
      <c r="D44" s="144">
        <v>0.4</v>
      </c>
      <c r="E44" s="145">
        <v>40</v>
      </c>
      <c r="F44" s="146">
        <v>15</v>
      </c>
      <c r="G44" s="147">
        <v>15</v>
      </c>
      <c r="H44" s="148">
        <v>18.92808</v>
      </c>
      <c r="I44" s="149">
        <v>13.88455</v>
      </c>
      <c r="J44" s="149">
        <v>2.1088</v>
      </c>
      <c r="K44" s="149">
        <v>9.41676</v>
      </c>
      <c r="L44" s="149">
        <v>2.52566</v>
      </c>
      <c r="M44" s="149">
        <v>0</v>
      </c>
      <c r="N44" s="149">
        <v>0</v>
      </c>
      <c r="O44" s="149">
        <v>1.1112</v>
      </c>
      <c r="P44" s="149">
        <v>52.72</v>
      </c>
      <c r="Q44" s="149">
        <v>9.41676</v>
      </c>
      <c r="R44" s="150" t="s">
        <v>119</v>
      </c>
      <c r="S44" s="151" t="s">
        <v>120</v>
      </c>
      <c r="T44" s="152"/>
      <c r="U44" s="153">
        <v>292</v>
      </c>
      <c r="V44" s="154">
        <f t="shared" si="1"/>
        <v>473.202</v>
      </c>
      <c r="W44" s="154">
        <f t="shared" si="2"/>
        <v>1.261872</v>
      </c>
      <c r="X44" s="155"/>
      <c r="Y44" s="146"/>
      <c r="Z44" s="147"/>
      <c r="AA44" s="148"/>
      <c r="AB44" s="149"/>
      <c r="AC44" s="149"/>
      <c r="AD44" s="149"/>
      <c r="AE44" s="149"/>
      <c r="AF44" s="149"/>
      <c r="AG44" s="149"/>
      <c r="AH44" s="149"/>
      <c r="AI44" s="149"/>
      <c r="AJ44" s="149"/>
      <c r="AK44" s="156"/>
      <c r="AL44" s="156"/>
      <c r="AM44" s="156"/>
      <c r="AN44" s="153"/>
      <c r="AO44" s="154" t="e">
        <f t="shared" si="4"/>
        <v>#DIV/0!</v>
      </c>
      <c r="AP44" s="154" t="e">
        <f t="shared" si="5"/>
        <v>#DIV/0!</v>
      </c>
      <c r="AQ44" s="145"/>
      <c r="AR44" s="146"/>
      <c r="AS44" s="147"/>
      <c r="AT44" s="148"/>
      <c r="AU44" s="149"/>
      <c r="AV44" s="149"/>
      <c r="AW44" s="149"/>
      <c r="AX44" s="149"/>
      <c r="AY44" s="149"/>
      <c r="AZ44" s="149"/>
      <c r="BA44" s="149"/>
      <c r="BB44" s="149"/>
      <c r="BC44" s="149"/>
      <c r="BD44" s="156"/>
      <c r="BE44" s="156"/>
      <c r="BF44" s="156"/>
      <c r="BG44" s="153"/>
      <c r="BH44" s="154" t="e">
        <f t="shared" si="7"/>
        <v>#DIV/0!</v>
      </c>
      <c r="BI44" s="154" t="e">
        <f t="shared" si="8"/>
        <v>#DIV/0!</v>
      </c>
      <c r="BJ44" s="415">
        <f t="shared" si="13"/>
        <v>40</v>
      </c>
      <c r="BK44" s="415">
        <f t="shared" si="13"/>
        <v>15</v>
      </c>
      <c r="BL44" s="415">
        <f t="shared" si="13"/>
        <v>15</v>
      </c>
      <c r="BM44" s="415">
        <f t="shared" si="13"/>
        <v>18.92808</v>
      </c>
    </row>
    <row r="45" spans="1:65" s="129" customFormat="1" ht="18.75" outlineLevel="1">
      <c r="A45" s="141" t="s">
        <v>212</v>
      </c>
      <c r="B45" s="142" t="s">
        <v>213</v>
      </c>
      <c r="C45" s="158" t="s">
        <v>214</v>
      </c>
      <c r="D45" s="144">
        <v>0.4</v>
      </c>
      <c r="E45" s="145">
        <v>2</v>
      </c>
      <c r="F45" s="146">
        <v>15</v>
      </c>
      <c r="G45" s="147">
        <v>15</v>
      </c>
      <c r="H45" s="148">
        <v>16.30377</v>
      </c>
      <c r="I45" s="149">
        <v>11.61495</v>
      </c>
      <c r="J45" s="149">
        <v>0.10544</v>
      </c>
      <c r="K45" s="149">
        <v>9.41676</v>
      </c>
      <c r="L45" s="149">
        <v>2.35249</v>
      </c>
      <c r="M45" s="149">
        <v>0</v>
      </c>
      <c r="N45" s="149">
        <v>0</v>
      </c>
      <c r="O45" s="149">
        <v>1.02646</v>
      </c>
      <c r="P45" s="149">
        <v>52.72</v>
      </c>
      <c r="Q45" s="149">
        <v>9.41676</v>
      </c>
      <c r="R45" s="150" t="s">
        <v>119</v>
      </c>
      <c r="S45" s="151" t="s">
        <v>120</v>
      </c>
      <c r="T45" s="152"/>
      <c r="U45" s="153">
        <v>293</v>
      </c>
      <c r="V45" s="154">
        <f t="shared" si="1"/>
        <v>8151.885</v>
      </c>
      <c r="W45" s="154">
        <f t="shared" si="2"/>
        <v>1.086918</v>
      </c>
      <c r="X45" s="155"/>
      <c r="Y45" s="146"/>
      <c r="Z45" s="147"/>
      <c r="AA45" s="148"/>
      <c r="AB45" s="149"/>
      <c r="AC45" s="149"/>
      <c r="AD45" s="149"/>
      <c r="AE45" s="149"/>
      <c r="AF45" s="149"/>
      <c r="AG45" s="149"/>
      <c r="AH45" s="149"/>
      <c r="AI45" s="149"/>
      <c r="AJ45" s="149"/>
      <c r="AK45" s="156"/>
      <c r="AL45" s="156"/>
      <c r="AM45" s="156"/>
      <c r="AN45" s="153"/>
      <c r="AO45" s="154" t="e">
        <f t="shared" si="4"/>
        <v>#DIV/0!</v>
      </c>
      <c r="AP45" s="154" t="e">
        <f t="shared" si="5"/>
        <v>#DIV/0!</v>
      </c>
      <c r="AQ45" s="145"/>
      <c r="AR45" s="146"/>
      <c r="AS45" s="147"/>
      <c r="AT45" s="148"/>
      <c r="AU45" s="149"/>
      <c r="AV45" s="149"/>
      <c r="AW45" s="149"/>
      <c r="AX45" s="149"/>
      <c r="AY45" s="149"/>
      <c r="AZ45" s="149"/>
      <c r="BA45" s="149"/>
      <c r="BB45" s="149"/>
      <c r="BC45" s="149"/>
      <c r="BD45" s="156"/>
      <c r="BE45" s="156"/>
      <c r="BF45" s="156"/>
      <c r="BG45" s="153"/>
      <c r="BH45" s="154" t="e">
        <f t="shared" si="7"/>
        <v>#DIV/0!</v>
      </c>
      <c r="BI45" s="154" t="e">
        <f t="shared" si="8"/>
        <v>#DIV/0!</v>
      </c>
      <c r="BJ45" s="415">
        <f t="shared" si="13"/>
        <v>2</v>
      </c>
      <c r="BK45" s="415">
        <f t="shared" si="13"/>
        <v>15</v>
      </c>
      <c r="BL45" s="415">
        <f t="shared" si="13"/>
        <v>15</v>
      </c>
      <c r="BM45" s="415">
        <f t="shared" si="13"/>
        <v>16.30377</v>
      </c>
    </row>
    <row r="46" spans="1:65" s="129" customFormat="1" ht="18.75" outlineLevel="1">
      <c r="A46" s="141" t="s">
        <v>215</v>
      </c>
      <c r="B46" s="142" t="s">
        <v>216</v>
      </c>
      <c r="C46" s="158" t="s">
        <v>217</v>
      </c>
      <c r="D46" s="144">
        <v>0.4</v>
      </c>
      <c r="E46" s="145">
        <v>80</v>
      </c>
      <c r="F46" s="146">
        <v>15</v>
      </c>
      <c r="G46" s="147">
        <v>15</v>
      </c>
      <c r="H46" s="148">
        <v>25.52727</v>
      </c>
      <c r="I46" s="149">
        <v>18.71022</v>
      </c>
      <c r="J46" s="149">
        <v>4.2176</v>
      </c>
      <c r="K46" s="149">
        <v>9.41676</v>
      </c>
      <c r="L46" s="149">
        <v>3.39153</v>
      </c>
      <c r="M46" s="149">
        <v>0</v>
      </c>
      <c r="N46" s="149">
        <v>0</v>
      </c>
      <c r="O46" s="149">
        <v>1.5349</v>
      </c>
      <c r="P46" s="149">
        <v>52.72</v>
      </c>
      <c r="Q46" s="149">
        <v>9.41676</v>
      </c>
      <c r="R46" s="150" t="s">
        <v>119</v>
      </c>
      <c r="S46" s="151" t="s">
        <v>120</v>
      </c>
      <c r="T46" s="152"/>
      <c r="U46" s="153">
        <v>316</v>
      </c>
      <c r="V46" s="154">
        <f t="shared" si="1"/>
        <v>319.090875</v>
      </c>
      <c r="W46" s="154">
        <f t="shared" si="2"/>
        <v>1.701818</v>
      </c>
      <c r="X46" s="155"/>
      <c r="Y46" s="146"/>
      <c r="Z46" s="147"/>
      <c r="AA46" s="148"/>
      <c r="AB46" s="149"/>
      <c r="AC46" s="149"/>
      <c r="AD46" s="149"/>
      <c r="AE46" s="149"/>
      <c r="AF46" s="149"/>
      <c r="AG46" s="149"/>
      <c r="AH46" s="149"/>
      <c r="AI46" s="149"/>
      <c r="AJ46" s="149"/>
      <c r="AK46" s="156"/>
      <c r="AL46" s="156"/>
      <c r="AM46" s="156"/>
      <c r="AN46" s="153"/>
      <c r="AO46" s="154" t="e">
        <f t="shared" si="4"/>
        <v>#DIV/0!</v>
      </c>
      <c r="AP46" s="154" t="e">
        <f t="shared" si="5"/>
        <v>#DIV/0!</v>
      </c>
      <c r="AQ46" s="145"/>
      <c r="AR46" s="146"/>
      <c r="AS46" s="147"/>
      <c r="AT46" s="148"/>
      <c r="AU46" s="149"/>
      <c r="AV46" s="149"/>
      <c r="AW46" s="149"/>
      <c r="AX46" s="149"/>
      <c r="AY46" s="149"/>
      <c r="AZ46" s="149"/>
      <c r="BA46" s="149"/>
      <c r="BB46" s="149"/>
      <c r="BC46" s="149"/>
      <c r="BD46" s="156"/>
      <c r="BE46" s="156"/>
      <c r="BF46" s="156"/>
      <c r="BG46" s="153"/>
      <c r="BH46" s="154" t="e">
        <f t="shared" si="7"/>
        <v>#DIV/0!</v>
      </c>
      <c r="BI46" s="154" t="e">
        <f t="shared" si="8"/>
        <v>#DIV/0!</v>
      </c>
      <c r="BJ46" s="415">
        <f t="shared" si="13"/>
        <v>80</v>
      </c>
      <c r="BK46" s="415">
        <f t="shared" si="13"/>
        <v>15</v>
      </c>
      <c r="BL46" s="415">
        <f t="shared" si="13"/>
        <v>15</v>
      </c>
      <c r="BM46" s="415">
        <f t="shared" si="13"/>
        <v>25.52727</v>
      </c>
    </row>
    <row r="47" spans="1:65" s="129" customFormat="1" ht="18.75" outlineLevel="1">
      <c r="A47" s="141" t="s">
        <v>218</v>
      </c>
      <c r="B47" s="142" t="s">
        <v>219</v>
      </c>
      <c r="C47" s="158" t="s">
        <v>220</v>
      </c>
      <c r="D47" s="144">
        <v>0.4</v>
      </c>
      <c r="E47" s="145">
        <v>80</v>
      </c>
      <c r="F47" s="146">
        <v>15</v>
      </c>
      <c r="G47" s="147">
        <v>15</v>
      </c>
      <c r="H47" s="148">
        <v>36.19061</v>
      </c>
      <c r="I47" s="149">
        <v>26.10355</v>
      </c>
      <c r="J47" s="149">
        <v>4.2176</v>
      </c>
      <c r="K47" s="149">
        <v>18.83352</v>
      </c>
      <c r="L47" s="149">
        <v>5.05132</v>
      </c>
      <c r="M47" s="149">
        <v>0</v>
      </c>
      <c r="N47" s="149">
        <v>0</v>
      </c>
      <c r="O47" s="149">
        <v>2.2224</v>
      </c>
      <c r="P47" s="149">
        <v>52.72</v>
      </c>
      <c r="Q47" s="149">
        <v>9.41676</v>
      </c>
      <c r="R47" s="150" t="s">
        <v>119</v>
      </c>
      <c r="S47" s="151" t="s">
        <v>120</v>
      </c>
      <c r="T47" s="152"/>
      <c r="U47" s="153">
        <v>320</v>
      </c>
      <c r="V47" s="154">
        <f t="shared" si="1"/>
        <v>452.38262499999996</v>
      </c>
      <c r="W47" s="154">
        <f t="shared" si="2"/>
        <v>2.412707333333333</v>
      </c>
      <c r="X47" s="155"/>
      <c r="Y47" s="146"/>
      <c r="Z47" s="147"/>
      <c r="AA47" s="148"/>
      <c r="AB47" s="149"/>
      <c r="AC47" s="149"/>
      <c r="AD47" s="149"/>
      <c r="AE47" s="149"/>
      <c r="AF47" s="149"/>
      <c r="AG47" s="149"/>
      <c r="AH47" s="149"/>
      <c r="AI47" s="149"/>
      <c r="AJ47" s="149"/>
      <c r="AK47" s="156"/>
      <c r="AL47" s="156"/>
      <c r="AM47" s="156"/>
      <c r="AN47" s="153"/>
      <c r="AO47" s="154" t="e">
        <f t="shared" si="4"/>
        <v>#DIV/0!</v>
      </c>
      <c r="AP47" s="154" t="e">
        <f t="shared" si="5"/>
        <v>#DIV/0!</v>
      </c>
      <c r="AQ47" s="145"/>
      <c r="AR47" s="146"/>
      <c r="AS47" s="147"/>
      <c r="AT47" s="148"/>
      <c r="AU47" s="149"/>
      <c r="AV47" s="149"/>
      <c r="AW47" s="149"/>
      <c r="AX47" s="149"/>
      <c r="AY47" s="149"/>
      <c r="AZ47" s="149"/>
      <c r="BA47" s="149"/>
      <c r="BB47" s="149"/>
      <c r="BC47" s="149"/>
      <c r="BD47" s="156"/>
      <c r="BE47" s="156"/>
      <c r="BF47" s="156"/>
      <c r="BG47" s="153"/>
      <c r="BH47" s="154" t="e">
        <f t="shared" si="7"/>
        <v>#DIV/0!</v>
      </c>
      <c r="BI47" s="154" t="e">
        <f t="shared" si="8"/>
        <v>#DIV/0!</v>
      </c>
      <c r="BJ47" s="415">
        <f t="shared" si="13"/>
        <v>80</v>
      </c>
      <c r="BK47" s="415">
        <f t="shared" si="13"/>
        <v>15</v>
      </c>
      <c r="BL47" s="415">
        <f t="shared" si="13"/>
        <v>15</v>
      </c>
      <c r="BM47" s="415">
        <f t="shared" si="13"/>
        <v>36.19061</v>
      </c>
    </row>
    <row r="48" spans="1:65" s="129" customFormat="1" ht="18.75" outlineLevel="1">
      <c r="A48" s="141" t="s">
        <v>221</v>
      </c>
      <c r="B48" s="142" t="s">
        <v>222</v>
      </c>
      <c r="C48" s="158" t="s">
        <v>223</v>
      </c>
      <c r="D48" s="144">
        <v>0.4</v>
      </c>
      <c r="E48" s="145">
        <v>55</v>
      </c>
      <c r="F48" s="146">
        <v>15</v>
      </c>
      <c r="G48" s="147">
        <v>15</v>
      </c>
      <c r="H48" s="148">
        <v>20.41536</v>
      </c>
      <c r="I48" s="149">
        <v>14.70676</v>
      </c>
      <c r="J48" s="149">
        <v>2.8996</v>
      </c>
      <c r="K48" s="149">
        <v>9.463</v>
      </c>
      <c r="L48" s="149">
        <v>2.85036</v>
      </c>
      <c r="M48" s="149">
        <v>0</v>
      </c>
      <c r="N48" s="149">
        <v>0</v>
      </c>
      <c r="O48" s="149">
        <v>1.27009</v>
      </c>
      <c r="P48" s="149">
        <v>52.72</v>
      </c>
      <c r="Q48" s="149">
        <v>9.463</v>
      </c>
      <c r="R48" s="150" t="s">
        <v>119</v>
      </c>
      <c r="S48" s="151" t="s">
        <v>120</v>
      </c>
      <c r="T48" s="152"/>
      <c r="U48" s="153">
        <v>332</v>
      </c>
      <c r="V48" s="154">
        <f t="shared" si="1"/>
        <v>371.18836363636365</v>
      </c>
      <c r="W48" s="154">
        <f t="shared" si="2"/>
        <v>1.361024</v>
      </c>
      <c r="X48" s="155"/>
      <c r="Y48" s="146"/>
      <c r="Z48" s="147"/>
      <c r="AA48" s="148"/>
      <c r="AB48" s="149"/>
      <c r="AC48" s="149"/>
      <c r="AD48" s="149"/>
      <c r="AE48" s="149"/>
      <c r="AF48" s="149"/>
      <c r="AG48" s="149"/>
      <c r="AH48" s="149"/>
      <c r="AI48" s="149"/>
      <c r="AJ48" s="149"/>
      <c r="AK48" s="156"/>
      <c r="AL48" s="156"/>
      <c r="AM48" s="156"/>
      <c r="AN48" s="153"/>
      <c r="AO48" s="154" t="e">
        <f t="shared" si="4"/>
        <v>#DIV/0!</v>
      </c>
      <c r="AP48" s="154" t="e">
        <f t="shared" si="5"/>
        <v>#DIV/0!</v>
      </c>
      <c r="AQ48" s="145"/>
      <c r="AR48" s="146"/>
      <c r="AS48" s="147"/>
      <c r="AT48" s="148"/>
      <c r="AU48" s="149"/>
      <c r="AV48" s="149"/>
      <c r="AW48" s="149"/>
      <c r="AX48" s="149"/>
      <c r="AY48" s="149"/>
      <c r="AZ48" s="149"/>
      <c r="BA48" s="149"/>
      <c r="BB48" s="149"/>
      <c r="BC48" s="149"/>
      <c r="BD48" s="156"/>
      <c r="BE48" s="156"/>
      <c r="BF48" s="156"/>
      <c r="BG48" s="153"/>
      <c r="BH48" s="154" t="e">
        <f t="shared" si="7"/>
        <v>#DIV/0!</v>
      </c>
      <c r="BI48" s="154" t="e">
        <f t="shared" si="8"/>
        <v>#DIV/0!</v>
      </c>
      <c r="BJ48" s="415">
        <f t="shared" si="13"/>
        <v>55</v>
      </c>
      <c r="BK48" s="415">
        <f t="shared" si="13"/>
        <v>15</v>
      </c>
      <c r="BL48" s="415">
        <f t="shared" si="13"/>
        <v>15</v>
      </c>
      <c r="BM48" s="415">
        <f t="shared" si="13"/>
        <v>20.41536</v>
      </c>
    </row>
    <row r="49" spans="1:65" s="129" customFormat="1" ht="18.75" outlineLevel="1">
      <c r="A49" s="141" t="s">
        <v>224</v>
      </c>
      <c r="B49" s="142" t="s">
        <v>225</v>
      </c>
      <c r="C49" s="158" t="s">
        <v>226</v>
      </c>
      <c r="D49" s="144">
        <v>0.4</v>
      </c>
      <c r="E49" s="145">
        <v>50</v>
      </c>
      <c r="F49" s="146">
        <v>15</v>
      </c>
      <c r="G49" s="147">
        <v>15</v>
      </c>
      <c r="H49" s="148">
        <v>19.8063</v>
      </c>
      <c r="I49" s="149">
        <v>14.31939</v>
      </c>
      <c r="J49" s="149">
        <v>2.636</v>
      </c>
      <c r="K49" s="149">
        <v>9.463</v>
      </c>
      <c r="L49" s="149">
        <v>2.74213</v>
      </c>
      <c r="M49" s="149">
        <v>0</v>
      </c>
      <c r="N49" s="149">
        <v>0</v>
      </c>
      <c r="O49" s="149">
        <v>1.21712</v>
      </c>
      <c r="P49" s="149">
        <v>52.72</v>
      </c>
      <c r="Q49" s="149">
        <v>9.463</v>
      </c>
      <c r="R49" s="150" t="s">
        <v>119</v>
      </c>
      <c r="S49" s="151" t="s">
        <v>120</v>
      </c>
      <c r="T49" s="152"/>
      <c r="U49" s="153">
        <v>336</v>
      </c>
      <c r="V49" s="154">
        <f t="shared" si="1"/>
        <v>396.126</v>
      </c>
      <c r="W49" s="154">
        <f t="shared" si="2"/>
        <v>1.32042</v>
      </c>
      <c r="X49" s="155"/>
      <c r="Y49" s="146"/>
      <c r="Z49" s="147"/>
      <c r="AA49" s="148"/>
      <c r="AB49" s="149"/>
      <c r="AC49" s="149"/>
      <c r="AD49" s="149"/>
      <c r="AE49" s="149"/>
      <c r="AF49" s="149"/>
      <c r="AG49" s="149"/>
      <c r="AH49" s="149"/>
      <c r="AI49" s="149"/>
      <c r="AJ49" s="149"/>
      <c r="AK49" s="156"/>
      <c r="AL49" s="156"/>
      <c r="AM49" s="156"/>
      <c r="AN49" s="153"/>
      <c r="AO49" s="154" t="e">
        <f t="shared" si="4"/>
        <v>#DIV/0!</v>
      </c>
      <c r="AP49" s="154" t="e">
        <f t="shared" si="5"/>
        <v>#DIV/0!</v>
      </c>
      <c r="AQ49" s="145"/>
      <c r="AR49" s="146"/>
      <c r="AS49" s="147"/>
      <c r="AT49" s="148"/>
      <c r="AU49" s="149"/>
      <c r="AV49" s="149"/>
      <c r="AW49" s="149"/>
      <c r="AX49" s="149"/>
      <c r="AY49" s="149"/>
      <c r="AZ49" s="149"/>
      <c r="BA49" s="149"/>
      <c r="BB49" s="149"/>
      <c r="BC49" s="149"/>
      <c r="BD49" s="156"/>
      <c r="BE49" s="156"/>
      <c r="BF49" s="156"/>
      <c r="BG49" s="153"/>
      <c r="BH49" s="154" t="e">
        <f t="shared" si="7"/>
        <v>#DIV/0!</v>
      </c>
      <c r="BI49" s="154" t="e">
        <f t="shared" si="8"/>
        <v>#DIV/0!</v>
      </c>
      <c r="BJ49" s="415">
        <f t="shared" si="13"/>
        <v>50</v>
      </c>
      <c r="BK49" s="415">
        <f t="shared" si="13"/>
        <v>15</v>
      </c>
      <c r="BL49" s="415">
        <f t="shared" si="13"/>
        <v>15</v>
      </c>
      <c r="BM49" s="415">
        <f t="shared" si="13"/>
        <v>19.8063</v>
      </c>
    </row>
    <row r="50" spans="1:65" s="129" customFormat="1" ht="18.75" outlineLevel="1">
      <c r="A50" s="141" t="s">
        <v>227</v>
      </c>
      <c r="B50" s="173" t="s">
        <v>228</v>
      </c>
      <c r="C50" s="158" t="s">
        <v>229</v>
      </c>
      <c r="D50" s="144">
        <v>0.4</v>
      </c>
      <c r="E50" s="145"/>
      <c r="F50" s="146"/>
      <c r="G50" s="146"/>
      <c r="H50" s="162"/>
      <c r="I50" s="149"/>
      <c r="J50" s="149"/>
      <c r="K50" s="149"/>
      <c r="L50" s="149"/>
      <c r="M50" s="149"/>
      <c r="N50" s="149"/>
      <c r="O50" s="149"/>
      <c r="P50" s="149"/>
      <c r="Q50" s="149"/>
      <c r="R50" s="156"/>
      <c r="S50" s="156"/>
      <c r="T50" s="152"/>
      <c r="U50" s="153"/>
      <c r="V50" s="154" t="e">
        <f t="shared" si="1"/>
        <v>#DIV/0!</v>
      </c>
      <c r="W50" s="154" t="e">
        <f t="shared" si="2"/>
        <v>#DIV/0!</v>
      </c>
      <c r="X50" s="155">
        <v>62</v>
      </c>
      <c r="Y50" s="146">
        <v>12</v>
      </c>
      <c r="Z50" s="146">
        <v>12</v>
      </c>
      <c r="AA50" s="162">
        <v>19.74665</v>
      </c>
      <c r="AB50" s="149">
        <v>13.63992</v>
      </c>
      <c r="AC50" s="149">
        <v>3.33374</v>
      </c>
      <c r="AD50" s="149">
        <v>8.7039</v>
      </c>
      <c r="AE50" s="149">
        <v>3.06808</v>
      </c>
      <c r="AF50" s="149">
        <v>0</v>
      </c>
      <c r="AG50" s="149">
        <v>0</v>
      </c>
      <c r="AH50" s="149">
        <v>1.35885</v>
      </c>
      <c r="AI50" s="149">
        <v>53.77</v>
      </c>
      <c r="AJ50" s="149">
        <v>8.7039</v>
      </c>
      <c r="AK50" s="150" t="s">
        <v>119</v>
      </c>
      <c r="AL50" s="151" t="s">
        <v>120</v>
      </c>
      <c r="AM50" s="156"/>
      <c r="AN50" s="153">
        <v>14</v>
      </c>
      <c r="AO50" s="154">
        <f t="shared" si="4"/>
        <v>318.4943548387096</v>
      </c>
      <c r="AP50" s="154">
        <f t="shared" si="5"/>
        <v>1.6455541666666667</v>
      </c>
      <c r="AQ50" s="145"/>
      <c r="AR50" s="146"/>
      <c r="AS50" s="146"/>
      <c r="AT50" s="162"/>
      <c r="AU50" s="149"/>
      <c r="AV50" s="149"/>
      <c r="AW50" s="149"/>
      <c r="AX50" s="149"/>
      <c r="AY50" s="149"/>
      <c r="AZ50" s="149"/>
      <c r="BA50" s="149"/>
      <c r="BB50" s="149"/>
      <c r="BC50" s="149"/>
      <c r="BD50" s="156"/>
      <c r="BE50" s="156"/>
      <c r="BF50" s="156"/>
      <c r="BG50" s="153"/>
      <c r="BH50" s="154" t="e">
        <f t="shared" si="7"/>
        <v>#DIV/0!</v>
      </c>
      <c r="BI50" s="154" t="e">
        <f t="shared" si="8"/>
        <v>#DIV/0!</v>
      </c>
      <c r="BJ50" s="415">
        <f t="shared" si="13"/>
        <v>62</v>
      </c>
      <c r="BK50" s="415">
        <f t="shared" si="13"/>
        <v>12</v>
      </c>
      <c r="BL50" s="415">
        <f t="shared" si="13"/>
        <v>12</v>
      </c>
      <c r="BM50" s="415">
        <f t="shared" si="13"/>
        <v>19.74665</v>
      </c>
    </row>
    <row r="51" spans="1:65" s="129" customFormat="1" ht="18.75" outlineLevel="1">
      <c r="A51" s="141" t="s">
        <v>230</v>
      </c>
      <c r="B51" s="173" t="s">
        <v>231</v>
      </c>
      <c r="C51" s="158" t="s">
        <v>232</v>
      </c>
      <c r="D51" s="144">
        <v>0.4</v>
      </c>
      <c r="E51" s="145"/>
      <c r="F51" s="146"/>
      <c r="G51" s="146"/>
      <c r="H51" s="162"/>
      <c r="I51" s="149"/>
      <c r="J51" s="149"/>
      <c r="K51" s="149"/>
      <c r="L51" s="149"/>
      <c r="M51" s="149"/>
      <c r="N51" s="149"/>
      <c r="O51" s="149"/>
      <c r="P51" s="149"/>
      <c r="Q51" s="149"/>
      <c r="R51" s="156"/>
      <c r="S51" s="156"/>
      <c r="T51" s="152"/>
      <c r="U51" s="153"/>
      <c r="V51" s="154" t="e">
        <f t="shared" si="1"/>
        <v>#DIV/0!</v>
      </c>
      <c r="W51" s="154" t="e">
        <f t="shared" si="2"/>
        <v>#DIV/0!</v>
      </c>
      <c r="X51" s="155">
        <v>60</v>
      </c>
      <c r="Y51" s="146">
        <v>15</v>
      </c>
      <c r="Z51" s="146">
        <v>15</v>
      </c>
      <c r="AA51" s="162">
        <v>20.54252</v>
      </c>
      <c r="AB51" s="149">
        <v>14.52452</v>
      </c>
      <c r="AC51" s="149">
        <v>3.2262</v>
      </c>
      <c r="AD51" s="149">
        <v>8.7039</v>
      </c>
      <c r="AE51" s="149">
        <v>3.02472</v>
      </c>
      <c r="AF51" s="149">
        <v>0</v>
      </c>
      <c r="AG51" s="149">
        <v>0</v>
      </c>
      <c r="AH51" s="149">
        <v>1.33767</v>
      </c>
      <c r="AI51" s="149">
        <v>53.77</v>
      </c>
      <c r="AJ51" s="149">
        <v>8.7039</v>
      </c>
      <c r="AK51" s="150" t="s">
        <v>119</v>
      </c>
      <c r="AL51" s="151" t="s">
        <v>120</v>
      </c>
      <c r="AM51" s="156"/>
      <c r="AN51" s="153">
        <v>18</v>
      </c>
      <c r="AO51" s="154">
        <f t="shared" si="4"/>
        <v>342.3753333333333</v>
      </c>
      <c r="AP51" s="154">
        <f t="shared" si="5"/>
        <v>1.3695013333333332</v>
      </c>
      <c r="AQ51" s="145"/>
      <c r="AR51" s="146"/>
      <c r="AS51" s="146"/>
      <c r="AT51" s="162"/>
      <c r="AU51" s="149"/>
      <c r="AV51" s="149"/>
      <c r="AW51" s="149"/>
      <c r="AX51" s="149"/>
      <c r="AY51" s="149"/>
      <c r="AZ51" s="149"/>
      <c r="BA51" s="149"/>
      <c r="BB51" s="149"/>
      <c r="BC51" s="149"/>
      <c r="BD51" s="156"/>
      <c r="BE51" s="156"/>
      <c r="BF51" s="156"/>
      <c r="BG51" s="153"/>
      <c r="BH51" s="154" t="e">
        <f t="shared" si="7"/>
        <v>#DIV/0!</v>
      </c>
      <c r="BI51" s="154" t="e">
        <f t="shared" si="8"/>
        <v>#DIV/0!</v>
      </c>
      <c r="BJ51" s="415">
        <f t="shared" si="13"/>
        <v>60</v>
      </c>
      <c r="BK51" s="415">
        <f t="shared" si="13"/>
        <v>15</v>
      </c>
      <c r="BL51" s="415">
        <f t="shared" si="13"/>
        <v>15</v>
      </c>
      <c r="BM51" s="415">
        <f t="shared" si="13"/>
        <v>20.54252</v>
      </c>
    </row>
    <row r="52" spans="1:65" s="129" customFormat="1" ht="18.75" outlineLevel="1">
      <c r="A52" s="141" t="s">
        <v>233</v>
      </c>
      <c r="B52" s="173" t="s">
        <v>234</v>
      </c>
      <c r="C52" s="158" t="s">
        <v>235</v>
      </c>
      <c r="D52" s="144">
        <v>0.4</v>
      </c>
      <c r="E52" s="145"/>
      <c r="F52" s="146"/>
      <c r="G52" s="146"/>
      <c r="H52" s="162"/>
      <c r="I52" s="149"/>
      <c r="J52" s="149"/>
      <c r="K52" s="149"/>
      <c r="L52" s="149"/>
      <c r="M52" s="149"/>
      <c r="N52" s="149"/>
      <c r="O52" s="149"/>
      <c r="P52" s="149"/>
      <c r="Q52" s="149"/>
      <c r="R52" s="156"/>
      <c r="S52" s="156"/>
      <c r="T52" s="152"/>
      <c r="U52" s="153"/>
      <c r="V52" s="154" t="e">
        <f t="shared" si="1"/>
        <v>#DIV/0!</v>
      </c>
      <c r="W52" s="154" t="e">
        <f t="shared" si="2"/>
        <v>#DIV/0!</v>
      </c>
      <c r="X52" s="155">
        <v>40</v>
      </c>
      <c r="Y52" s="146">
        <v>15</v>
      </c>
      <c r="Z52" s="146">
        <v>15</v>
      </c>
      <c r="AA52" s="162">
        <v>18.37095</v>
      </c>
      <c r="AB52" s="149">
        <v>12.78044</v>
      </c>
      <c r="AC52" s="149">
        <v>2.1508</v>
      </c>
      <c r="AD52" s="149">
        <v>8.76423</v>
      </c>
      <c r="AE52" s="149">
        <v>2.65358</v>
      </c>
      <c r="AF52" s="149">
        <v>0</v>
      </c>
      <c r="AG52" s="149">
        <v>0</v>
      </c>
      <c r="AH52" s="149">
        <v>1.28307</v>
      </c>
      <c r="AI52" s="149">
        <v>53.77</v>
      </c>
      <c r="AJ52" s="149">
        <v>8.76423</v>
      </c>
      <c r="AK52" s="150" t="s">
        <v>119</v>
      </c>
      <c r="AL52" s="151" t="s">
        <v>120</v>
      </c>
      <c r="AM52" s="156"/>
      <c r="AN52" s="153">
        <v>21</v>
      </c>
      <c r="AO52" s="154">
        <f t="shared" si="4"/>
        <v>459.27375000000006</v>
      </c>
      <c r="AP52" s="154">
        <f t="shared" si="5"/>
        <v>1.22473</v>
      </c>
      <c r="AQ52" s="145"/>
      <c r="AR52" s="146"/>
      <c r="AS52" s="146"/>
      <c r="AT52" s="162"/>
      <c r="AU52" s="149"/>
      <c r="AV52" s="149"/>
      <c r="AW52" s="149"/>
      <c r="AX52" s="149"/>
      <c r="AY52" s="149"/>
      <c r="AZ52" s="149"/>
      <c r="BA52" s="149"/>
      <c r="BB52" s="149"/>
      <c r="BC52" s="149"/>
      <c r="BD52" s="156"/>
      <c r="BE52" s="156"/>
      <c r="BF52" s="156"/>
      <c r="BG52" s="153"/>
      <c r="BH52" s="154" t="e">
        <f t="shared" si="7"/>
        <v>#DIV/0!</v>
      </c>
      <c r="BI52" s="154" t="e">
        <f t="shared" si="8"/>
        <v>#DIV/0!</v>
      </c>
      <c r="BJ52" s="415">
        <f t="shared" si="13"/>
        <v>40</v>
      </c>
      <c r="BK52" s="415">
        <f t="shared" si="13"/>
        <v>15</v>
      </c>
      <c r="BL52" s="415">
        <f t="shared" si="13"/>
        <v>15</v>
      </c>
      <c r="BM52" s="415">
        <f t="shared" si="13"/>
        <v>18.37095</v>
      </c>
    </row>
    <row r="53" spans="1:65" s="129" customFormat="1" ht="18.75" outlineLevel="1">
      <c r="A53" s="141" t="s">
        <v>236</v>
      </c>
      <c r="B53" s="173" t="s">
        <v>237</v>
      </c>
      <c r="C53" s="158" t="s">
        <v>238</v>
      </c>
      <c r="D53" s="144">
        <v>0.4</v>
      </c>
      <c r="E53" s="161"/>
      <c r="F53" s="161"/>
      <c r="G53" s="161"/>
      <c r="H53" s="162"/>
      <c r="I53" s="149"/>
      <c r="J53" s="149"/>
      <c r="K53" s="149"/>
      <c r="L53" s="149"/>
      <c r="M53" s="149"/>
      <c r="N53" s="149"/>
      <c r="O53" s="149"/>
      <c r="P53" s="149"/>
      <c r="Q53" s="149"/>
      <c r="R53" s="156"/>
      <c r="S53" s="156"/>
      <c r="T53" s="152"/>
      <c r="U53" s="153"/>
      <c r="V53" s="154" t="e">
        <f t="shared" si="1"/>
        <v>#DIV/0!</v>
      </c>
      <c r="W53" s="154" t="e">
        <f t="shared" si="2"/>
        <v>#DIV/0!</v>
      </c>
      <c r="X53" s="163">
        <v>35</v>
      </c>
      <c r="Y53" s="161">
        <v>15</v>
      </c>
      <c r="Z53" s="161">
        <v>15</v>
      </c>
      <c r="AA53" s="162">
        <v>17.633</v>
      </c>
      <c r="AB53" s="149">
        <v>12.28773</v>
      </c>
      <c r="AC53" s="149">
        <v>1.88195</v>
      </c>
      <c r="AD53" s="149">
        <v>8.75193</v>
      </c>
      <c r="AE53" s="149">
        <v>2.54017</v>
      </c>
      <c r="AF53" s="149">
        <v>0</v>
      </c>
      <c r="AG53" s="149">
        <v>0</v>
      </c>
      <c r="AH53" s="149">
        <v>1.22226</v>
      </c>
      <c r="AI53" s="149">
        <v>53.77</v>
      </c>
      <c r="AJ53" s="149">
        <v>8.75193</v>
      </c>
      <c r="AK53" s="150" t="s">
        <v>119</v>
      </c>
      <c r="AL53" s="151" t="s">
        <v>120</v>
      </c>
      <c r="AM53" s="156"/>
      <c r="AN53" s="153">
        <v>58</v>
      </c>
      <c r="AO53" s="154">
        <f t="shared" si="4"/>
        <v>503.8</v>
      </c>
      <c r="AP53" s="154">
        <f t="shared" si="5"/>
        <v>1.1755333333333333</v>
      </c>
      <c r="AQ53" s="161"/>
      <c r="AR53" s="161"/>
      <c r="AS53" s="161"/>
      <c r="AT53" s="162"/>
      <c r="AU53" s="149"/>
      <c r="AV53" s="149"/>
      <c r="AW53" s="149"/>
      <c r="AX53" s="149"/>
      <c r="AY53" s="149"/>
      <c r="AZ53" s="149"/>
      <c r="BA53" s="149"/>
      <c r="BB53" s="149"/>
      <c r="BC53" s="149"/>
      <c r="BD53" s="156"/>
      <c r="BE53" s="156"/>
      <c r="BF53" s="156"/>
      <c r="BG53" s="153"/>
      <c r="BH53" s="154" t="e">
        <f t="shared" si="7"/>
        <v>#DIV/0!</v>
      </c>
      <c r="BI53" s="154" t="e">
        <f t="shared" si="8"/>
        <v>#DIV/0!</v>
      </c>
      <c r="BJ53" s="415">
        <f t="shared" si="13"/>
        <v>35</v>
      </c>
      <c r="BK53" s="415">
        <f t="shared" si="13"/>
        <v>15</v>
      </c>
      <c r="BL53" s="415">
        <f t="shared" si="13"/>
        <v>15</v>
      </c>
      <c r="BM53" s="415">
        <f t="shared" si="13"/>
        <v>17.633</v>
      </c>
    </row>
    <row r="54" spans="1:65" s="129" customFormat="1" ht="18.75" outlineLevel="1">
      <c r="A54" s="141" t="s">
        <v>239</v>
      </c>
      <c r="B54" s="173" t="s">
        <v>240</v>
      </c>
      <c r="C54" s="158" t="s">
        <v>241</v>
      </c>
      <c r="D54" s="144">
        <v>0.4</v>
      </c>
      <c r="E54" s="145"/>
      <c r="F54" s="146"/>
      <c r="G54" s="146"/>
      <c r="H54" s="162"/>
      <c r="I54" s="149"/>
      <c r="J54" s="149"/>
      <c r="K54" s="149"/>
      <c r="L54" s="149"/>
      <c r="M54" s="149"/>
      <c r="N54" s="149"/>
      <c r="O54" s="149"/>
      <c r="P54" s="149"/>
      <c r="Q54" s="149"/>
      <c r="R54" s="156"/>
      <c r="S54" s="156"/>
      <c r="T54" s="152"/>
      <c r="U54" s="153"/>
      <c r="V54" s="154" t="e">
        <f t="shared" si="1"/>
        <v>#DIV/0!</v>
      </c>
      <c r="W54" s="154" t="e">
        <f t="shared" si="2"/>
        <v>#DIV/0!</v>
      </c>
      <c r="X54" s="155">
        <v>42</v>
      </c>
      <c r="Y54" s="146">
        <v>15</v>
      </c>
      <c r="Z54" s="146">
        <v>15</v>
      </c>
      <c r="AA54" s="162">
        <v>19.15248</v>
      </c>
      <c r="AB54" s="149">
        <v>13.46398</v>
      </c>
      <c r="AC54" s="149">
        <v>2.25834</v>
      </c>
      <c r="AD54" s="149">
        <v>8.76424</v>
      </c>
      <c r="AE54" s="149">
        <v>2.69894</v>
      </c>
      <c r="AF54" s="149">
        <v>0</v>
      </c>
      <c r="AG54" s="149">
        <v>0</v>
      </c>
      <c r="AH54" s="149">
        <v>1.30739</v>
      </c>
      <c r="AI54" s="149">
        <v>53.77</v>
      </c>
      <c r="AJ54" s="149">
        <v>8.76424</v>
      </c>
      <c r="AK54" s="150" t="s">
        <v>119</v>
      </c>
      <c r="AL54" s="151" t="s">
        <v>120</v>
      </c>
      <c r="AM54" s="156"/>
      <c r="AN54" s="153">
        <v>37</v>
      </c>
      <c r="AO54" s="154">
        <f t="shared" si="4"/>
        <v>456.01142857142855</v>
      </c>
      <c r="AP54" s="154">
        <f t="shared" si="5"/>
        <v>1.276832</v>
      </c>
      <c r="AQ54" s="145"/>
      <c r="AR54" s="146"/>
      <c r="AS54" s="146"/>
      <c r="AT54" s="162"/>
      <c r="AU54" s="149"/>
      <c r="AV54" s="149"/>
      <c r="AW54" s="149"/>
      <c r="AX54" s="149"/>
      <c r="AY54" s="149"/>
      <c r="AZ54" s="149"/>
      <c r="BA54" s="149"/>
      <c r="BB54" s="149"/>
      <c r="BC54" s="149"/>
      <c r="BD54" s="156"/>
      <c r="BE54" s="156"/>
      <c r="BF54" s="156"/>
      <c r="BG54" s="153"/>
      <c r="BH54" s="154" t="e">
        <f t="shared" si="7"/>
        <v>#DIV/0!</v>
      </c>
      <c r="BI54" s="154" t="e">
        <f t="shared" si="8"/>
        <v>#DIV/0!</v>
      </c>
      <c r="BJ54" s="415">
        <f t="shared" si="13"/>
        <v>42</v>
      </c>
      <c r="BK54" s="415">
        <f t="shared" si="13"/>
        <v>15</v>
      </c>
      <c r="BL54" s="415">
        <f t="shared" si="13"/>
        <v>15</v>
      </c>
      <c r="BM54" s="415">
        <f t="shared" si="13"/>
        <v>19.15248</v>
      </c>
    </row>
    <row r="55" spans="1:65" s="129" customFormat="1" ht="18.75" outlineLevel="1">
      <c r="A55" s="141" t="s">
        <v>242</v>
      </c>
      <c r="B55" s="173" t="s">
        <v>243</v>
      </c>
      <c r="C55" s="158" t="s">
        <v>244</v>
      </c>
      <c r="D55" s="144">
        <v>0.4</v>
      </c>
      <c r="E55" s="145"/>
      <c r="F55" s="146"/>
      <c r="G55" s="146"/>
      <c r="H55" s="162"/>
      <c r="I55" s="149"/>
      <c r="J55" s="149"/>
      <c r="K55" s="149"/>
      <c r="L55" s="149"/>
      <c r="M55" s="149"/>
      <c r="N55" s="149"/>
      <c r="O55" s="149"/>
      <c r="P55" s="149"/>
      <c r="Q55" s="149"/>
      <c r="R55" s="156"/>
      <c r="S55" s="156"/>
      <c r="T55" s="152"/>
      <c r="U55" s="153"/>
      <c r="V55" s="154" t="e">
        <f t="shared" si="1"/>
        <v>#DIV/0!</v>
      </c>
      <c r="W55" s="154" t="e">
        <f t="shared" si="2"/>
        <v>#DIV/0!</v>
      </c>
      <c r="X55" s="155">
        <v>60</v>
      </c>
      <c r="Y55" s="146">
        <v>15</v>
      </c>
      <c r="Z55" s="146">
        <v>15</v>
      </c>
      <c r="AA55" s="162">
        <v>20.07739</v>
      </c>
      <c r="AB55" s="149">
        <v>14.05939</v>
      </c>
      <c r="AC55" s="149">
        <v>3.2262</v>
      </c>
      <c r="AD55" s="149">
        <v>8.7039</v>
      </c>
      <c r="AE55" s="149">
        <v>3.02472</v>
      </c>
      <c r="AF55" s="149">
        <v>0</v>
      </c>
      <c r="AG55" s="149">
        <v>0</v>
      </c>
      <c r="AH55" s="149">
        <v>1.33767</v>
      </c>
      <c r="AI55" s="149">
        <v>53.77</v>
      </c>
      <c r="AJ55" s="149">
        <v>8.7039</v>
      </c>
      <c r="AK55" s="150" t="s">
        <v>119</v>
      </c>
      <c r="AL55" s="151" t="s">
        <v>120</v>
      </c>
      <c r="AM55" s="156"/>
      <c r="AN55" s="153">
        <v>8</v>
      </c>
      <c r="AO55" s="154">
        <f t="shared" si="4"/>
        <v>334.6231666666667</v>
      </c>
      <c r="AP55" s="154">
        <f t="shared" si="5"/>
        <v>1.3384926666666668</v>
      </c>
      <c r="AQ55" s="145"/>
      <c r="AR55" s="146"/>
      <c r="AS55" s="146"/>
      <c r="AT55" s="162"/>
      <c r="AU55" s="149"/>
      <c r="AV55" s="149"/>
      <c r="AW55" s="149"/>
      <c r="AX55" s="149"/>
      <c r="AY55" s="149"/>
      <c r="AZ55" s="149"/>
      <c r="BA55" s="149"/>
      <c r="BB55" s="149"/>
      <c r="BC55" s="149"/>
      <c r="BD55" s="156"/>
      <c r="BE55" s="156"/>
      <c r="BF55" s="156"/>
      <c r="BG55" s="153"/>
      <c r="BH55" s="154" t="e">
        <f t="shared" si="7"/>
        <v>#DIV/0!</v>
      </c>
      <c r="BI55" s="154" t="e">
        <f t="shared" si="8"/>
        <v>#DIV/0!</v>
      </c>
      <c r="BJ55" s="415">
        <f t="shared" si="13"/>
        <v>60</v>
      </c>
      <c r="BK55" s="415">
        <f t="shared" si="13"/>
        <v>15</v>
      </c>
      <c r="BL55" s="415">
        <f t="shared" si="13"/>
        <v>15</v>
      </c>
      <c r="BM55" s="415">
        <f t="shared" si="13"/>
        <v>20.07739</v>
      </c>
    </row>
    <row r="56" spans="1:65" s="129" customFormat="1" ht="18.75" outlineLevel="1">
      <c r="A56" s="141" t="s">
        <v>245</v>
      </c>
      <c r="B56" s="173" t="s">
        <v>246</v>
      </c>
      <c r="C56" s="158" t="s">
        <v>247</v>
      </c>
      <c r="D56" s="144">
        <v>0.4</v>
      </c>
      <c r="E56" s="145"/>
      <c r="F56" s="146"/>
      <c r="G56" s="146"/>
      <c r="H56" s="162"/>
      <c r="I56" s="149"/>
      <c r="J56" s="149"/>
      <c r="K56" s="149"/>
      <c r="L56" s="149"/>
      <c r="M56" s="149"/>
      <c r="N56" s="149"/>
      <c r="O56" s="149"/>
      <c r="P56" s="149"/>
      <c r="Q56" s="149"/>
      <c r="R56" s="156"/>
      <c r="S56" s="156"/>
      <c r="T56" s="152"/>
      <c r="U56" s="153"/>
      <c r="V56" s="154" t="e">
        <f t="shared" si="1"/>
        <v>#DIV/0!</v>
      </c>
      <c r="W56" s="154" t="e">
        <f t="shared" si="2"/>
        <v>#DIV/0!</v>
      </c>
      <c r="X56" s="155">
        <v>35</v>
      </c>
      <c r="Y56" s="146">
        <v>15</v>
      </c>
      <c r="Z56" s="146">
        <v>15</v>
      </c>
      <c r="AA56" s="162">
        <v>10.13085</v>
      </c>
      <c r="AB56" s="149">
        <v>4.78534</v>
      </c>
      <c r="AC56" s="149">
        <v>1.88195</v>
      </c>
      <c r="AD56" s="149">
        <v>1.4918</v>
      </c>
      <c r="AE56" s="149">
        <v>2.54017</v>
      </c>
      <c r="AF56" s="149">
        <v>0</v>
      </c>
      <c r="AG56" s="149">
        <v>0</v>
      </c>
      <c r="AH56" s="149">
        <v>1.22226</v>
      </c>
      <c r="AI56" s="149">
        <v>53.77</v>
      </c>
      <c r="AJ56" s="149">
        <v>1.4918</v>
      </c>
      <c r="AK56" s="150" t="s">
        <v>119</v>
      </c>
      <c r="AL56" s="151" t="s">
        <v>120</v>
      </c>
      <c r="AM56" s="156"/>
      <c r="AN56" s="153">
        <v>25</v>
      </c>
      <c r="AO56" s="154">
        <f t="shared" si="4"/>
        <v>289.45285714285717</v>
      </c>
      <c r="AP56" s="154">
        <f t="shared" si="5"/>
        <v>0.67539</v>
      </c>
      <c r="AQ56" s="145"/>
      <c r="AR56" s="146"/>
      <c r="AS56" s="146"/>
      <c r="AT56" s="162"/>
      <c r="AU56" s="149"/>
      <c r="AV56" s="149"/>
      <c r="AW56" s="149"/>
      <c r="AX56" s="149"/>
      <c r="AY56" s="149"/>
      <c r="AZ56" s="149"/>
      <c r="BA56" s="149"/>
      <c r="BB56" s="149"/>
      <c r="BC56" s="149"/>
      <c r="BD56" s="156"/>
      <c r="BE56" s="156"/>
      <c r="BF56" s="156"/>
      <c r="BG56" s="153"/>
      <c r="BH56" s="154" t="e">
        <f t="shared" si="7"/>
        <v>#DIV/0!</v>
      </c>
      <c r="BI56" s="154" t="e">
        <f t="shared" si="8"/>
        <v>#DIV/0!</v>
      </c>
      <c r="BJ56" s="415">
        <f t="shared" si="13"/>
        <v>35</v>
      </c>
      <c r="BK56" s="415">
        <f t="shared" si="13"/>
        <v>15</v>
      </c>
      <c r="BL56" s="415">
        <f t="shared" si="13"/>
        <v>15</v>
      </c>
      <c r="BM56" s="415">
        <f t="shared" si="13"/>
        <v>10.13085</v>
      </c>
    </row>
    <row r="57" spans="1:65" s="129" customFormat="1" ht="18.75" outlineLevel="1">
      <c r="A57" s="141" t="s">
        <v>248</v>
      </c>
      <c r="B57" s="173" t="s">
        <v>249</v>
      </c>
      <c r="C57" s="158" t="s">
        <v>250</v>
      </c>
      <c r="D57" s="144">
        <v>0.4</v>
      </c>
      <c r="E57" s="174"/>
      <c r="F57" s="161"/>
      <c r="G57" s="161"/>
      <c r="H57" s="162"/>
      <c r="I57" s="149"/>
      <c r="J57" s="149"/>
      <c r="K57" s="149"/>
      <c r="L57" s="149"/>
      <c r="M57" s="149"/>
      <c r="N57" s="149"/>
      <c r="O57" s="149"/>
      <c r="P57" s="149"/>
      <c r="Q57" s="149"/>
      <c r="R57" s="156"/>
      <c r="S57" s="156"/>
      <c r="T57" s="152"/>
      <c r="U57" s="153"/>
      <c r="V57" s="154" t="e">
        <f t="shared" si="1"/>
        <v>#DIV/0!</v>
      </c>
      <c r="W57" s="154" t="e">
        <f t="shared" si="2"/>
        <v>#DIV/0!</v>
      </c>
      <c r="X57" s="175">
        <v>165</v>
      </c>
      <c r="Y57" s="161">
        <v>15</v>
      </c>
      <c r="Z57" s="161">
        <v>15</v>
      </c>
      <c r="AA57" s="162">
        <v>39.547</v>
      </c>
      <c r="AB57" s="149">
        <v>12.8672</v>
      </c>
      <c r="AC57" s="149">
        <v>8.87205</v>
      </c>
      <c r="AD57" s="149">
        <v>3.995</v>
      </c>
      <c r="AE57" s="149">
        <v>12.83084</v>
      </c>
      <c r="AF57" s="149">
        <v>0</v>
      </c>
      <c r="AG57" s="149">
        <v>0</v>
      </c>
      <c r="AH57" s="149">
        <v>6.03674</v>
      </c>
      <c r="AI57" s="149">
        <v>53.77</v>
      </c>
      <c r="AJ57" s="149">
        <v>0</v>
      </c>
      <c r="AK57" s="150" t="s">
        <v>119</v>
      </c>
      <c r="AL57" s="151" t="s">
        <v>120</v>
      </c>
      <c r="AM57" s="156"/>
      <c r="AN57" s="153">
        <v>55</v>
      </c>
      <c r="AO57" s="154">
        <f t="shared" si="4"/>
        <v>239.67878787878786</v>
      </c>
      <c r="AP57" s="154">
        <f t="shared" si="5"/>
        <v>2.6364666666666663</v>
      </c>
      <c r="AQ57" s="174"/>
      <c r="AR57" s="161"/>
      <c r="AS57" s="161"/>
      <c r="AT57" s="162"/>
      <c r="AU57" s="149"/>
      <c r="AV57" s="149"/>
      <c r="AW57" s="149"/>
      <c r="AX57" s="149"/>
      <c r="AY57" s="149"/>
      <c r="AZ57" s="149"/>
      <c r="BA57" s="149"/>
      <c r="BB57" s="149"/>
      <c r="BC57" s="149"/>
      <c r="BD57" s="156"/>
      <c r="BE57" s="156"/>
      <c r="BF57" s="156"/>
      <c r="BG57" s="153"/>
      <c r="BH57" s="154" t="e">
        <f t="shared" si="7"/>
        <v>#DIV/0!</v>
      </c>
      <c r="BI57" s="154" t="e">
        <f t="shared" si="8"/>
        <v>#DIV/0!</v>
      </c>
      <c r="BJ57" s="415">
        <f t="shared" si="13"/>
        <v>165</v>
      </c>
      <c r="BK57" s="415">
        <f t="shared" si="13"/>
        <v>15</v>
      </c>
      <c r="BL57" s="415">
        <f t="shared" si="13"/>
        <v>15</v>
      </c>
      <c r="BM57" s="415">
        <f t="shared" si="13"/>
        <v>39.547</v>
      </c>
    </row>
    <row r="58" spans="1:65" s="129" customFormat="1" ht="18.75" outlineLevel="1">
      <c r="A58" s="141" t="s">
        <v>251</v>
      </c>
      <c r="B58" s="173" t="s">
        <v>252</v>
      </c>
      <c r="C58" s="158" t="s">
        <v>253</v>
      </c>
      <c r="D58" s="144">
        <v>0.4</v>
      </c>
      <c r="E58" s="161"/>
      <c r="F58" s="161"/>
      <c r="G58" s="161"/>
      <c r="H58" s="162"/>
      <c r="I58" s="149"/>
      <c r="J58" s="149"/>
      <c r="K58" s="149"/>
      <c r="L58" s="149"/>
      <c r="M58" s="149"/>
      <c r="N58" s="149"/>
      <c r="O58" s="149"/>
      <c r="P58" s="149"/>
      <c r="Q58" s="149"/>
      <c r="R58" s="156"/>
      <c r="S58" s="156"/>
      <c r="T58" s="152"/>
      <c r="U58" s="153"/>
      <c r="V58" s="154" t="e">
        <f t="shared" si="1"/>
        <v>#DIV/0!</v>
      </c>
      <c r="W58" s="154" t="e">
        <f t="shared" si="2"/>
        <v>#DIV/0!</v>
      </c>
      <c r="X58" s="163">
        <v>120</v>
      </c>
      <c r="Y58" s="161">
        <v>15</v>
      </c>
      <c r="Z58" s="161">
        <v>15</v>
      </c>
      <c r="AA58" s="162">
        <v>27.759</v>
      </c>
      <c r="AB58" s="149">
        <v>10.5448</v>
      </c>
      <c r="AC58" s="149">
        <v>6.4524</v>
      </c>
      <c r="AD58" s="149">
        <v>4.092</v>
      </c>
      <c r="AE58" s="149">
        <v>8.31757</v>
      </c>
      <c r="AF58" s="149">
        <v>0</v>
      </c>
      <c r="AG58" s="149">
        <v>0</v>
      </c>
      <c r="AH58" s="149">
        <v>3.89627</v>
      </c>
      <c r="AI58" s="149">
        <v>53.77</v>
      </c>
      <c r="AJ58" s="149">
        <v>0</v>
      </c>
      <c r="AK58" s="150" t="s">
        <v>119</v>
      </c>
      <c r="AL58" s="151" t="s">
        <v>120</v>
      </c>
      <c r="AM58" s="156"/>
      <c r="AN58" s="153">
        <v>65</v>
      </c>
      <c r="AO58" s="154">
        <f t="shared" si="4"/>
        <v>231.325</v>
      </c>
      <c r="AP58" s="154">
        <f t="shared" si="5"/>
        <v>1.8506</v>
      </c>
      <c r="AQ58" s="161"/>
      <c r="AR58" s="161"/>
      <c r="AS58" s="161"/>
      <c r="AT58" s="162"/>
      <c r="AU58" s="149"/>
      <c r="AV58" s="149"/>
      <c r="AW58" s="149"/>
      <c r="AX58" s="149"/>
      <c r="AY58" s="149"/>
      <c r="AZ58" s="149"/>
      <c r="BA58" s="149"/>
      <c r="BB58" s="149"/>
      <c r="BC58" s="149"/>
      <c r="BD58" s="156"/>
      <c r="BE58" s="156"/>
      <c r="BF58" s="156"/>
      <c r="BG58" s="153"/>
      <c r="BH58" s="154" t="e">
        <f t="shared" si="7"/>
        <v>#DIV/0!</v>
      </c>
      <c r="BI58" s="154" t="e">
        <f t="shared" si="8"/>
        <v>#DIV/0!</v>
      </c>
      <c r="BJ58" s="415">
        <f t="shared" si="13"/>
        <v>120</v>
      </c>
      <c r="BK58" s="415">
        <f t="shared" si="13"/>
        <v>15</v>
      </c>
      <c r="BL58" s="415">
        <f t="shared" si="13"/>
        <v>15</v>
      </c>
      <c r="BM58" s="415">
        <f t="shared" si="13"/>
        <v>27.759</v>
      </c>
    </row>
    <row r="59" spans="1:65" s="129" customFormat="1" ht="18.75" outlineLevel="1">
      <c r="A59" s="141" t="s">
        <v>254</v>
      </c>
      <c r="B59" s="173" t="s">
        <v>255</v>
      </c>
      <c r="C59" s="158" t="s">
        <v>256</v>
      </c>
      <c r="D59" s="144">
        <v>0.4</v>
      </c>
      <c r="E59" s="161"/>
      <c r="F59" s="161"/>
      <c r="G59" s="161"/>
      <c r="H59" s="162"/>
      <c r="I59" s="149"/>
      <c r="J59" s="149"/>
      <c r="K59" s="149"/>
      <c r="L59" s="149"/>
      <c r="M59" s="149"/>
      <c r="N59" s="149"/>
      <c r="O59" s="149"/>
      <c r="P59" s="149"/>
      <c r="Q59" s="149"/>
      <c r="R59" s="156"/>
      <c r="S59" s="156"/>
      <c r="T59" s="152"/>
      <c r="U59" s="153"/>
      <c r="V59" s="154" t="e">
        <f t="shared" si="1"/>
        <v>#DIV/0!</v>
      </c>
      <c r="W59" s="154" t="e">
        <f t="shared" si="2"/>
        <v>#DIV/0!</v>
      </c>
      <c r="X59" s="163">
        <v>48</v>
      </c>
      <c r="Y59" s="161">
        <v>15</v>
      </c>
      <c r="Z59" s="161">
        <v>15</v>
      </c>
      <c r="AA59" s="162">
        <v>19.45514</v>
      </c>
      <c r="AB59" s="149">
        <v>13.47262</v>
      </c>
      <c r="AC59" s="149">
        <v>2.58096</v>
      </c>
      <c r="AD59" s="149">
        <v>9.95424</v>
      </c>
      <c r="AE59" s="149">
        <v>2.83504</v>
      </c>
      <c r="AF59" s="149">
        <v>0</v>
      </c>
      <c r="AG59" s="149">
        <v>0</v>
      </c>
      <c r="AH59" s="149">
        <v>1.38037</v>
      </c>
      <c r="AI59" s="149">
        <v>53.77</v>
      </c>
      <c r="AJ59" s="149">
        <v>9.95424</v>
      </c>
      <c r="AK59" s="150" t="s">
        <v>119</v>
      </c>
      <c r="AL59" s="151" t="s">
        <v>120</v>
      </c>
      <c r="AM59" s="156"/>
      <c r="AN59" s="153">
        <v>108</v>
      </c>
      <c r="AO59" s="154">
        <f t="shared" si="4"/>
        <v>405.31541666666664</v>
      </c>
      <c r="AP59" s="154">
        <f t="shared" si="5"/>
        <v>1.2970093333333332</v>
      </c>
      <c r="AQ59" s="161"/>
      <c r="AR59" s="161"/>
      <c r="AS59" s="161"/>
      <c r="AT59" s="162"/>
      <c r="AU59" s="149"/>
      <c r="AV59" s="149"/>
      <c r="AW59" s="149"/>
      <c r="AX59" s="149"/>
      <c r="AY59" s="149"/>
      <c r="AZ59" s="149"/>
      <c r="BA59" s="149"/>
      <c r="BB59" s="149"/>
      <c r="BC59" s="149"/>
      <c r="BD59" s="156"/>
      <c r="BE59" s="156"/>
      <c r="BF59" s="156"/>
      <c r="BG59" s="153"/>
      <c r="BH59" s="154" t="e">
        <f t="shared" si="7"/>
        <v>#DIV/0!</v>
      </c>
      <c r="BI59" s="154" t="e">
        <f t="shared" si="8"/>
        <v>#DIV/0!</v>
      </c>
      <c r="BJ59" s="415">
        <f t="shared" si="13"/>
        <v>48</v>
      </c>
      <c r="BK59" s="415">
        <f t="shared" si="13"/>
        <v>15</v>
      </c>
      <c r="BL59" s="415">
        <f t="shared" si="13"/>
        <v>15</v>
      </c>
      <c r="BM59" s="415">
        <f t="shared" si="13"/>
        <v>19.45514</v>
      </c>
    </row>
    <row r="60" spans="1:65" s="129" customFormat="1" ht="18.75" outlineLevel="1">
      <c r="A60" s="141" t="s">
        <v>257</v>
      </c>
      <c r="B60" s="173" t="s">
        <v>258</v>
      </c>
      <c r="C60" s="158" t="s">
        <v>259</v>
      </c>
      <c r="D60" s="144">
        <v>0.4</v>
      </c>
      <c r="E60" s="161"/>
      <c r="F60" s="161"/>
      <c r="G60" s="161"/>
      <c r="H60" s="162"/>
      <c r="I60" s="149"/>
      <c r="J60" s="149"/>
      <c r="K60" s="149"/>
      <c r="L60" s="149"/>
      <c r="M60" s="149"/>
      <c r="N60" s="149"/>
      <c r="O60" s="149"/>
      <c r="P60" s="149"/>
      <c r="Q60" s="149"/>
      <c r="R60" s="156"/>
      <c r="S60" s="156"/>
      <c r="T60" s="152"/>
      <c r="U60" s="153"/>
      <c r="V60" s="154" t="e">
        <f t="shared" si="1"/>
        <v>#DIV/0!</v>
      </c>
      <c r="W60" s="154" t="e">
        <f t="shared" si="2"/>
        <v>#DIV/0!</v>
      </c>
      <c r="X60" s="163">
        <v>90</v>
      </c>
      <c r="Y60" s="161">
        <v>15</v>
      </c>
      <c r="Z60" s="161">
        <v>15</v>
      </c>
      <c r="AA60" s="162">
        <v>43.44156</v>
      </c>
      <c r="AB60" s="149">
        <v>31.56207</v>
      </c>
      <c r="AC60" s="149">
        <v>4.8393</v>
      </c>
      <c r="AD60" s="149">
        <v>18.72444</v>
      </c>
      <c r="AE60" s="149">
        <v>5.71592</v>
      </c>
      <c r="AF60" s="149">
        <v>0</v>
      </c>
      <c r="AG60" s="149">
        <v>0</v>
      </c>
      <c r="AH60" s="149">
        <v>2.71429</v>
      </c>
      <c r="AI60" s="149">
        <v>53.77</v>
      </c>
      <c r="AJ60" s="149">
        <v>9.36222</v>
      </c>
      <c r="AK60" s="150" t="s">
        <v>119</v>
      </c>
      <c r="AL60" s="151" t="s">
        <v>120</v>
      </c>
      <c r="AM60" s="156"/>
      <c r="AN60" s="153">
        <v>118</v>
      </c>
      <c r="AO60" s="154">
        <f t="shared" si="4"/>
        <v>482.684</v>
      </c>
      <c r="AP60" s="154">
        <f t="shared" si="5"/>
        <v>2.8961040000000002</v>
      </c>
      <c r="AQ60" s="161"/>
      <c r="AR60" s="161"/>
      <c r="AS60" s="161"/>
      <c r="AT60" s="162"/>
      <c r="AU60" s="149"/>
      <c r="AV60" s="149"/>
      <c r="AW60" s="149"/>
      <c r="AX60" s="149"/>
      <c r="AY60" s="149"/>
      <c r="AZ60" s="149"/>
      <c r="BA60" s="149"/>
      <c r="BB60" s="149"/>
      <c r="BC60" s="149"/>
      <c r="BD60" s="156"/>
      <c r="BE60" s="156"/>
      <c r="BF60" s="156"/>
      <c r="BG60" s="153"/>
      <c r="BH60" s="154" t="e">
        <f t="shared" si="7"/>
        <v>#DIV/0!</v>
      </c>
      <c r="BI60" s="154" t="e">
        <f t="shared" si="8"/>
        <v>#DIV/0!</v>
      </c>
      <c r="BJ60" s="415">
        <f t="shared" si="13"/>
        <v>90</v>
      </c>
      <c r="BK60" s="415">
        <f t="shared" si="13"/>
        <v>15</v>
      </c>
      <c r="BL60" s="415">
        <f t="shared" si="13"/>
        <v>15</v>
      </c>
      <c r="BM60" s="415">
        <f t="shared" si="13"/>
        <v>43.44156</v>
      </c>
    </row>
    <row r="61" spans="1:65" s="129" customFormat="1" ht="18.75" outlineLevel="1">
      <c r="A61" s="141" t="s">
        <v>260</v>
      </c>
      <c r="B61" s="173" t="s">
        <v>261</v>
      </c>
      <c r="C61" s="158" t="s">
        <v>262</v>
      </c>
      <c r="D61" s="144">
        <v>0.4</v>
      </c>
      <c r="E61" s="161"/>
      <c r="F61" s="161"/>
      <c r="G61" s="161"/>
      <c r="H61" s="162"/>
      <c r="I61" s="149"/>
      <c r="J61" s="149"/>
      <c r="K61" s="149"/>
      <c r="L61" s="149"/>
      <c r="M61" s="149"/>
      <c r="N61" s="149"/>
      <c r="O61" s="149"/>
      <c r="P61" s="149"/>
      <c r="Q61" s="149"/>
      <c r="R61" s="156"/>
      <c r="S61" s="156"/>
      <c r="T61" s="152"/>
      <c r="U61" s="153"/>
      <c r="V61" s="154" t="e">
        <f t="shared" si="1"/>
        <v>#DIV/0!</v>
      </c>
      <c r="W61" s="154" t="e">
        <f t="shared" si="2"/>
        <v>#DIV/0!</v>
      </c>
      <c r="X61" s="163">
        <v>27</v>
      </c>
      <c r="Y61" s="161">
        <v>15</v>
      </c>
      <c r="Z61" s="161">
        <v>15</v>
      </c>
      <c r="AA61" s="162">
        <v>18.36182</v>
      </c>
      <c r="AB61" s="149">
        <v>13.3099</v>
      </c>
      <c r="AC61" s="149">
        <v>1.45179</v>
      </c>
      <c r="AD61" s="149">
        <v>9.36221</v>
      </c>
      <c r="AE61" s="149">
        <v>2.44387</v>
      </c>
      <c r="AF61" s="149">
        <v>0</v>
      </c>
      <c r="AG61" s="149">
        <v>0</v>
      </c>
      <c r="AH61" s="149">
        <v>1.13823</v>
      </c>
      <c r="AI61" s="149">
        <v>53.77</v>
      </c>
      <c r="AJ61" s="149">
        <v>9.36221</v>
      </c>
      <c r="AK61" s="150" t="s">
        <v>119</v>
      </c>
      <c r="AL61" s="151" t="s">
        <v>120</v>
      </c>
      <c r="AM61" s="156"/>
      <c r="AN61" s="153">
        <v>122</v>
      </c>
      <c r="AO61" s="154">
        <f t="shared" si="4"/>
        <v>680.0674074074075</v>
      </c>
      <c r="AP61" s="154">
        <f t="shared" si="5"/>
        <v>1.2241213333333334</v>
      </c>
      <c r="AQ61" s="161"/>
      <c r="AR61" s="161"/>
      <c r="AS61" s="161"/>
      <c r="AT61" s="162"/>
      <c r="AU61" s="149"/>
      <c r="AV61" s="149"/>
      <c r="AW61" s="149"/>
      <c r="AX61" s="149"/>
      <c r="AY61" s="149"/>
      <c r="AZ61" s="149"/>
      <c r="BA61" s="149"/>
      <c r="BB61" s="149"/>
      <c r="BC61" s="149"/>
      <c r="BD61" s="156"/>
      <c r="BE61" s="156"/>
      <c r="BF61" s="156"/>
      <c r="BG61" s="153"/>
      <c r="BH61" s="154" t="e">
        <f t="shared" si="7"/>
        <v>#DIV/0!</v>
      </c>
      <c r="BI61" s="154" t="e">
        <f t="shared" si="8"/>
        <v>#DIV/0!</v>
      </c>
      <c r="BJ61" s="415">
        <f t="shared" si="13"/>
        <v>27</v>
      </c>
      <c r="BK61" s="415">
        <f t="shared" si="13"/>
        <v>15</v>
      </c>
      <c r="BL61" s="415">
        <f t="shared" si="13"/>
        <v>15</v>
      </c>
      <c r="BM61" s="415">
        <f t="shared" si="13"/>
        <v>18.36182</v>
      </c>
    </row>
    <row r="62" spans="1:65" s="129" customFormat="1" ht="18.75" outlineLevel="1">
      <c r="A62" s="141" t="s">
        <v>263</v>
      </c>
      <c r="B62" s="173" t="s">
        <v>264</v>
      </c>
      <c r="C62" s="158" t="s">
        <v>265</v>
      </c>
      <c r="D62" s="144">
        <v>0.4</v>
      </c>
      <c r="E62" s="161"/>
      <c r="F62" s="161"/>
      <c r="G62" s="161"/>
      <c r="H62" s="162"/>
      <c r="I62" s="149"/>
      <c r="J62" s="149"/>
      <c r="K62" s="149"/>
      <c r="L62" s="149"/>
      <c r="M62" s="149"/>
      <c r="N62" s="149"/>
      <c r="O62" s="149"/>
      <c r="P62" s="149"/>
      <c r="Q62" s="149"/>
      <c r="R62" s="156"/>
      <c r="S62" s="156"/>
      <c r="T62" s="152"/>
      <c r="U62" s="153"/>
      <c r="V62" s="154" t="e">
        <f t="shared" si="1"/>
        <v>#DIV/0!</v>
      </c>
      <c r="W62" s="154" t="e">
        <f t="shared" si="2"/>
        <v>#DIV/0!</v>
      </c>
      <c r="X62" s="163">
        <v>160</v>
      </c>
      <c r="Y62" s="161">
        <v>15</v>
      </c>
      <c r="Z62" s="161">
        <v>15</v>
      </c>
      <c r="AA62" s="162">
        <v>103.06394</v>
      </c>
      <c r="AB62" s="149">
        <v>72.16691</v>
      </c>
      <c r="AC62" s="149">
        <v>8.6032</v>
      </c>
      <c r="AD62" s="149">
        <f>18.72442+37.44884</f>
        <v>56.17326</v>
      </c>
      <c r="AE62" s="149">
        <v>15.12011</v>
      </c>
      <c r="AF62" s="149">
        <v>0</v>
      </c>
      <c r="AG62" s="149">
        <v>0</v>
      </c>
      <c r="AH62" s="149">
        <v>6.90939</v>
      </c>
      <c r="AI62" s="149">
        <v>53.77</v>
      </c>
      <c r="AJ62" s="149">
        <v>9.36221</v>
      </c>
      <c r="AK62" s="150" t="s">
        <v>119</v>
      </c>
      <c r="AL62" s="151" t="s">
        <v>120</v>
      </c>
      <c r="AM62" s="156"/>
      <c r="AN62" s="153">
        <v>125</v>
      </c>
      <c r="AO62" s="154">
        <f t="shared" si="4"/>
        <v>644.149625</v>
      </c>
      <c r="AP62" s="154">
        <f t="shared" si="5"/>
        <v>6.870929333333334</v>
      </c>
      <c r="AQ62" s="161"/>
      <c r="AR62" s="161"/>
      <c r="AS62" s="161"/>
      <c r="AT62" s="162"/>
      <c r="AU62" s="149"/>
      <c r="AV62" s="149"/>
      <c r="AW62" s="149"/>
      <c r="AX62" s="149"/>
      <c r="AY62" s="149"/>
      <c r="AZ62" s="149"/>
      <c r="BA62" s="149"/>
      <c r="BB62" s="149"/>
      <c r="BC62" s="149"/>
      <c r="BD62" s="156"/>
      <c r="BE62" s="156"/>
      <c r="BF62" s="156"/>
      <c r="BG62" s="153"/>
      <c r="BH62" s="154" t="e">
        <f t="shared" si="7"/>
        <v>#DIV/0!</v>
      </c>
      <c r="BI62" s="154" t="e">
        <f t="shared" si="8"/>
        <v>#DIV/0!</v>
      </c>
      <c r="BJ62" s="415">
        <f t="shared" si="13"/>
        <v>160</v>
      </c>
      <c r="BK62" s="415">
        <f t="shared" si="13"/>
        <v>15</v>
      </c>
      <c r="BL62" s="415">
        <f t="shared" si="13"/>
        <v>15</v>
      </c>
      <c r="BM62" s="415">
        <f t="shared" si="13"/>
        <v>103.06394</v>
      </c>
    </row>
    <row r="63" spans="1:65" s="129" customFormat="1" ht="18.75" outlineLevel="1">
      <c r="A63" s="141" t="s">
        <v>266</v>
      </c>
      <c r="B63" s="173" t="s">
        <v>267</v>
      </c>
      <c r="C63" s="158" t="s">
        <v>268</v>
      </c>
      <c r="D63" s="144">
        <v>0.4</v>
      </c>
      <c r="E63" s="161"/>
      <c r="F63" s="161"/>
      <c r="G63" s="161"/>
      <c r="H63" s="162"/>
      <c r="I63" s="149"/>
      <c r="J63" s="149"/>
      <c r="K63" s="149"/>
      <c r="L63" s="149"/>
      <c r="M63" s="149"/>
      <c r="N63" s="149"/>
      <c r="O63" s="149"/>
      <c r="P63" s="149"/>
      <c r="Q63" s="149"/>
      <c r="R63" s="156"/>
      <c r="S63" s="156"/>
      <c r="T63" s="152"/>
      <c r="U63" s="153"/>
      <c r="V63" s="154" t="e">
        <f t="shared" si="1"/>
        <v>#DIV/0!</v>
      </c>
      <c r="W63" s="154" t="e">
        <f t="shared" si="2"/>
        <v>#DIV/0!</v>
      </c>
      <c r="X63" s="163">
        <v>180</v>
      </c>
      <c r="Y63" s="161">
        <v>8</v>
      </c>
      <c r="Z63" s="161">
        <v>8</v>
      </c>
      <c r="AA63" s="162">
        <v>104.06108</v>
      </c>
      <c r="AB63" s="149">
        <v>72.11982</v>
      </c>
      <c r="AC63" s="149">
        <v>11.0052</v>
      </c>
      <c r="AD63" s="149">
        <f>18.66658+37.33316</f>
        <v>55.99974</v>
      </c>
      <c r="AE63" s="149">
        <v>15.73143</v>
      </c>
      <c r="AF63" s="149">
        <v>0</v>
      </c>
      <c r="AG63" s="149">
        <v>0</v>
      </c>
      <c r="AH63" s="149">
        <v>7.10572</v>
      </c>
      <c r="AI63" s="149">
        <v>61.14</v>
      </c>
      <c r="AJ63" s="149">
        <v>9.33329</v>
      </c>
      <c r="AK63" s="150" t="s">
        <v>119</v>
      </c>
      <c r="AL63" s="151" t="s">
        <v>120</v>
      </c>
      <c r="AM63" s="156"/>
      <c r="AN63" s="153">
        <v>141</v>
      </c>
      <c r="AO63" s="154">
        <f t="shared" si="4"/>
        <v>578.1171111111111</v>
      </c>
      <c r="AP63" s="154">
        <f t="shared" si="5"/>
        <v>13.007635</v>
      </c>
      <c r="AQ63" s="161"/>
      <c r="AR63" s="161"/>
      <c r="AS63" s="161"/>
      <c r="AT63" s="162"/>
      <c r="AU63" s="149"/>
      <c r="AV63" s="149"/>
      <c r="AW63" s="149"/>
      <c r="AX63" s="149"/>
      <c r="AY63" s="149"/>
      <c r="AZ63" s="149"/>
      <c r="BA63" s="149"/>
      <c r="BB63" s="149"/>
      <c r="BC63" s="149"/>
      <c r="BD63" s="156"/>
      <c r="BE63" s="156"/>
      <c r="BF63" s="156"/>
      <c r="BG63" s="153"/>
      <c r="BH63" s="154" t="e">
        <f t="shared" si="7"/>
        <v>#DIV/0!</v>
      </c>
      <c r="BI63" s="154" t="e">
        <f t="shared" si="8"/>
        <v>#DIV/0!</v>
      </c>
      <c r="BJ63" s="415">
        <f t="shared" si="13"/>
        <v>180</v>
      </c>
      <c r="BK63" s="415">
        <f t="shared" si="13"/>
        <v>8</v>
      </c>
      <c r="BL63" s="415">
        <f t="shared" si="13"/>
        <v>8</v>
      </c>
      <c r="BM63" s="415">
        <f t="shared" si="13"/>
        <v>104.06108</v>
      </c>
    </row>
    <row r="64" spans="1:65" s="129" customFormat="1" ht="18.75" outlineLevel="1">
      <c r="A64" s="141" t="s">
        <v>269</v>
      </c>
      <c r="B64" s="173" t="s">
        <v>270</v>
      </c>
      <c r="C64" s="158" t="s">
        <v>271</v>
      </c>
      <c r="D64" s="144">
        <v>0.4</v>
      </c>
      <c r="E64" s="161"/>
      <c r="F64" s="161"/>
      <c r="G64" s="161"/>
      <c r="H64" s="162"/>
      <c r="I64" s="149"/>
      <c r="J64" s="149"/>
      <c r="K64" s="149"/>
      <c r="L64" s="149"/>
      <c r="M64" s="149"/>
      <c r="N64" s="149"/>
      <c r="O64" s="149"/>
      <c r="P64" s="149"/>
      <c r="Q64" s="149"/>
      <c r="R64" s="156"/>
      <c r="S64" s="156"/>
      <c r="T64" s="152"/>
      <c r="U64" s="153"/>
      <c r="V64" s="154" t="e">
        <f t="shared" si="1"/>
        <v>#DIV/0!</v>
      </c>
      <c r="W64" s="154" t="e">
        <f t="shared" si="2"/>
        <v>#DIV/0!</v>
      </c>
      <c r="X64" s="163">
        <v>57</v>
      </c>
      <c r="Y64" s="161">
        <v>15</v>
      </c>
      <c r="Z64" s="161">
        <v>15</v>
      </c>
      <c r="AA64" s="162">
        <v>19.78619</v>
      </c>
      <c r="AB64" s="149">
        <v>13.90131</v>
      </c>
      <c r="AC64" s="149">
        <v>3.06489</v>
      </c>
      <c r="AD64" s="149">
        <v>8.7039</v>
      </c>
      <c r="AE64" s="149">
        <v>2.95968</v>
      </c>
      <c r="AF64" s="149">
        <v>0</v>
      </c>
      <c r="AG64" s="149">
        <v>0</v>
      </c>
      <c r="AH64" s="149">
        <v>1.30589</v>
      </c>
      <c r="AI64" s="149">
        <v>53.77</v>
      </c>
      <c r="AJ64" s="149">
        <v>8.7039</v>
      </c>
      <c r="AK64" s="150" t="s">
        <v>119</v>
      </c>
      <c r="AL64" s="151" t="s">
        <v>120</v>
      </c>
      <c r="AM64" s="156"/>
      <c r="AN64" s="153">
        <v>176</v>
      </c>
      <c r="AO64" s="154">
        <f t="shared" si="4"/>
        <v>347.12614035087717</v>
      </c>
      <c r="AP64" s="154">
        <f t="shared" si="5"/>
        <v>1.3190793333333335</v>
      </c>
      <c r="AQ64" s="161"/>
      <c r="AR64" s="161"/>
      <c r="AS64" s="161"/>
      <c r="AT64" s="162"/>
      <c r="AU64" s="149"/>
      <c r="AV64" s="149"/>
      <c r="AW64" s="149"/>
      <c r="AX64" s="149"/>
      <c r="AY64" s="149"/>
      <c r="AZ64" s="149"/>
      <c r="BA64" s="149"/>
      <c r="BB64" s="149"/>
      <c r="BC64" s="149"/>
      <c r="BD64" s="156"/>
      <c r="BE64" s="156"/>
      <c r="BF64" s="156"/>
      <c r="BG64" s="153"/>
      <c r="BH64" s="154" t="e">
        <f t="shared" si="7"/>
        <v>#DIV/0!</v>
      </c>
      <c r="BI64" s="154" t="e">
        <f t="shared" si="8"/>
        <v>#DIV/0!</v>
      </c>
      <c r="BJ64" s="415">
        <f t="shared" si="13"/>
        <v>57</v>
      </c>
      <c r="BK64" s="415">
        <f t="shared" si="13"/>
        <v>15</v>
      </c>
      <c r="BL64" s="415">
        <f t="shared" si="13"/>
        <v>15</v>
      </c>
      <c r="BM64" s="415">
        <f t="shared" si="13"/>
        <v>19.78619</v>
      </c>
    </row>
    <row r="65" spans="1:65" s="129" customFormat="1" ht="18.75" outlineLevel="1">
      <c r="A65" s="141" t="s">
        <v>272</v>
      </c>
      <c r="B65" s="173" t="s">
        <v>273</v>
      </c>
      <c r="C65" s="158" t="s">
        <v>274</v>
      </c>
      <c r="D65" s="144">
        <v>0.4</v>
      </c>
      <c r="E65" s="145"/>
      <c r="F65" s="146"/>
      <c r="G65" s="146"/>
      <c r="H65" s="162"/>
      <c r="I65" s="149"/>
      <c r="J65" s="149"/>
      <c r="K65" s="149"/>
      <c r="L65" s="149"/>
      <c r="M65" s="149"/>
      <c r="N65" s="149"/>
      <c r="O65" s="149"/>
      <c r="P65" s="149"/>
      <c r="Q65" s="149"/>
      <c r="R65" s="156"/>
      <c r="S65" s="156"/>
      <c r="T65" s="152"/>
      <c r="U65" s="153"/>
      <c r="V65" s="154" t="e">
        <f t="shared" si="1"/>
        <v>#DIV/0!</v>
      </c>
      <c r="W65" s="154" t="e">
        <f t="shared" si="2"/>
        <v>#DIV/0!</v>
      </c>
      <c r="X65" s="155">
        <v>35</v>
      </c>
      <c r="Y65" s="146">
        <v>15</v>
      </c>
      <c r="Z65" s="146">
        <v>15</v>
      </c>
      <c r="AA65" s="162">
        <v>10.13085</v>
      </c>
      <c r="AB65" s="149">
        <v>4.78534</v>
      </c>
      <c r="AC65" s="149">
        <v>1.88195</v>
      </c>
      <c r="AD65" s="149">
        <v>1.4918</v>
      </c>
      <c r="AE65" s="149">
        <v>2.54017</v>
      </c>
      <c r="AF65" s="149">
        <v>0</v>
      </c>
      <c r="AG65" s="149">
        <v>0</v>
      </c>
      <c r="AH65" s="149">
        <v>1.22226</v>
      </c>
      <c r="AI65" s="149">
        <v>53.77</v>
      </c>
      <c r="AJ65" s="149">
        <v>1.4918</v>
      </c>
      <c r="AK65" s="150" t="s">
        <v>119</v>
      </c>
      <c r="AL65" s="151" t="s">
        <v>120</v>
      </c>
      <c r="AM65" s="156"/>
      <c r="AN65" s="153">
        <v>181</v>
      </c>
      <c r="AO65" s="154">
        <f t="shared" si="4"/>
        <v>289.45285714285717</v>
      </c>
      <c r="AP65" s="154">
        <f t="shared" si="5"/>
        <v>0.67539</v>
      </c>
      <c r="AQ65" s="145"/>
      <c r="AR65" s="146"/>
      <c r="AS65" s="146"/>
      <c r="AT65" s="162"/>
      <c r="AU65" s="149"/>
      <c r="AV65" s="149"/>
      <c r="AW65" s="149"/>
      <c r="AX65" s="149"/>
      <c r="AY65" s="149"/>
      <c r="AZ65" s="149"/>
      <c r="BA65" s="149"/>
      <c r="BB65" s="149"/>
      <c r="BC65" s="149"/>
      <c r="BD65" s="156"/>
      <c r="BE65" s="156"/>
      <c r="BF65" s="156"/>
      <c r="BG65" s="153"/>
      <c r="BH65" s="154" t="e">
        <f t="shared" si="7"/>
        <v>#DIV/0!</v>
      </c>
      <c r="BI65" s="154" t="e">
        <f t="shared" si="8"/>
        <v>#DIV/0!</v>
      </c>
      <c r="BJ65" s="415">
        <f t="shared" si="13"/>
        <v>35</v>
      </c>
      <c r="BK65" s="415">
        <f t="shared" si="13"/>
        <v>15</v>
      </c>
      <c r="BL65" s="415">
        <f t="shared" si="13"/>
        <v>15</v>
      </c>
      <c r="BM65" s="415">
        <f t="shared" si="13"/>
        <v>10.13085</v>
      </c>
    </row>
    <row r="66" spans="1:65" s="129" customFormat="1" ht="18.75" outlineLevel="1">
      <c r="A66" s="141" t="s">
        <v>275</v>
      </c>
      <c r="B66" s="173" t="s">
        <v>276</v>
      </c>
      <c r="C66" s="158" t="s">
        <v>277</v>
      </c>
      <c r="D66" s="144">
        <v>0.4</v>
      </c>
      <c r="E66" s="161"/>
      <c r="F66" s="161"/>
      <c r="G66" s="161"/>
      <c r="H66" s="162"/>
      <c r="I66" s="149"/>
      <c r="J66" s="149"/>
      <c r="K66" s="149"/>
      <c r="L66" s="149"/>
      <c r="M66" s="149"/>
      <c r="N66" s="149"/>
      <c r="O66" s="149"/>
      <c r="P66" s="149"/>
      <c r="Q66" s="149"/>
      <c r="R66" s="156"/>
      <c r="S66" s="156"/>
      <c r="T66" s="152"/>
      <c r="U66" s="153"/>
      <c r="V66" s="154" t="e">
        <f t="shared" si="1"/>
        <v>#DIV/0!</v>
      </c>
      <c r="W66" s="154" t="e">
        <f t="shared" si="2"/>
        <v>#DIV/0!</v>
      </c>
      <c r="X66" s="163">
        <v>120</v>
      </c>
      <c r="Y66" s="161">
        <v>15</v>
      </c>
      <c r="Z66" s="161">
        <v>15</v>
      </c>
      <c r="AA66" s="162">
        <v>28.74922</v>
      </c>
      <c r="AB66" s="149">
        <v>19.23864</v>
      </c>
      <c r="AC66" s="149">
        <v>6.4524</v>
      </c>
      <c r="AD66" s="149">
        <v>9.95424</v>
      </c>
      <c r="AE66" s="149">
        <v>4.46818</v>
      </c>
      <c r="AF66" s="149">
        <v>0</v>
      </c>
      <c r="AG66" s="149">
        <v>0</v>
      </c>
      <c r="AH66" s="149">
        <v>2.25603</v>
      </c>
      <c r="AI66" s="149">
        <v>53.77</v>
      </c>
      <c r="AJ66" s="149">
        <v>9.95424</v>
      </c>
      <c r="AK66" s="150" t="s">
        <v>119</v>
      </c>
      <c r="AL66" s="151" t="s">
        <v>120</v>
      </c>
      <c r="AM66" s="156"/>
      <c r="AN66" s="153">
        <v>184</v>
      </c>
      <c r="AO66" s="154">
        <f t="shared" si="4"/>
        <v>239.57683333333335</v>
      </c>
      <c r="AP66" s="154">
        <f t="shared" si="5"/>
        <v>1.9166146666666668</v>
      </c>
      <c r="AQ66" s="161"/>
      <c r="AR66" s="161"/>
      <c r="AS66" s="161"/>
      <c r="AT66" s="162"/>
      <c r="AU66" s="149"/>
      <c r="AV66" s="149"/>
      <c r="AW66" s="149"/>
      <c r="AX66" s="149"/>
      <c r="AY66" s="149"/>
      <c r="AZ66" s="149"/>
      <c r="BA66" s="149"/>
      <c r="BB66" s="149"/>
      <c r="BC66" s="149"/>
      <c r="BD66" s="156"/>
      <c r="BE66" s="156"/>
      <c r="BF66" s="156"/>
      <c r="BG66" s="153"/>
      <c r="BH66" s="154" t="e">
        <f t="shared" si="7"/>
        <v>#DIV/0!</v>
      </c>
      <c r="BI66" s="154" t="e">
        <f t="shared" si="8"/>
        <v>#DIV/0!</v>
      </c>
      <c r="BJ66" s="415">
        <f t="shared" si="13"/>
        <v>120</v>
      </c>
      <c r="BK66" s="415">
        <f t="shared" si="13"/>
        <v>15</v>
      </c>
      <c r="BL66" s="415">
        <f t="shared" si="13"/>
        <v>15</v>
      </c>
      <c r="BM66" s="415">
        <f t="shared" si="13"/>
        <v>28.74922</v>
      </c>
    </row>
    <row r="67" spans="1:65" s="129" customFormat="1" ht="18.75" outlineLevel="1">
      <c r="A67" s="141" t="s">
        <v>278</v>
      </c>
      <c r="B67" s="173" t="s">
        <v>279</v>
      </c>
      <c r="C67" s="158" t="s">
        <v>280</v>
      </c>
      <c r="D67" s="144">
        <v>0.4</v>
      </c>
      <c r="E67" s="161"/>
      <c r="F67" s="161"/>
      <c r="G67" s="161"/>
      <c r="H67" s="162"/>
      <c r="I67" s="149"/>
      <c r="J67" s="149"/>
      <c r="K67" s="149"/>
      <c r="L67" s="149"/>
      <c r="M67" s="149"/>
      <c r="N67" s="149"/>
      <c r="O67" s="149"/>
      <c r="P67" s="149"/>
      <c r="Q67" s="149"/>
      <c r="R67" s="156"/>
      <c r="S67" s="156"/>
      <c r="T67" s="152"/>
      <c r="U67" s="153"/>
      <c r="V67" s="154" t="e">
        <f t="shared" si="1"/>
        <v>#DIV/0!</v>
      </c>
      <c r="W67" s="154" t="e">
        <f t="shared" si="2"/>
        <v>#DIV/0!</v>
      </c>
      <c r="X67" s="163">
        <v>52</v>
      </c>
      <c r="Y67" s="161">
        <v>15</v>
      </c>
      <c r="Z67" s="161">
        <v>15</v>
      </c>
      <c r="AA67" s="162">
        <v>22.67508</v>
      </c>
      <c r="AB67" s="149">
        <v>16.39008</v>
      </c>
      <c r="AC67" s="149">
        <v>3.17928</v>
      </c>
      <c r="AD67" s="149">
        <v>9.33328</v>
      </c>
      <c r="AE67" s="149">
        <v>3.01899</v>
      </c>
      <c r="AF67" s="149">
        <v>0</v>
      </c>
      <c r="AG67" s="149">
        <v>0</v>
      </c>
      <c r="AH67" s="149">
        <v>1.44228</v>
      </c>
      <c r="AI67" s="149">
        <v>61.14</v>
      </c>
      <c r="AJ67" s="149">
        <v>9.33328</v>
      </c>
      <c r="AK67" s="150" t="s">
        <v>119</v>
      </c>
      <c r="AL67" s="151" t="s">
        <v>120</v>
      </c>
      <c r="AM67" s="156"/>
      <c r="AN67" s="153">
        <v>224</v>
      </c>
      <c r="AO67" s="154">
        <f t="shared" si="4"/>
        <v>436.0592307692308</v>
      </c>
      <c r="AP67" s="154">
        <f t="shared" si="5"/>
        <v>1.5116720000000001</v>
      </c>
      <c r="AQ67" s="161"/>
      <c r="AR67" s="161"/>
      <c r="AS67" s="161"/>
      <c r="AT67" s="162"/>
      <c r="AU67" s="149"/>
      <c r="AV67" s="149"/>
      <c r="AW67" s="149"/>
      <c r="AX67" s="149"/>
      <c r="AY67" s="149"/>
      <c r="AZ67" s="149"/>
      <c r="BA67" s="149"/>
      <c r="BB67" s="149"/>
      <c r="BC67" s="149"/>
      <c r="BD67" s="156"/>
      <c r="BE67" s="156"/>
      <c r="BF67" s="156"/>
      <c r="BG67" s="153"/>
      <c r="BH67" s="154" t="e">
        <f t="shared" si="7"/>
        <v>#DIV/0!</v>
      </c>
      <c r="BI67" s="154" t="e">
        <f t="shared" si="8"/>
        <v>#DIV/0!</v>
      </c>
      <c r="BJ67" s="415">
        <f t="shared" si="13"/>
        <v>52</v>
      </c>
      <c r="BK67" s="415">
        <f t="shared" si="13"/>
        <v>15</v>
      </c>
      <c r="BL67" s="415">
        <f t="shared" si="13"/>
        <v>15</v>
      </c>
      <c r="BM67" s="415">
        <f t="shared" si="13"/>
        <v>22.67508</v>
      </c>
    </row>
    <row r="68" spans="1:65" s="129" customFormat="1" ht="18.75" outlineLevel="1">
      <c r="A68" s="141" t="s">
        <v>281</v>
      </c>
      <c r="B68" s="176" t="s">
        <v>282</v>
      </c>
      <c r="C68" s="158" t="s">
        <v>283</v>
      </c>
      <c r="D68" s="144">
        <v>0.4</v>
      </c>
      <c r="E68" s="161"/>
      <c r="F68" s="161"/>
      <c r="G68" s="161"/>
      <c r="H68" s="162"/>
      <c r="I68" s="149"/>
      <c r="J68" s="149"/>
      <c r="K68" s="149"/>
      <c r="L68" s="149"/>
      <c r="M68" s="149"/>
      <c r="N68" s="149"/>
      <c r="O68" s="149"/>
      <c r="P68" s="149"/>
      <c r="Q68" s="149"/>
      <c r="R68" s="156"/>
      <c r="S68" s="156"/>
      <c r="T68" s="152"/>
      <c r="U68" s="153"/>
      <c r="V68" s="154" t="e">
        <f t="shared" si="1"/>
        <v>#DIV/0!</v>
      </c>
      <c r="W68" s="154" t="e">
        <f t="shared" si="2"/>
        <v>#DIV/0!</v>
      </c>
      <c r="X68" s="163">
        <v>50</v>
      </c>
      <c r="Y68" s="161">
        <v>64</v>
      </c>
      <c r="Z68" s="161">
        <v>64</v>
      </c>
      <c r="AA68" s="162">
        <v>6.666</v>
      </c>
      <c r="AB68" s="149">
        <v>4.344</v>
      </c>
      <c r="AC68" s="149">
        <v>3.057</v>
      </c>
      <c r="AD68" s="149">
        <v>0</v>
      </c>
      <c r="AE68" s="149">
        <v>1.107</v>
      </c>
      <c r="AF68" s="149">
        <v>0</v>
      </c>
      <c r="AG68" s="149">
        <v>0</v>
      </c>
      <c r="AH68" s="149">
        <v>0.528</v>
      </c>
      <c r="AI68" s="149">
        <v>61.14</v>
      </c>
      <c r="AJ68" s="149">
        <v>9.33328</v>
      </c>
      <c r="AK68" s="150" t="s">
        <v>119</v>
      </c>
      <c r="AL68" s="151" t="s">
        <v>120</v>
      </c>
      <c r="AM68" s="156"/>
      <c r="AN68" s="153">
        <v>229</v>
      </c>
      <c r="AO68" s="154">
        <f t="shared" si="4"/>
        <v>133.32</v>
      </c>
      <c r="AP68" s="154">
        <f t="shared" si="5"/>
        <v>0.10415625</v>
      </c>
      <c r="AQ68" s="161"/>
      <c r="AR68" s="161"/>
      <c r="AS68" s="161"/>
      <c r="AT68" s="162"/>
      <c r="AU68" s="149"/>
      <c r="AV68" s="149"/>
      <c r="AW68" s="149"/>
      <c r="AX68" s="149"/>
      <c r="AY68" s="149"/>
      <c r="AZ68" s="149"/>
      <c r="BA68" s="149"/>
      <c r="BB68" s="149"/>
      <c r="BC68" s="149"/>
      <c r="BD68" s="156"/>
      <c r="BE68" s="156"/>
      <c r="BF68" s="156"/>
      <c r="BG68" s="153"/>
      <c r="BH68" s="154" t="e">
        <f t="shared" si="7"/>
        <v>#DIV/0!</v>
      </c>
      <c r="BI68" s="154" t="e">
        <f t="shared" si="8"/>
        <v>#DIV/0!</v>
      </c>
      <c r="BJ68" s="415">
        <f t="shared" si="13"/>
        <v>50</v>
      </c>
      <c r="BK68" s="415">
        <f t="shared" si="13"/>
        <v>64</v>
      </c>
      <c r="BL68" s="415">
        <f t="shared" si="13"/>
        <v>64</v>
      </c>
      <c r="BM68" s="415">
        <f t="shared" si="13"/>
        <v>6.666</v>
      </c>
    </row>
    <row r="69" spans="1:65" s="129" customFormat="1" ht="18.75" outlineLevel="1">
      <c r="A69" s="141" t="s">
        <v>284</v>
      </c>
      <c r="B69" s="173" t="s">
        <v>285</v>
      </c>
      <c r="C69" s="158" t="s">
        <v>286</v>
      </c>
      <c r="D69" s="144">
        <v>0.4</v>
      </c>
      <c r="E69" s="161"/>
      <c r="F69" s="161"/>
      <c r="G69" s="161"/>
      <c r="H69" s="162"/>
      <c r="I69" s="149"/>
      <c r="J69" s="149"/>
      <c r="K69" s="149"/>
      <c r="L69" s="149"/>
      <c r="M69" s="149"/>
      <c r="N69" s="149"/>
      <c r="O69" s="149"/>
      <c r="P69" s="149"/>
      <c r="Q69" s="149"/>
      <c r="R69" s="156"/>
      <c r="S69" s="156"/>
      <c r="T69" s="152"/>
      <c r="U69" s="153"/>
      <c r="V69" s="154" t="e">
        <f t="shared" si="1"/>
        <v>#DIV/0!</v>
      </c>
      <c r="W69" s="154" t="e">
        <f t="shared" si="2"/>
        <v>#DIV/0!</v>
      </c>
      <c r="X69" s="163">
        <v>266</v>
      </c>
      <c r="Y69" s="161">
        <v>15</v>
      </c>
      <c r="Z69" s="161">
        <v>15</v>
      </c>
      <c r="AA69" s="162">
        <v>63.50232</v>
      </c>
      <c r="AB69" s="149">
        <v>42.47897</v>
      </c>
      <c r="AC69" s="149">
        <v>16.26324</v>
      </c>
      <c r="AD69" s="149">
        <v>18.66658</v>
      </c>
      <c r="AE69" s="149">
        <v>10.13712</v>
      </c>
      <c r="AF69" s="149">
        <v>0</v>
      </c>
      <c r="AG69" s="149">
        <v>0</v>
      </c>
      <c r="AH69" s="149">
        <v>4.90697</v>
      </c>
      <c r="AI69" s="149">
        <v>61.14</v>
      </c>
      <c r="AJ69" s="149">
        <v>9.33329</v>
      </c>
      <c r="AK69" s="150" t="s">
        <v>119</v>
      </c>
      <c r="AL69" s="151" t="s">
        <v>120</v>
      </c>
      <c r="AM69" s="156"/>
      <c r="AN69" s="153">
        <v>240</v>
      </c>
      <c r="AO69" s="154">
        <f t="shared" si="4"/>
        <v>238.7305263157895</v>
      </c>
      <c r="AP69" s="154">
        <f t="shared" si="5"/>
        <v>4.2334879999999995</v>
      </c>
      <c r="AQ69" s="161"/>
      <c r="AR69" s="161"/>
      <c r="AS69" s="161"/>
      <c r="AT69" s="162"/>
      <c r="AU69" s="149"/>
      <c r="AV69" s="149"/>
      <c r="AW69" s="149"/>
      <c r="AX69" s="149"/>
      <c r="AY69" s="149"/>
      <c r="AZ69" s="149"/>
      <c r="BA69" s="149"/>
      <c r="BB69" s="149"/>
      <c r="BC69" s="149"/>
      <c r="BD69" s="156"/>
      <c r="BE69" s="156"/>
      <c r="BF69" s="156"/>
      <c r="BG69" s="153"/>
      <c r="BH69" s="154" t="e">
        <f t="shared" si="7"/>
        <v>#DIV/0!</v>
      </c>
      <c r="BI69" s="154" t="e">
        <f t="shared" si="8"/>
        <v>#DIV/0!</v>
      </c>
      <c r="BJ69" s="415">
        <f t="shared" si="13"/>
        <v>266</v>
      </c>
      <c r="BK69" s="415">
        <f t="shared" si="13"/>
        <v>15</v>
      </c>
      <c r="BL69" s="415">
        <f t="shared" si="13"/>
        <v>15</v>
      </c>
      <c r="BM69" s="415">
        <f t="shared" si="13"/>
        <v>63.50232</v>
      </c>
    </row>
    <row r="70" spans="1:65" s="129" customFormat="1" ht="18.75" outlineLevel="1">
      <c r="A70" s="141" t="s">
        <v>287</v>
      </c>
      <c r="B70" s="173" t="s">
        <v>288</v>
      </c>
      <c r="C70" s="158" t="s">
        <v>289</v>
      </c>
      <c r="D70" s="144">
        <v>0.4</v>
      </c>
      <c r="E70" s="161"/>
      <c r="F70" s="161"/>
      <c r="G70" s="161"/>
      <c r="H70" s="162"/>
      <c r="I70" s="149"/>
      <c r="J70" s="149"/>
      <c r="K70" s="149"/>
      <c r="L70" s="149"/>
      <c r="M70" s="149"/>
      <c r="N70" s="149"/>
      <c r="O70" s="149"/>
      <c r="P70" s="149"/>
      <c r="Q70" s="149"/>
      <c r="R70" s="156"/>
      <c r="S70" s="156"/>
      <c r="T70" s="152"/>
      <c r="U70" s="153"/>
      <c r="V70" s="154" t="e">
        <f t="shared" si="1"/>
        <v>#DIV/0!</v>
      </c>
      <c r="W70" s="154" t="e">
        <f t="shared" si="2"/>
        <v>#DIV/0!</v>
      </c>
      <c r="X70" s="163">
        <v>53</v>
      </c>
      <c r="Y70" s="161">
        <v>15</v>
      </c>
      <c r="Z70" s="161">
        <v>15</v>
      </c>
      <c r="AA70" s="162">
        <v>20.94475</v>
      </c>
      <c r="AB70" s="149">
        <v>14.61042</v>
      </c>
      <c r="AC70" s="149">
        <v>3.24042</v>
      </c>
      <c r="AD70" s="149">
        <v>9.33328</v>
      </c>
      <c r="AE70" s="149">
        <v>3.042</v>
      </c>
      <c r="AF70" s="149">
        <v>0</v>
      </c>
      <c r="AG70" s="149">
        <v>0</v>
      </c>
      <c r="AH70" s="149">
        <v>1.45444</v>
      </c>
      <c r="AI70" s="149">
        <v>61.14</v>
      </c>
      <c r="AJ70" s="149">
        <v>9.33328</v>
      </c>
      <c r="AK70" s="150" t="s">
        <v>119</v>
      </c>
      <c r="AL70" s="151" t="s">
        <v>120</v>
      </c>
      <c r="AM70" s="156"/>
      <c r="AN70" s="153">
        <v>248</v>
      </c>
      <c r="AO70" s="154">
        <f t="shared" si="4"/>
        <v>395.1839622641509</v>
      </c>
      <c r="AP70" s="154">
        <f t="shared" si="5"/>
        <v>1.3963166666666667</v>
      </c>
      <c r="AQ70" s="161"/>
      <c r="AR70" s="161"/>
      <c r="AS70" s="161"/>
      <c r="AT70" s="162"/>
      <c r="AU70" s="149"/>
      <c r="AV70" s="149"/>
      <c r="AW70" s="149"/>
      <c r="AX70" s="149"/>
      <c r="AY70" s="149"/>
      <c r="AZ70" s="149"/>
      <c r="BA70" s="149"/>
      <c r="BB70" s="149"/>
      <c r="BC70" s="149"/>
      <c r="BD70" s="156"/>
      <c r="BE70" s="156"/>
      <c r="BF70" s="156"/>
      <c r="BG70" s="153"/>
      <c r="BH70" s="154" t="e">
        <f t="shared" si="7"/>
        <v>#DIV/0!</v>
      </c>
      <c r="BI70" s="154" t="e">
        <f t="shared" si="8"/>
        <v>#DIV/0!</v>
      </c>
      <c r="BJ70" s="415">
        <f t="shared" si="13"/>
        <v>53</v>
      </c>
      <c r="BK70" s="415">
        <f t="shared" si="13"/>
        <v>15</v>
      </c>
      <c r="BL70" s="415">
        <f t="shared" si="13"/>
        <v>15</v>
      </c>
      <c r="BM70" s="415">
        <f t="shared" si="13"/>
        <v>20.94475</v>
      </c>
    </row>
    <row r="71" spans="1:65" s="129" customFormat="1" ht="18.75" outlineLevel="1">
      <c r="A71" s="141" t="s">
        <v>290</v>
      </c>
      <c r="B71" s="177" t="s">
        <v>291</v>
      </c>
      <c r="C71" s="158" t="s">
        <v>292</v>
      </c>
      <c r="D71" s="144">
        <v>0.4</v>
      </c>
      <c r="E71" s="145"/>
      <c r="F71" s="146"/>
      <c r="G71" s="146"/>
      <c r="H71" s="166"/>
      <c r="I71" s="149"/>
      <c r="J71" s="149"/>
      <c r="K71" s="149"/>
      <c r="L71" s="149"/>
      <c r="M71" s="149"/>
      <c r="N71" s="149"/>
      <c r="O71" s="149"/>
      <c r="P71" s="149"/>
      <c r="Q71" s="149"/>
      <c r="R71" s="156"/>
      <c r="S71" s="156"/>
      <c r="T71" s="152"/>
      <c r="U71" s="153"/>
      <c r="V71" s="154" t="e">
        <f t="shared" si="1"/>
        <v>#DIV/0!</v>
      </c>
      <c r="W71" s="154" t="e">
        <f t="shared" si="2"/>
        <v>#DIV/0!</v>
      </c>
      <c r="X71" s="155"/>
      <c r="Y71" s="146"/>
      <c r="Z71" s="146"/>
      <c r="AA71" s="166"/>
      <c r="AB71" s="149"/>
      <c r="AC71" s="149"/>
      <c r="AD71" s="149"/>
      <c r="AE71" s="149"/>
      <c r="AF71" s="149"/>
      <c r="AG71" s="149"/>
      <c r="AH71" s="149"/>
      <c r="AI71" s="149"/>
      <c r="AJ71" s="149"/>
      <c r="AK71" s="156"/>
      <c r="AL71" s="156"/>
      <c r="AM71" s="156"/>
      <c r="AN71" s="153"/>
      <c r="AO71" s="154" t="e">
        <f t="shared" si="4"/>
        <v>#DIV/0!</v>
      </c>
      <c r="AP71" s="154" t="e">
        <f t="shared" si="5"/>
        <v>#DIV/0!</v>
      </c>
      <c r="AQ71" s="145">
        <v>110</v>
      </c>
      <c r="AR71" s="146">
        <v>15</v>
      </c>
      <c r="AS71" s="146">
        <v>15</v>
      </c>
      <c r="AT71" s="166">
        <v>91.07402</v>
      </c>
      <c r="AU71" s="149">
        <v>59.89874</v>
      </c>
      <c r="AV71" s="149">
        <v>6.7254</v>
      </c>
      <c r="AW71" s="149">
        <f>9.33329+37.33316</f>
        <v>46.66645</v>
      </c>
      <c r="AX71" s="149">
        <v>14.8667</v>
      </c>
      <c r="AY71" s="149">
        <v>0</v>
      </c>
      <c r="AZ71" s="149">
        <v>0</v>
      </c>
      <c r="BA71" s="149">
        <v>7.01871</v>
      </c>
      <c r="BB71" s="149">
        <v>61.14</v>
      </c>
      <c r="BC71" s="149">
        <v>9.33329</v>
      </c>
      <c r="BD71" s="150" t="s">
        <v>119</v>
      </c>
      <c r="BE71" s="151" t="s">
        <v>120</v>
      </c>
      <c r="BF71" s="156"/>
      <c r="BG71" s="153">
        <v>3</v>
      </c>
      <c r="BH71" s="154">
        <f t="shared" si="7"/>
        <v>827.9456363636364</v>
      </c>
      <c r="BI71" s="154">
        <f t="shared" si="8"/>
        <v>6.071601333333334</v>
      </c>
      <c r="BJ71" s="415">
        <f t="shared" si="13"/>
        <v>110</v>
      </c>
      <c r="BK71" s="415">
        <f t="shared" si="13"/>
        <v>15</v>
      </c>
      <c r="BL71" s="415">
        <f t="shared" si="13"/>
        <v>15</v>
      </c>
      <c r="BM71" s="415">
        <f t="shared" si="13"/>
        <v>91.07402</v>
      </c>
    </row>
    <row r="72" spans="1:65" s="129" customFormat="1" ht="18.75" outlineLevel="1">
      <c r="A72" s="141" t="s">
        <v>293</v>
      </c>
      <c r="B72" s="177" t="s">
        <v>294</v>
      </c>
      <c r="C72" s="158" t="s">
        <v>295</v>
      </c>
      <c r="D72" s="144">
        <v>0.4</v>
      </c>
      <c r="E72" s="145"/>
      <c r="F72" s="146"/>
      <c r="G72" s="165"/>
      <c r="H72" s="166"/>
      <c r="I72" s="149"/>
      <c r="J72" s="149"/>
      <c r="K72" s="149"/>
      <c r="L72" s="149"/>
      <c r="M72" s="149"/>
      <c r="N72" s="149"/>
      <c r="O72" s="149"/>
      <c r="P72" s="149"/>
      <c r="Q72" s="149"/>
      <c r="R72" s="156"/>
      <c r="S72" s="156"/>
      <c r="T72" s="152"/>
      <c r="U72" s="153"/>
      <c r="V72" s="154" t="e">
        <f t="shared" si="1"/>
        <v>#DIV/0!</v>
      </c>
      <c r="W72" s="154" t="e">
        <f t="shared" si="2"/>
        <v>#DIV/0!</v>
      </c>
      <c r="X72" s="155"/>
      <c r="Y72" s="146"/>
      <c r="Z72" s="165"/>
      <c r="AA72" s="166"/>
      <c r="AB72" s="149"/>
      <c r="AC72" s="149"/>
      <c r="AD72" s="149"/>
      <c r="AE72" s="149"/>
      <c r="AF72" s="149"/>
      <c r="AG72" s="149"/>
      <c r="AH72" s="149"/>
      <c r="AI72" s="149"/>
      <c r="AJ72" s="149"/>
      <c r="AK72" s="156"/>
      <c r="AL72" s="156"/>
      <c r="AM72" s="156"/>
      <c r="AN72" s="153"/>
      <c r="AO72" s="154" t="e">
        <f t="shared" si="4"/>
        <v>#DIV/0!</v>
      </c>
      <c r="AP72" s="154" t="e">
        <f t="shared" si="5"/>
        <v>#DIV/0!</v>
      </c>
      <c r="AQ72" s="145">
        <v>75</v>
      </c>
      <c r="AR72" s="146">
        <v>15</v>
      </c>
      <c r="AS72" s="147">
        <v>15</v>
      </c>
      <c r="AT72" s="166">
        <v>67.51192</v>
      </c>
      <c r="AU72" s="149">
        <v>47.67751</v>
      </c>
      <c r="AV72" s="149">
        <v>4.5855</v>
      </c>
      <c r="AW72" s="149">
        <f>19.03728+19.03728</f>
        <v>38.07456</v>
      </c>
      <c r="AX72" s="149">
        <v>9.38867</v>
      </c>
      <c r="AY72" s="149">
        <v>0</v>
      </c>
      <c r="AZ72" s="149">
        <v>0</v>
      </c>
      <c r="BA72" s="149">
        <v>4.47924</v>
      </c>
      <c r="BB72" s="149">
        <v>61.14</v>
      </c>
      <c r="BC72" s="149">
        <v>9.51864</v>
      </c>
      <c r="BD72" s="150" t="s">
        <v>119</v>
      </c>
      <c r="BE72" s="151" t="s">
        <v>120</v>
      </c>
      <c r="BF72" s="156"/>
      <c r="BG72" s="153">
        <v>15</v>
      </c>
      <c r="BH72" s="154">
        <f t="shared" si="7"/>
        <v>900.1589333333334</v>
      </c>
      <c r="BI72" s="154">
        <f t="shared" si="8"/>
        <v>4.500794666666667</v>
      </c>
      <c r="BJ72" s="415">
        <f t="shared" si="13"/>
        <v>75</v>
      </c>
      <c r="BK72" s="415">
        <f t="shared" si="13"/>
        <v>15</v>
      </c>
      <c r="BL72" s="415">
        <f t="shared" si="13"/>
        <v>15</v>
      </c>
      <c r="BM72" s="415">
        <f t="shared" si="13"/>
        <v>67.51192</v>
      </c>
    </row>
    <row r="73" spans="1:65" s="129" customFormat="1" ht="18.75" outlineLevel="1">
      <c r="A73" s="141" t="s">
        <v>296</v>
      </c>
      <c r="B73" s="177" t="s">
        <v>297</v>
      </c>
      <c r="C73" s="158" t="s">
        <v>298</v>
      </c>
      <c r="D73" s="144">
        <v>0.4</v>
      </c>
      <c r="E73" s="145"/>
      <c r="F73" s="146"/>
      <c r="G73" s="165"/>
      <c r="H73" s="166"/>
      <c r="I73" s="149"/>
      <c r="J73" s="149"/>
      <c r="K73" s="149"/>
      <c r="L73" s="149"/>
      <c r="M73" s="149"/>
      <c r="N73" s="149"/>
      <c r="O73" s="149"/>
      <c r="P73" s="149"/>
      <c r="Q73" s="149"/>
      <c r="R73" s="156"/>
      <c r="S73" s="156"/>
      <c r="T73" s="152"/>
      <c r="U73" s="153"/>
      <c r="V73" s="154" t="e">
        <f t="shared" si="1"/>
        <v>#DIV/0!</v>
      </c>
      <c r="W73" s="154" t="e">
        <f t="shared" si="2"/>
        <v>#DIV/0!</v>
      </c>
      <c r="X73" s="155"/>
      <c r="Y73" s="146"/>
      <c r="Z73" s="165"/>
      <c r="AA73" s="166"/>
      <c r="AB73" s="149"/>
      <c r="AC73" s="149"/>
      <c r="AD73" s="149"/>
      <c r="AE73" s="149"/>
      <c r="AF73" s="149"/>
      <c r="AG73" s="149"/>
      <c r="AH73" s="149"/>
      <c r="AI73" s="149"/>
      <c r="AJ73" s="149"/>
      <c r="AK73" s="156"/>
      <c r="AL73" s="156"/>
      <c r="AM73" s="156"/>
      <c r="AN73" s="153"/>
      <c r="AO73" s="154" t="e">
        <f t="shared" si="4"/>
        <v>#DIV/0!</v>
      </c>
      <c r="AP73" s="154" t="e">
        <f t="shared" si="5"/>
        <v>#DIV/0!</v>
      </c>
      <c r="AQ73" s="145">
        <v>50</v>
      </c>
      <c r="AR73" s="146">
        <v>15</v>
      </c>
      <c r="AS73" s="147">
        <v>15</v>
      </c>
      <c r="AT73" s="166">
        <v>34.36898</v>
      </c>
      <c r="AU73" s="149">
        <v>23.89077</v>
      </c>
      <c r="AV73" s="149">
        <v>2.964</v>
      </c>
      <c r="AW73" s="149">
        <v>18.94916</v>
      </c>
      <c r="AX73" s="149">
        <v>4.81108</v>
      </c>
      <c r="AY73" s="149">
        <v>0</v>
      </c>
      <c r="AZ73" s="149">
        <v>0</v>
      </c>
      <c r="BA73" s="149">
        <v>2.51123</v>
      </c>
      <c r="BB73" s="149">
        <v>59.08</v>
      </c>
      <c r="BC73" s="149">
        <v>9.47458</v>
      </c>
      <c r="BD73" s="150" t="s">
        <v>119</v>
      </c>
      <c r="BE73" s="151" t="s">
        <v>120</v>
      </c>
      <c r="BF73" s="156"/>
      <c r="BG73" s="153">
        <v>49</v>
      </c>
      <c r="BH73" s="154">
        <f t="shared" si="7"/>
        <v>687.3796</v>
      </c>
      <c r="BI73" s="154">
        <f t="shared" si="8"/>
        <v>2.2912653333333335</v>
      </c>
      <c r="BJ73" s="415">
        <f t="shared" si="13"/>
        <v>50</v>
      </c>
      <c r="BK73" s="415">
        <f t="shared" si="13"/>
        <v>15</v>
      </c>
      <c r="BL73" s="415">
        <f t="shared" si="13"/>
        <v>15</v>
      </c>
      <c r="BM73" s="415">
        <f t="shared" si="13"/>
        <v>34.36898</v>
      </c>
    </row>
    <row r="74" spans="1:65" s="129" customFormat="1" ht="18.75" outlineLevel="1">
      <c r="A74" s="141" t="s">
        <v>299</v>
      </c>
      <c r="B74" s="177" t="s">
        <v>300</v>
      </c>
      <c r="C74" s="158" t="s">
        <v>301</v>
      </c>
      <c r="D74" s="144">
        <v>0.4</v>
      </c>
      <c r="E74" s="145"/>
      <c r="F74" s="146"/>
      <c r="G74" s="165"/>
      <c r="H74" s="166"/>
      <c r="I74" s="149"/>
      <c r="J74" s="149"/>
      <c r="K74" s="149"/>
      <c r="L74" s="149"/>
      <c r="M74" s="149"/>
      <c r="N74" s="149"/>
      <c r="O74" s="149"/>
      <c r="P74" s="149"/>
      <c r="Q74" s="149"/>
      <c r="R74" s="156"/>
      <c r="S74" s="156"/>
      <c r="T74" s="152"/>
      <c r="U74" s="153"/>
      <c r="V74" s="154" t="e">
        <f t="shared" si="1"/>
        <v>#DIV/0!</v>
      </c>
      <c r="W74" s="154" t="e">
        <f t="shared" si="2"/>
        <v>#DIV/0!</v>
      </c>
      <c r="X74" s="155"/>
      <c r="Y74" s="146"/>
      <c r="Z74" s="165"/>
      <c r="AA74" s="166"/>
      <c r="AB74" s="149"/>
      <c r="AC74" s="149"/>
      <c r="AD74" s="149"/>
      <c r="AE74" s="149"/>
      <c r="AF74" s="149"/>
      <c r="AG74" s="149"/>
      <c r="AH74" s="149"/>
      <c r="AI74" s="149"/>
      <c r="AJ74" s="149"/>
      <c r="AK74" s="156"/>
      <c r="AL74" s="156"/>
      <c r="AM74" s="156"/>
      <c r="AN74" s="153"/>
      <c r="AO74" s="154" t="e">
        <f t="shared" si="4"/>
        <v>#DIV/0!</v>
      </c>
      <c r="AP74" s="154" t="e">
        <f t="shared" si="5"/>
        <v>#DIV/0!</v>
      </c>
      <c r="AQ74" s="145">
        <v>115</v>
      </c>
      <c r="AR74" s="146">
        <v>9</v>
      </c>
      <c r="AS74" s="147">
        <v>9</v>
      </c>
      <c r="AT74" s="166">
        <v>16.506</v>
      </c>
      <c r="AU74" s="149">
        <v>9.946</v>
      </c>
      <c r="AV74" s="149">
        <v>6.2215</v>
      </c>
      <c r="AW74" s="149">
        <v>0</v>
      </c>
      <c r="AX74" s="149">
        <v>2.942</v>
      </c>
      <c r="AY74" s="149">
        <v>0</v>
      </c>
      <c r="AZ74" s="149">
        <v>0</v>
      </c>
      <c r="BA74" s="149">
        <v>1.675</v>
      </c>
      <c r="BB74" s="149">
        <v>54.1</v>
      </c>
      <c r="BC74" s="149">
        <v>8.97943</v>
      </c>
      <c r="BD74" s="150" t="s">
        <v>119</v>
      </c>
      <c r="BE74" s="151" t="s">
        <v>120</v>
      </c>
      <c r="BF74" s="156"/>
      <c r="BG74" s="153">
        <v>78</v>
      </c>
      <c r="BH74" s="154">
        <f t="shared" si="7"/>
        <v>143.5304347826087</v>
      </c>
      <c r="BI74" s="154">
        <f t="shared" si="8"/>
        <v>1.834</v>
      </c>
      <c r="BJ74" s="415">
        <f t="shared" si="13"/>
        <v>115</v>
      </c>
      <c r="BK74" s="415">
        <f t="shared" si="13"/>
        <v>9</v>
      </c>
      <c r="BL74" s="415">
        <f t="shared" si="13"/>
        <v>9</v>
      </c>
      <c r="BM74" s="415">
        <f t="shared" si="13"/>
        <v>16.506</v>
      </c>
    </row>
    <row r="75" spans="1:65" s="129" customFormat="1" ht="18.75" outlineLevel="1">
      <c r="A75" s="141" t="s">
        <v>302</v>
      </c>
      <c r="B75" s="177" t="s">
        <v>303</v>
      </c>
      <c r="C75" s="158" t="s">
        <v>304</v>
      </c>
      <c r="D75" s="144">
        <v>0.4</v>
      </c>
      <c r="E75" s="145"/>
      <c r="F75" s="146"/>
      <c r="G75" s="165"/>
      <c r="H75" s="166"/>
      <c r="I75" s="149"/>
      <c r="J75" s="149"/>
      <c r="K75" s="149"/>
      <c r="L75" s="149"/>
      <c r="M75" s="149"/>
      <c r="N75" s="149"/>
      <c r="O75" s="149"/>
      <c r="P75" s="149"/>
      <c r="Q75" s="149"/>
      <c r="R75" s="156"/>
      <c r="S75" s="156"/>
      <c r="T75" s="152"/>
      <c r="U75" s="153"/>
      <c r="V75" s="154" t="e">
        <f t="shared" si="1"/>
        <v>#DIV/0!</v>
      </c>
      <c r="W75" s="154" t="e">
        <f t="shared" si="2"/>
        <v>#DIV/0!</v>
      </c>
      <c r="X75" s="155"/>
      <c r="Y75" s="146"/>
      <c r="Z75" s="165"/>
      <c r="AA75" s="166"/>
      <c r="AB75" s="149"/>
      <c r="AC75" s="149"/>
      <c r="AD75" s="149"/>
      <c r="AE75" s="149"/>
      <c r="AF75" s="149"/>
      <c r="AG75" s="149"/>
      <c r="AH75" s="149"/>
      <c r="AI75" s="149"/>
      <c r="AJ75" s="149"/>
      <c r="AK75" s="156"/>
      <c r="AL75" s="156"/>
      <c r="AM75" s="156"/>
      <c r="AN75" s="153"/>
      <c r="AO75" s="154" t="e">
        <f t="shared" si="4"/>
        <v>#DIV/0!</v>
      </c>
      <c r="AP75" s="154" t="e">
        <f t="shared" si="5"/>
        <v>#DIV/0!</v>
      </c>
      <c r="AQ75" s="145">
        <v>35</v>
      </c>
      <c r="AR75" s="146">
        <v>15</v>
      </c>
      <c r="AS75" s="147">
        <v>15</v>
      </c>
      <c r="AT75" s="166">
        <v>5.179</v>
      </c>
      <c r="AU75" s="149">
        <v>3.183</v>
      </c>
      <c r="AV75" s="149">
        <v>1.8935</v>
      </c>
      <c r="AW75" s="149">
        <v>0</v>
      </c>
      <c r="AX75" s="149">
        <v>0.896</v>
      </c>
      <c r="AY75" s="149">
        <v>0</v>
      </c>
      <c r="AZ75" s="149">
        <v>0</v>
      </c>
      <c r="BA75" s="149">
        <v>0.51</v>
      </c>
      <c r="BB75" s="149">
        <v>54.1</v>
      </c>
      <c r="BC75" s="149">
        <v>8.97358</v>
      </c>
      <c r="BD75" s="150" t="s">
        <v>119</v>
      </c>
      <c r="BE75" s="151" t="s">
        <v>120</v>
      </c>
      <c r="BF75" s="156"/>
      <c r="BG75" s="153">
        <v>83</v>
      </c>
      <c r="BH75" s="154">
        <f t="shared" si="7"/>
        <v>147.9714285714286</v>
      </c>
      <c r="BI75" s="154">
        <f t="shared" si="8"/>
        <v>0.34526666666666667</v>
      </c>
      <c r="BJ75" s="415">
        <f aca="true" t="shared" si="17" ref="BJ75:BM98">E75+X75+AQ75</f>
        <v>35</v>
      </c>
      <c r="BK75" s="415">
        <f t="shared" si="17"/>
        <v>15</v>
      </c>
      <c r="BL75" s="415">
        <f t="shared" si="17"/>
        <v>15</v>
      </c>
      <c r="BM75" s="415">
        <f t="shared" si="17"/>
        <v>5.179</v>
      </c>
    </row>
    <row r="76" spans="1:65" s="129" customFormat="1" ht="18.75" outlineLevel="1">
      <c r="A76" s="141" t="s">
        <v>305</v>
      </c>
      <c r="B76" s="177" t="s">
        <v>306</v>
      </c>
      <c r="C76" s="158" t="s">
        <v>307</v>
      </c>
      <c r="D76" s="144">
        <v>0.4</v>
      </c>
      <c r="E76" s="145"/>
      <c r="F76" s="146"/>
      <c r="G76" s="165"/>
      <c r="H76" s="166"/>
      <c r="I76" s="149"/>
      <c r="J76" s="149"/>
      <c r="K76" s="149"/>
      <c r="L76" s="149"/>
      <c r="M76" s="149"/>
      <c r="N76" s="149"/>
      <c r="O76" s="149"/>
      <c r="P76" s="149"/>
      <c r="Q76" s="149"/>
      <c r="R76" s="156"/>
      <c r="S76" s="156"/>
      <c r="T76" s="152"/>
      <c r="U76" s="153"/>
      <c r="V76" s="154" t="e">
        <f t="shared" si="1"/>
        <v>#DIV/0!</v>
      </c>
      <c r="W76" s="154" t="e">
        <f t="shared" si="2"/>
        <v>#DIV/0!</v>
      </c>
      <c r="X76" s="155"/>
      <c r="Y76" s="146"/>
      <c r="Z76" s="165"/>
      <c r="AA76" s="166"/>
      <c r="AB76" s="149"/>
      <c r="AC76" s="149"/>
      <c r="AD76" s="149"/>
      <c r="AE76" s="149"/>
      <c r="AF76" s="149"/>
      <c r="AG76" s="149"/>
      <c r="AH76" s="149"/>
      <c r="AI76" s="149"/>
      <c r="AJ76" s="149"/>
      <c r="AK76" s="156"/>
      <c r="AL76" s="156"/>
      <c r="AM76" s="156"/>
      <c r="AN76" s="153"/>
      <c r="AO76" s="154" t="e">
        <f t="shared" si="4"/>
        <v>#DIV/0!</v>
      </c>
      <c r="AP76" s="154" t="e">
        <f t="shared" si="5"/>
        <v>#DIV/0!</v>
      </c>
      <c r="AQ76" s="145">
        <v>85</v>
      </c>
      <c r="AR76" s="146">
        <v>15</v>
      </c>
      <c r="AS76" s="147">
        <v>15</v>
      </c>
      <c r="AT76" s="166">
        <v>55.99046</v>
      </c>
      <c r="AU76" s="149">
        <v>38.3769</v>
      </c>
      <c r="AV76" s="149">
        <v>4.5985</v>
      </c>
      <c r="AW76" s="149">
        <v>26.92074</v>
      </c>
      <c r="AX76" s="149">
        <v>8.03309</v>
      </c>
      <c r="AY76" s="149">
        <v>0</v>
      </c>
      <c r="AZ76" s="149">
        <v>0</v>
      </c>
      <c r="BA76" s="149">
        <v>4.25156</v>
      </c>
      <c r="BB76" s="149">
        <v>54.1</v>
      </c>
      <c r="BC76" s="149">
        <v>8.97358</v>
      </c>
      <c r="BD76" s="150" t="s">
        <v>119</v>
      </c>
      <c r="BE76" s="151" t="s">
        <v>120</v>
      </c>
      <c r="BF76" s="156"/>
      <c r="BG76" s="153">
        <v>87</v>
      </c>
      <c r="BH76" s="154">
        <f t="shared" si="7"/>
        <v>658.7112941176471</v>
      </c>
      <c r="BI76" s="154">
        <f t="shared" si="8"/>
        <v>3.7326973333333333</v>
      </c>
      <c r="BJ76" s="415">
        <f t="shared" si="17"/>
        <v>85</v>
      </c>
      <c r="BK76" s="415">
        <f t="shared" si="17"/>
        <v>15</v>
      </c>
      <c r="BL76" s="415">
        <f t="shared" si="17"/>
        <v>15</v>
      </c>
      <c r="BM76" s="415">
        <f t="shared" si="17"/>
        <v>55.99046</v>
      </c>
    </row>
    <row r="77" spans="1:65" s="129" customFormat="1" ht="18.75" outlineLevel="1">
      <c r="A77" s="141" t="s">
        <v>308</v>
      </c>
      <c r="B77" s="177" t="s">
        <v>309</v>
      </c>
      <c r="C77" s="178" t="s">
        <v>310</v>
      </c>
      <c r="D77" s="144">
        <v>0.4</v>
      </c>
      <c r="E77" s="145"/>
      <c r="F77" s="146"/>
      <c r="G77" s="165"/>
      <c r="H77" s="166"/>
      <c r="I77" s="149"/>
      <c r="J77" s="149"/>
      <c r="K77" s="149"/>
      <c r="L77" s="149"/>
      <c r="M77" s="149"/>
      <c r="N77" s="149"/>
      <c r="O77" s="149"/>
      <c r="P77" s="149"/>
      <c r="Q77" s="149"/>
      <c r="R77" s="156"/>
      <c r="S77" s="156"/>
      <c r="T77" s="152"/>
      <c r="U77" s="153"/>
      <c r="V77" s="154" t="e">
        <f t="shared" si="1"/>
        <v>#DIV/0!</v>
      </c>
      <c r="W77" s="154" t="e">
        <f t="shared" si="2"/>
        <v>#DIV/0!</v>
      </c>
      <c r="X77" s="155"/>
      <c r="Y77" s="146"/>
      <c r="Z77" s="165"/>
      <c r="AA77" s="166"/>
      <c r="AB77" s="149"/>
      <c r="AC77" s="149"/>
      <c r="AD77" s="149"/>
      <c r="AE77" s="149"/>
      <c r="AF77" s="149"/>
      <c r="AG77" s="149"/>
      <c r="AH77" s="149"/>
      <c r="AI77" s="149"/>
      <c r="AJ77" s="149"/>
      <c r="AK77" s="156"/>
      <c r="AL77" s="156"/>
      <c r="AM77" s="156"/>
      <c r="AN77" s="153"/>
      <c r="AO77" s="154" t="e">
        <f t="shared" si="4"/>
        <v>#DIV/0!</v>
      </c>
      <c r="AP77" s="154" t="e">
        <f t="shared" si="5"/>
        <v>#DIV/0!</v>
      </c>
      <c r="AQ77" s="145">
        <v>33</v>
      </c>
      <c r="AR77" s="146">
        <v>15</v>
      </c>
      <c r="AS77" s="147">
        <v>15</v>
      </c>
      <c r="AT77" s="166">
        <v>18.87861</v>
      </c>
      <c r="AU77" s="149">
        <v>13.53075</v>
      </c>
      <c r="AV77" s="149">
        <v>2.01762</v>
      </c>
      <c r="AW77" s="149">
        <v>9.33328</v>
      </c>
      <c r="AX77" s="149">
        <v>2.5819</v>
      </c>
      <c r="AY77" s="149">
        <v>0</v>
      </c>
      <c r="AZ77" s="149">
        <v>0</v>
      </c>
      <c r="BA77" s="149">
        <v>1.2112</v>
      </c>
      <c r="BB77" s="149">
        <v>61.14</v>
      </c>
      <c r="BC77" s="149">
        <v>9.33328</v>
      </c>
      <c r="BD77" s="150" t="s">
        <v>119</v>
      </c>
      <c r="BE77" s="151" t="s">
        <v>120</v>
      </c>
      <c r="BF77" s="156"/>
      <c r="BG77" s="153">
        <v>148</v>
      </c>
      <c r="BH77" s="154">
        <f t="shared" si="7"/>
        <v>572.0790909090908</v>
      </c>
      <c r="BI77" s="154">
        <f t="shared" si="8"/>
        <v>1.2585739999999999</v>
      </c>
      <c r="BJ77" s="415">
        <f t="shared" si="17"/>
        <v>33</v>
      </c>
      <c r="BK77" s="415">
        <f t="shared" si="17"/>
        <v>15</v>
      </c>
      <c r="BL77" s="415">
        <f t="shared" si="17"/>
        <v>15</v>
      </c>
      <c r="BM77" s="415">
        <f t="shared" si="17"/>
        <v>18.87861</v>
      </c>
    </row>
    <row r="78" spans="1:65" s="129" customFormat="1" ht="18.75" outlineLevel="1">
      <c r="A78" s="141" t="s">
        <v>311</v>
      </c>
      <c r="B78" s="177" t="s">
        <v>312</v>
      </c>
      <c r="C78" s="178" t="s">
        <v>313</v>
      </c>
      <c r="D78" s="144">
        <v>0.4</v>
      </c>
      <c r="E78" s="145"/>
      <c r="F78" s="146"/>
      <c r="G78" s="165"/>
      <c r="H78" s="166"/>
      <c r="I78" s="149"/>
      <c r="J78" s="149"/>
      <c r="K78" s="149"/>
      <c r="L78" s="149"/>
      <c r="M78" s="149"/>
      <c r="N78" s="149"/>
      <c r="O78" s="149"/>
      <c r="P78" s="149"/>
      <c r="Q78" s="149"/>
      <c r="R78" s="156"/>
      <c r="S78" s="156"/>
      <c r="T78" s="152"/>
      <c r="U78" s="153"/>
      <c r="V78" s="154" t="e">
        <f t="shared" si="1"/>
        <v>#DIV/0!</v>
      </c>
      <c r="W78" s="154" t="e">
        <f t="shared" si="2"/>
        <v>#DIV/0!</v>
      </c>
      <c r="X78" s="155"/>
      <c r="Y78" s="146"/>
      <c r="Z78" s="165"/>
      <c r="AA78" s="166"/>
      <c r="AB78" s="149"/>
      <c r="AC78" s="149"/>
      <c r="AD78" s="149"/>
      <c r="AE78" s="149"/>
      <c r="AF78" s="149"/>
      <c r="AG78" s="149"/>
      <c r="AH78" s="149"/>
      <c r="AI78" s="149"/>
      <c r="AJ78" s="149"/>
      <c r="AK78" s="156"/>
      <c r="AL78" s="156"/>
      <c r="AM78" s="156"/>
      <c r="AN78" s="153"/>
      <c r="AO78" s="154" t="e">
        <f t="shared" si="4"/>
        <v>#DIV/0!</v>
      </c>
      <c r="AP78" s="154" t="e">
        <f t="shared" si="5"/>
        <v>#DIV/0!</v>
      </c>
      <c r="AQ78" s="145">
        <v>40</v>
      </c>
      <c r="AR78" s="146">
        <v>15</v>
      </c>
      <c r="AS78" s="147">
        <v>15</v>
      </c>
      <c r="AT78" s="166">
        <v>33.0143</v>
      </c>
      <c r="AU78" s="149">
        <v>23.60097</v>
      </c>
      <c r="AV78" s="149">
        <v>2.4456</v>
      </c>
      <c r="AW78" s="149">
        <v>19.0373</v>
      </c>
      <c r="AX78" s="149">
        <v>4.56568</v>
      </c>
      <c r="AY78" s="149">
        <v>0</v>
      </c>
      <c r="AZ78" s="149">
        <v>0</v>
      </c>
      <c r="BA78" s="149">
        <v>2.10619</v>
      </c>
      <c r="BB78" s="149">
        <v>61.14</v>
      </c>
      <c r="BC78" s="149">
        <v>9.51865</v>
      </c>
      <c r="BD78" s="150" t="s">
        <v>119</v>
      </c>
      <c r="BE78" s="151" t="s">
        <v>120</v>
      </c>
      <c r="BF78" s="156"/>
      <c r="BG78" s="153">
        <v>180</v>
      </c>
      <c r="BH78" s="154">
        <f t="shared" si="7"/>
        <v>825.3575</v>
      </c>
      <c r="BI78" s="154">
        <f t="shared" si="8"/>
        <v>2.200953333333333</v>
      </c>
      <c r="BJ78" s="415">
        <f t="shared" si="17"/>
        <v>40</v>
      </c>
      <c r="BK78" s="415">
        <f t="shared" si="17"/>
        <v>15</v>
      </c>
      <c r="BL78" s="415">
        <f t="shared" si="17"/>
        <v>15</v>
      </c>
      <c r="BM78" s="415">
        <f t="shared" si="17"/>
        <v>33.0143</v>
      </c>
    </row>
    <row r="79" spans="1:65" s="129" customFormat="1" ht="18.75" outlineLevel="1">
      <c r="A79" s="141" t="s">
        <v>314</v>
      </c>
      <c r="B79" s="177" t="s">
        <v>315</v>
      </c>
      <c r="C79" s="178" t="s">
        <v>316</v>
      </c>
      <c r="D79" s="144">
        <v>0.4</v>
      </c>
      <c r="E79" s="145"/>
      <c r="F79" s="146"/>
      <c r="G79" s="165"/>
      <c r="H79" s="166"/>
      <c r="I79" s="149"/>
      <c r="J79" s="149"/>
      <c r="K79" s="149"/>
      <c r="L79" s="149"/>
      <c r="M79" s="149"/>
      <c r="N79" s="149"/>
      <c r="O79" s="149"/>
      <c r="P79" s="149"/>
      <c r="Q79" s="149"/>
      <c r="R79" s="156"/>
      <c r="S79" s="156"/>
      <c r="T79" s="152"/>
      <c r="U79" s="153"/>
      <c r="V79" s="154" t="e">
        <f t="shared" si="1"/>
        <v>#DIV/0!</v>
      </c>
      <c r="W79" s="154" t="e">
        <f t="shared" si="2"/>
        <v>#DIV/0!</v>
      </c>
      <c r="X79" s="155"/>
      <c r="Y79" s="146"/>
      <c r="Z79" s="165"/>
      <c r="AA79" s="166"/>
      <c r="AB79" s="149"/>
      <c r="AC79" s="149"/>
      <c r="AD79" s="149"/>
      <c r="AE79" s="149"/>
      <c r="AF79" s="149"/>
      <c r="AG79" s="149"/>
      <c r="AH79" s="149"/>
      <c r="AI79" s="149"/>
      <c r="AJ79" s="149"/>
      <c r="AK79" s="156"/>
      <c r="AL79" s="156"/>
      <c r="AM79" s="156"/>
      <c r="AN79" s="153"/>
      <c r="AO79" s="154" t="e">
        <f t="shared" si="4"/>
        <v>#DIV/0!</v>
      </c>
      <c r="AP79" s="154" t="e">
        <f t="shared" si="5"/>
        <v>#DIV/0!</v>
      </c>
      <c r="AQ79" s="145">
        <v>53</v>
      </c>
      <c r="AR79" s="146">
        <v>15</v>
      </c>
      <c r="AS79" s="147">
        <v>15</v>
      </c>
      <c r="AT79" s="166">
        <v>21.24088</v>
      </c>
      <c r="AU79" s="149">
        <v>14.90655</v>
      </c>
      <c r="AV79" s="149">
        <v>3.24042</v>
      </c>
      <c r="AW79" s="149">
        <v>9.51864</v>
      </c>
      <c r="AX79" s="149">
        <v>3.042</v>
      </c>
      <c r="AY79" s="149">
        <v>0</v>
      </c>
      <c r="AZ79" s="149">
        <v>0</v>
      </c>
      <c r="BA79" s="149">
        <v>1.45444</v>
      </c>
      <c r="BB79" s="149">
        <v>61.14</v>
      </c>
      <c r="BC79" s="149">
        <v>9.51864</v>
      </c>
      <c r="BD79" s="150" t="s">
        <v>119</v>
      </c>
      <c r="BE79" s="151" t="s">
        <v>120</v>
      </c>
      <c r="BF79" s="156"/>
      <c r="BG79" s="153">
        <v>188</v>
      </c>
      <c r="BH79" s="154">
        <f t="shared" si="7"/>
        <v>400.771320754717</v>
      </c>
      <c r="BI79" s="154">
        <f t="shared" si="8"/>
        <v>1.4160586666666668</v>
      </c>
      <c r="BJ79" s="415">
        <f t="shared" si="17"/>
        <v>53</v>
      </c>
      <c r="BK79" s="415">
        <f t="shared" si="17"/>
        <v>15</v>
      </c>
      <c r="BL79" s="415">
        <f t="shared" si="17"/>
        <v>15</v>
      </c>
      <c r="BM79" s="415">
        <f t="shared" si="17"/>
        <v>21.24088</v>
      </c>
    </row>
    <row r="80" spans="1:65" s="129" customFormat="1" ht="18.75" outlineLevel="1">
      <c r="A80" s="141" t="s">
        <v>317</v>
      </c>
      <c r="B80" s="177" t="s">
        <v>318</v>
      </c>
      <c r="C80" s="178" t="s">
        <v>319</v>
      </c>
      <c r="D80" s="144">
        <v>0.4</v>
      </c>
      <c r="E80" s="145"/>
      <c r="F80" s="146"/>
      <c r="G80" s="165"/>
      <c r="H80" s="166"/>
      <c r="I80" s="149"/>
      <c r="J80" s="149"/>
      <c r="K80" s="149"/>
      <c r="L80" s="149"/>
      <c r="M80" s="149"/>
      <c r="N80" s="149"/>
      <c r="O80" s="149"/>
      <c r="P80" s="149"/>
      <c r="Q80" s="149"/>
      <c r="R80" s="156"/>
      <c r="S80" s="156"/>
      <c r="T80" s="152"/>
      <c r="U80" s="153"/>
      <c r="V80" s="154" t="e">
        <f t="shared" si="1"/>
        <v>#DIV/0!</v>
      </c>
      <c r="W80" s="154" t="e">
        <f t="shared" si="2"/>
        <v>#DIV/0!</v>
      </c>
      <c r="X80" s="155"/>
      <c r="Y80" s="146"/>
      <c r="Z80" s="165"/>
      <c r="AA80" s="166"/>
      <c r="AB80" s="149"/>
      <c r="AC80" s="149"/>
      <c r="AD80" s="149"/>
      <c r="AE80" s="149"/>
      <c r="AF80" s="149"/>
      <c r="AG80" s="149"/>
      <c r="AH80" s="149"/>
      <c r="AI80" s="149"/>
      <c r="AJ80" s="149"/>
      <c r="AK80" s="156"/>
      <c r="AL80" s="156"/>
      <c r="AM80" s="156"/>
      <c r="AN80" s="153"/>
      <c r="AO80" s="154" t="e">
        <f t="shared" si="4"/>
        <v>#DIV/0!</v>
      </c>
      <c r="AP80" s="154" t="e">
        <f t="shared" si="5"/>
        <v>#DIV/0!</v>
      </c>
      <c r="AQ80" s="145">
        <v>55</v>
      </c>
      <c r="AR80" s="146">
        <v>15</v>
      </c>
      <c r="AS80" s="147">
        <v>15</v>
      </c>
      <c r="AT80" s="166">
        <v>19.62532</v>
      </c>
      <c r="AU80" s="149">
        <v>12.80499</v>
      </c>
      <c r="AV80" s="149">
        <v>3.2494</v>
      </c>
      <c r="AW80" s="149">
        <v>9.30191</v>
      </c>
      <c r="AX80" s="149">
        <v>3.12099</v>
      </c>
      <c r="AY80" s="149">
        <v>0</v>
      </c>
      <c r="AZ80" s="149">
        <v>0</v>
      </c>
      <c r="BA80" s="149">
        <v>1.65648</v>
      </c>
      <c r="BB80" s="149">
        <v>59.08</v>
      </c>
      <c r="BC80" s="149">
        <v>9.30191</v>
      </c>
      <c r="BD80" s="150" t="s">
        <v>119</v>
      </c>
      <c r="BE80" s="151" t="s">
        <v>120</v>
      </c>
      <c r="BF80" s="156"/>
      <c r="BG80" s="153">
        <v>214</v>
      </c>
      <c r="BH80" s="154">
        <f t="shared" si="7"/>
        <v>356.82399999999996</v>
      </c>
      <c r="BI80" s="154">
        <f t="shared" si="8"/>
        <v>1.3083546666666666</v>
      </c>
      <c r="BJ80" s="415">
        <f t="shared" si="17"/>
        <v>55</v>
      </c>
      <c r="BK80" s="415">
        <f t="shared" si="17"/>
        <v>15</v>
      </c>
      <c r="BL80" s="415">
        <f t="shared" si="17"/>
        <v>15</v>
      </c>
      <c r="BM80" s="415">
        <f t="shared" si="17"/>
        <v>19.62532</v>
      </c>
    </row>
    <row r="81" spans="1:65" s="129" customFormat="1" ht="18.75" outlineLevel="1">
      <c r="A81" s="141" t="s">
        <v>320</v>
      </c>
      <c r="B81" s="177" t="s">
        <v>321</v>
      </c>
      <c r="C81" s="178" t="s">
        <v>322</v>
      </c>
      <c r="D81" s="144">
        <v>0.4</v>
      </c>
      <c r="E81" s="145"/>
      <c r="F81" s="146"/>
      <c r="G81" s="165"/>
      <c r="H81" s="166"/>
      <c r="I81" s="149"/>
      <c r="J81" s="149"/>
      <c r="K81" s="149"/>
      <c r="L81" s="149"/>
      <c r="M81" s="149"/>
      <c r="N81" s="149"/>
      <c r="O81" s="149"/>
      <c r="P81" s="149"/>
      <c r="Q81" s="149"/>
      <c r="R81" s="156"/>
      <c r="S81" s="156"/>
      <c r="T81" s="152"/>
      <c r="U81" s="153"/>
      <c r="V81" s="154" t="e">
        <f t="shared" si="1"/>
        <v>#DIV/0!</v>
      </c>
      <c r="W81" s="154" t="e">
        <f t="shared" si="2"/>
        <v>#DIV/0!</v>
      </c>
      <c r="X81" s="155"/>
      <c r="Y81" s="146"/>
      <c r="Z81" s="165"/>
      <c r="AA81" s="166"/>
      <c r="AB81" s="149"/>
      <c r="AC81" s="149"/>
      <c r="AD81" s="149"/>
      <c r="AE81" s="149"/>
      <c r="AF81" s="149"/>
      <c r="AG81" s="149"/>
      <c r="AH81" s="149"/>
      <c r="AI81" s="149"/>
      <c r="AJ81" s="149"/>
      <c r="AK81" s="156"/>
      <c r="AL81" s="156"/>
      <c r="AM81" s="156"/>
      <c r="AN81" s="153"/>
      <c r="AO81" s="154" t="e">
        <f t="shared" si="4"/>
        <v>#DIV/0!</v>
      </c>
      <c r="AP81" s="154" t="e">
        <f t="shared" si="5"/>
        <v>#DIV/0!</v>
      </c>
      <c r="AQ81" s="145">
        <v>85</v>
      </c>
      <c r="AR81" s="146">
        <v>15</v>
      </c>
      <c r="AS81" s="147">
        <v>15</v>
      </c>
      <c r="AT81" s="166">
        <v>50.63551</v>
      </c>
      <c r="AU81" s="149">
        <v>34.39113</v>
      </c>
      <c r="AV81" s="149">
        <v>4.5985</v>
      </c>
      <c r="AW81" s="149">
        <v>26.99895</v>
      </c>
      <c r="AX81" s="149">
        <v>7.4551</v>
      </c>
      <c r="AY81" s="149">
        <v>0</v>
      </c>
      <c r="AZ81" s="149">
        <v>0</v>
      </c>
      <c r="BA81" s="149">
        <v>3.90047</v>
      </c>
      <c r="BB81" s="149">
        <v>54.1</v>
      </c>
      <c r="BC81" s="149">
        <v>8.99965</v>
      </c>
      <c r="BD81" s="150" t="s">
        <v>119</v>
      </c>
      <c r="BE81" s="151" t="s">
        <v>120</v>
      </c>
      <c r="BF81" s="156"/>
      <c r="BG81" s="153">
        <v>222</v>
      </c>
      <c r="BH81" s="154">
        <f t="shared" si="7"/>
        <v>595.7118823529412</v>
      </c>
      <c r="BI81" s="154">
        <f t="shared" si="8"/>
        <v>3.3757006666666665</v>
      </c>
      <c r="BJ81" s="415">
        <f t="shared" si="17"/>
        <v>85</v>
      </c>
      <c r="BK81" s="415">
        <f t="shared" si="17"/>
        <v>15</v>
      </c>
      <c r="BL81" s="415">
        <f t="shared" si="17"/>
        <v>15</v>
      </c>
      <c r="BM81" s="415">
        <f t="shared" si="17"/>
        <v>50.63551</v>
      </c>
    </row>
    <row r="82" spans="1:65" s="129" customFormat="1" ht="18.75" outlineLevel="1">
      <c r="A82" s="141" t="s">
        <v>323</v>
      </c>
      <c r="B82" s="177" t="s">
        <v>324</v>
      </c>
      <c r="C82" s="178" t="s">
        <v>325</v>
      </c>
      <c r="D82" s="144">
        <v>0.4</v>
      </c>
      <c r="E82" s="145"/>
      <c r="F82" s="146"/>
      <c r="G82" s="165"/>
      <c r="H82" s="166"/>
      <c r="I82" s="149"/>
      <c r="J82" s="149"/>
      <c r="K82" s="149"/>
      <c r="L82" s="149"/>
      <c r="M82" s="149"/>
      <c r="N82" s="149"/>
      <c r="O82" s="149"/>
      <c r="P82" s="149"/>
      <c r="Q82" s="149"/>
      <c r="R82" s="156"/>
      <c r="S82" s="156"/>
      <c r="T82" s="152"/>
      <c r="U82" s="153"/>
      <c r="V82" s="154" t="e">
        <f t="shared" si="1"/>
        <v>#DIV/0!</v>
      </c>
      <c r="W82" s="154" t="e">
        <f t="shared" si="2"/>
        <v>#DIV/0!</v>
      </c>
      <c r="X82" s="155"/>
      <c r="Y82" s="146"/>
      <c r="Z82" s="165"/>
      <c r="AA82" s="166"/>
      <c r="AB82" s="149"/>
      <c r="AC82" s="149"/>
      <c r="AD82" s="149"/>
      <c r="AE82" s="149"/>
      <c r="AF82" s="149"/>
      <c r="AG82" s="149"/>
      <c r="AH82" s="149"/>
      <c r="AI82" s="149"/>
      <c r="AJ82" s="149"/>
      <c r="AK82" s="156"/>
      <c r="AL82" s="156"/>
      <c r="AM82" s="156"/>
      <c r="AN82" s="153"/>
      <c r="AO82" s="154" t="e">
        <f t="shared" si="4"/>
        <v>#DIV/0!</v>
      </c>
      <c r="AP82" s="154" t="e">
        <f t="shared" si="5"/>
        <v>#DIV/0!</v>
      </c>
      <c r="AQ82" s="145">
        <v>30</v>
      </c>
      <c r="AR82" s="146">
        <v>15</v>
      </c>
      <c r="AS82" s="147">
        <v>15</v>
      </c>
      <c r="AT82" s="166">
        <v>17.73185</v>
      </c>
      <c r="AU82" s="149">
        <v>12.22922</v>
      </c>
      <c r="AV82" s="149">
        <v>1.623</v>
      </c>
      <c r="AW82" s="149">
        <v>8.97943</v>
      </c>
      <c r="AX82" s="149">
        <v>2.52478</v>
      </c>
      <c r="AY82" s="149">
        <v>0</v>
      </c>
      <c r="AZ82" s="149">
        <v>0</v>
      </c>
      <c r="BA82" s="149">
        <v>1.32242</v>
      </c>
      <c r="BB82" s="149">
        <v>54.1</v>
      </c>
      <c r="BC82" s="149">
        <v>8.97943</v>
      </c>
      <c r="BD82" s="150" t="s">
        <v>119</v>
      </c>
      <c r="BE82" s="151" t="s">
        <v>120</v>
      </c>
      <c r="BF82" s="156"/>
      <c r="BG82" s="153">
        <v>234</v>
      </c>
      <c r="BH82" s="154">
        <f t="shared" si="7"/>
        <v>591.0616666666667</v>
      </c>
      <c r="BI82" s="154">
        <f t="shared" si="8"/>
        <v>1.1821233333333334</v>
      </c>
      <c r="BJ82" s="415">
        <f t="shared" si="17"/>
        <v>30</v>
      </c>
      <c r="BK82" s="415">
        <f t="shared" si="17"/>
        <v>15</v>
      </c>
      <c r="BL82" s="415">
        <f t="shared" si="17"/>
        <v>15</v>
      </c>
      <c r="BM82" s="415">
        <f t="shared" si="17"/>
        <v>17.73185</v>
      </c>
    </row>
    <row r="83" spans="1:65" s="129" customFormat="1" ht="18.75" outlineLevel="1">
      <c r="A83" s="141" t="s">
        <v>326</v>
      </c>
      <c r="B83" s="177" t="s">
        <v>327</v>
      </c>
      <c r="C83" s="178" t="s">
        <v>328</v>
      </c>
      <c r="D83" s="144">
        <v>0.4</v>
      </c>
      <c r="E83" s="145"/>
      <c r="F83" s="146"/>
      <c r="G83" s="165"/>
      <c r="H83" s="166"/>
      <c r="I83" s="149"/>
      <c r="J83" s="149"/>
      <c r="K83" s="149"/>
      <c r="L83" s="149"/>
      <c r="M83" s="149"/>
      <c r="N83" s="149"/>
      <c r="O83" s="149"/>
      <c r="P83" s="149"/>
      <c r="Q83" s="149"/>
      <c r="R83" s="156"/>
      <c r="S83" s="156"/>
      <c r="T83" s="152"/>
      <c r="U83" s="153"/>
      <c r="V83" s="154" t="e">
        <f t="shared" si="1"/>
        <v>#DIV/0!</v>
      </c>
      <c r="W83" s="154" t="e">
        <f t="shared" si="2"/>
        <v>#DIV/0!</v>
      </c>
      <c r="X83" s="155"/>
      <c r="Y83" s="146"/>
      <c r="Z83" s="165"/>
      <c r="AA83" s="166"/>
      <c r="AB83" s="149"/>
      <c r="AC83" s="149"/>
      <c r="AD83" s="149"/>
      <c r="AE83" s="149"/>
      <c r="AF83" s="149"/>
      <c r="AG83" s="149"/>
      <c r="AH83" s="149"/>
      <c r="AI83" s="149"/>
      <c r="AJ83" s="149"/>
      <c r="AK83" s="156"/>
      <c r="AL83" s="156"/>
      <c r="AM83" s="156"/>
      <c r="AN83" s="153"/>
      <c r="AO83" s="154" t="e">
        <f t="shared" si="4"/>
        <v>#DIV/0!</v>
      </c>
      <c r="AP83" s="154" t="e">
        <f t="shared" si="5"/>
        <v>#DIV/0!</v>
      </c>
      <c r="AQ83" s="145">
        <v>44</v>
      </c>
      <c r="AR83" s="146">
        <v>7</v>
      </c>
      <c r="AS83" s="147">
        <v>7</v>
      </c>
      <c r="AT83" s="166">
        <v>18.29648</v>
      </c>
      <c r="AU83" s="149">
        <v>12.05593</v>
      </c>
      <c r="AV83" s="149">
        <v>2.3804</v>
      </c>
      <c r="AW83" s="149">
        <v>8.99965</v>
      </c>
      <c r="AX83" s="149">
        <v>2.85866</v>
      </c>
      <c r="AY83" s="149">
        <v>0</v>
      </c>
      <c r="AZ83" s="149">
        <v>0</v>
      </c>
      <c r="BA83" s="149">
        <v>1.5095</v>
      </c>
      <c r="BB83" s="149">
        <v>54.1</v>
      </c>
      <c r="BC83" s="149">
        <v>8.99965</v>
      </c>
      <c r="BD83" s="150" t="s">
        <v>119</v>
      </c>
      <c r="BE83" s="151" t="s">
        <v>120</v>
      </c>
      <c r="BF83" s="156"/>
      <c r="BG83" s="153">
        <v>238</v>
      </c>
      <c r="BH83" s="154">
        <f t="shared" si="7"/>
        <v>415.8290909090909</v>
      </c>
      <c r="BI83" s="154">
        <f t="shared" si="8"/>
        <v>2.613782857142857</v>
      </c>
      <c r="BJ83" s="415">
        <f t="shared" si="17"/>
        <v>44</v>
      </c>
      <c r="BK83" s="415">
        <f t="shared" si="17"/>
        <v>7</v>
      </c>
      <c r="BL83" s="415">
        <f t="shared" si="17"/>
        <v>7</v>
      </c>
      <c r="BM83" s="415">
        <f t="shared" si="17"/>
        <v>18.29648</v>
      </c>
    </row>
    <row r="84" spans="1:65" s="129" customFormat="1" ht="18.75" outlineLevel="1">
      <c r="A84" s="141" t="s">
        <v>329</v>
      </c>
      <c r="B84" s="177" t="s">
        <v>330</v>
      </c>
      <c r="C84" s="178" t="s">
        <v>331</v>
      </c>
      <c r="D84" s="144">
        <v>0.4</v>
      </c>
      <c r="E84" s="145"/>
      <c r="F84" s="146"/>
      <c r="G84" s="165"/>
      <c r="H84" s="166"/>
      <c r="I84" s="149"/>
      <c r="J84" s="149"/>
      <c r="K84" s="149"/>
      <c r="L84" s="149"/>
      <c r="M84" s="149"/>
      <c r="N84" s="149"/>
      <c r="O84" s="149"/>
      <c r="P84" s="149"/>
      <c r="Q84" s="149"/>
      <c r="R84" s="156"/>
      <c r="S84" s="156"/>
      <c r="T84" s="152"/>
      <c r="U84" s="153"/>
      <c r="V84" s="154" t="e">
        <f t="shared" si="1"/>
        <v>#DIV/0!</v>
      </c>
      <c r="W84" s="154" t="e">
        <f t="shared" si="2"/>
        <v>#DIV/0!</v>
      </c>
      <c r="X84" s="155"/>
      <c r="Y84" s="146"/>
      <c r="Z84" s="165"/>
      <c r="AA84" s="166"/>
      <c r="AB84" s="149"/>
      <c r="AC84" s="149"/>
      <c r="AD84" s="149"/>
      <c r="AE84" s="149"/>
      <c r="AF84" s="149"/>
      <c r="AG84" s="149"/>
      <c r="AH84" s="149"/>
      <c r="AI84" s="149"/>
      <c r="AJ84" s="149"/>
      <c r="AK84" s="156"/>
      <c r="AL84" s="156"/>
      <c r="AM84" s="156"/>
      <c r="AN84" s="153"/>
      <c r="AO84" s="154" t="e">
        <f t="shared" si="4"/>
        <v>#DIV/0!</v>
      </c>
      <c r="AP84" s="154" t="e">
        <f t="shared" si="5"/>
        <v>#DIV/0!</v>
      </c>
      <c r="AQ84" s="145">
        <v>115</v>
      </c>
      <c r="AR84" s="146">
        <v>15</v>
      </c>
      <c r="AS84" s="147">
        <v>15</v>
      </c>
      <c r="AT84" s="166">
        <v>28.71174</v>
      </c>
      <c r="AU84" s="149">
        <v>17.89682</v>
      </c>
      <c r="AV84" s="149">
        <v>6.2215</v>
      </c>
      <c r="AW84" s="149">
        <v>8.973</v>
      </c>
      <c r="AX84" s="149">
        <v>4.89515</v>
      </c>
      <c r="AY84" s="149">
        <v>0</v>
      </c>
      <c r="AZ84" s="149">
        <v>0</v>
      </c>
      <c r="BA84" s="149">
        <v>2.6795</v>
      </c>
      <c r="BB84" s="149">
        <v>54.1</v>
      </c>
      <c r="BC84" s="149">
        <v>8.973</v>
      </c>
      <c r="BD84" s="150" t="s">
        <v>119</v>
      </c>
      <c r="BE84" s="151" t="s">
        <v>120</v>
      </c>
      <c r="BF84" s="156"/>
      <c r="BG84" s="153">
        <v>297</v>
      </c>
      <c r="BH84" s="154">
        <f t="shared" si="7"/>
        <v>249.66730434782608</v>
      </c>
      <c r="BI84" s="154">
        <f t="shared" si="8"/>
        <v>1.914116</v>
      </c>
      <c r="BJ84" s="415">
        <f t="shared" si="17"/>
        <v>115</v>
      </c>
      <c r="BK84" s="415">
        <f t="shared" si="17"/>
        <v>15</v>
      </c>
      <c r="BL84" s="415">
        <f t="shared" si="17"/>
        <v>15</v>
      </c>
      <c r="BM84" s="415">
        <f t="shared" si="17"/>
        <v>28.71174</v>
      </c>
    </row>
    <row r="85" spans="1:65" s="129" customFormat="1" ht="18.75" outlineLevel="1">
      <c r="A85" s="141" t="s">
        <v>332</v>
      </c>
      <c r="B85" s="177" t="s">
        <v>333</v>
      </c>
      <c r="C85" s="178" t="s">
        <v>334</v>
      </c>
      <c r="D85" s="144">
        <v>0.4</v>
      </c>
      <c r="E85" s="145"/>
      <c r="F85" s="146"/>
      <c r="G85" s="165"/>
      <c r="H85" s="166"/>
      <c r="I85" s="149"/>
      <c r="J85" s="149"/>
      <c r="K85" s="149"/>
      <c r="L85" s="149"/>
      <c r="M85" s="149"/>
      <c r="N85" s="149"/>
      <c r="O85" s="149"/>
      <c r="P85" s="149"/>
      <c r="Q85" s="149"/>
      <c r="R85" s="156"/>
      <c r="S85" s="156"/>
      <c r="T85" s="152"/>
      <c r="U85" s="153"/>
      <c r="V85" s="154" t="e">
        <f t="shared" si="1"/>
        <v>#DIV/0!</v>
      </c>
      <c r="W85" s="154" t="e">
        <f t="shared" si="2"/>
        <v>#DIV/0!</v>
      </c>
      <c r="X85" s="155"/>
      <c r="Y85" s="146"/>
      <c r="Z85" s="165"/>
      <c r="AA85" s="166"/>
      <c r="AB85" s="149"/>
      <c r="AC85" s="149"/>
      <c r="AD85" s="149"/>
      <c r="AE85" s="149"/>
      <c r="AF85" s="149"/>
      <c r="AG85" s="149"/>
      <c r="AH85" s="149"/>
      <c r="AI85" s="149"/>
      <c r="AJ85" s="149"/>
      <c r="AK85" s="156"/>
      <c r="AL85" s="156"/>
      <c r="AM85" s="156"/>
      <c r="AN85" s="153"/>
      <c r="AO85" s="154" t="e">
        <f t="shared" si="4"/>
        <v>#DIV/0!</v>
      </c>
      <c r="AP85" s="154" t="e">
        <f t="shared" si="5"/>
        <v>#DIV/0!</v>
      </c>
      <c r="AQ85" s="145">
        <v>88</v>
      </c>
      <c r="AR85" s="146">
        <v>15</v>
      </c>
      <c r="AS85" s="147">
        <v>15</v>
      </c>
      <c r="AT85" s="166">
        <v>25.45067</v>
      </c>
      <c r="AU85" s="149">
        <v>16.17591</v>
      </c>
      <c r="AV85" s="149">
        <v>4.7608</v>
      </c>
      <c r="AW85" s="149">
        <v>8.97358</v>
      </c>
      <c r="AX85" s="149">
        <v>4.20433</v>
      </c>
      <c r="AY85" s="149">
        <v>0</v>
      </c>
      <c r="AZ85" s="149">
        <v>0</v>
      </c>
      <c r="BA85" s="149">
        <v>2.28624</v>
      </c>
      <c r="BB85" s="149">
        <v>54.1</v>
      </c>
      <c r="BC85" s="149">
        <v>8.97358</v>
      </c>
      <c r="BD85" s="150" t="s">
        <v>119</v>
      </c>
      <c r="BE85" s="151" t="s">
        <v>120</v>
      </c>
      <c r="BF85" s="156"/>
      <c r="BG85" s="153">
        <v>312</v>
      </c>
      <c r="BH85" s="154">
        <f t="shared" si="7"/>
        <v>289.2121590909091</v>
      </c>
      <c r="BI85" s="154">
        <f t="shared" si="8"/>
        <v>1.6967113333333332</v>
      </c>
      <c r="BJ85" s="415">
        <f t="shared" si="17"/>
        <v>88</v>
      </c>
      <c r="BK85" s="415">
        <f t="shared" si="17"/>
        <v>15</v>
      </c>
      <c r="BL85" s="415">
        <f t="shared" si="17"/>
        <v>15</v>
      </c>
      <c r="BM85" s="415">
        <f t="shared" si="17"/>
        <v>25.45067</v>
      </c>
    </row>
    <row r="86" spans="1:65" s="129" customFormat="1" ht="14.25">
      <c r="A86" s="141"/>
      <c r="B86" s="179"/>
      <c r="C86" s="158"/>
      <c r="D86" s="144"/>
      <c r="E86" s="145"/>
      <c r="F86" s="146"/>
      <c r="G86" s="165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56"/>
      <c r="S86" s="156"/>
      <c r="T86" s="152"/>
      <c r="U86" s="153"/>
      <c r="V86" s="154" t="e">
        <f t="shared" si="1"/>
        <v>#DIV/0!</v>
      </c>
      <c r="W86" s="154" t="e">
        <f t="shared" si="2"/>
        <v>#DIV/0!</v>
      </c>
      <c r="X86" s="155"/>
      <c r="Y86" s="146"/>
      <c r="Z86" s="165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56"/>
      <c r="AL86" s="156"/>
      <c r="AM86" s="156"/>
      <c r="AN86" s="153"/>
      <c r="AO86" s="154" t="e">
        <f t="shared" si="4"/>
        <v>#DIV/0!</v>
      </c>
      <c r="AP86" s="154" t="e">
        <f t="shared" si="5"/>
        <v>#DIV/0!</v>
      </c>
      <c r="AQ86" s="145"/>
      <c r="AR86" s="146"/>
      <c r="AS86" s="147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56"/>
      <c r="BE86" s="156"/>
      <c r="BF86" s="156"/>
      <c r="BG86" s="153"/>
      <c r="BH86" s="154" t="e">
        <f t="shared" si="7"/>
        <v>#DIV/0!</v>
      </c>
      <c r="BI86" s="154" t="e">
        <f t="shared" si="8"/>
        <v>#DIV/0!</v>
      </c>
      <c r="BJ86" s="415">
        <f t="shared" si="17"/>
        <v>0</v>
      </c>
      <c r="BK86" s="415">
        <f t="shared" si="17"/>
        <v>0</v>
      </c>
      <c r="BL86" s="415">
        <f t="shared" si="17"/>
        <v>0</v>
      </c>
      <c r="BM86" s="415">
        <f t="shared" si="17"/>
        <v>0</v>
      </c>
    </row>
    <row r="87" spans="1:65" s="129" customFormat="1" ht="24.75" customHeight="1">
      <c r="A87" s="130" t="s">
        <v>335</v>
      </c>
      <c r="B87" s="131" t="s">
        <v>336</v>
      </c>
      <c r="C87" s="132"/>
      <c r="D87" s="133">
        <v>0.4</v>
      </c>
      <c r="E87" s="134">
        <f>SUM(E88:E97)</f>
        <v>0</v>
      </c>
      <c r="F87" s="134">
        <f>SUM(F88:F97)</f>
        <v>0</v>
      </c>
      <c r="G87" s="134">
        <f>SUM(G88:G97)</f>
        <v>0</v>
      </c>
      <c r="H87" s="135">
        <f>SUM(H88:H97)</f>
        <v>0</v>
      </c>
      <c r="I87" s="135">
        <f aca="true" t="shared" si="18" ref="I87:Q87">SUM(I88:I97)</f>
        <v>0</v>
      </c>
      <c r="J87" s="135">
        <f t="shared" si="18"/>
        <v>0</v>
      </c>
      <c r="K87" s="135">
        <f t="shared" si="18"/>
        <v>0</v>
      </c>
      <c r="L87" s="135">
        <f t="shared" si="18"/>
        <v>0</v>
      </c>
      <c r="M87" s="135">
        <f t="shared" si="18"/>
        <v>0</v>
      </c>
      <c r="N87" s="135">
        <f t="shared" si="18"/>
        <v>0</v>
      </c>
      <c r="O87" s="135">
        <f t="shared" si="18"/>
        <v>0</v>
      </c>
      <c r="P87" s="135">
        <f t="shared" si="18"/>
        <v>0</v>
      </c>
      <c r="Q87" s="135">
        <f t="shared" si="18"/>
        <v>0</v>
      </c>
      <c r="R87" s="136"/>
      <c r="S87" s="136"/>
      <c r="T87" s="137"/>
      <c r="U87" s="138"/>
      <c r="V87" s="139" t="e">
        <f t="shared" si="1"/>
        <v>#DIV/0!</v>
      </c>
      <c r="W87" s="139" t="e">
        <f t="shared" si="2"/>
        <v>#DIV/0!</v>
      </c>
      <c r="X87" s="140">
        <f>SUM(X88:X97)</f>
        <v>300</v>
      </c>
      <c r="Y87" s="140">
        <f>SUM(Y88:Y97)</f>
        <v>157</v>
      </c>
      <c r="Z87" s="140">
        <f>SUM(Z88:Z97)</f>
        <v>157</v>
      </c>
      <c r="AA87" s="135">
        <f>SUM(AA88:AA97)</f>
        <v>192.81766000000002</v>
      </c>
      <c r="AB87" s="135">
        <f aca="true" t="shared" si="19" ref="AB87:AJ87">SUM(AB88:AB97)</f>
        <v>139.32922</v>
      </c>
      <c r="AC87" s="135">
        <f t="shared" si="19"/>
        <v>24.42903</v>
      </c>
      <c r="AD87" s="135">
        <f>SUM(AE88:AE97)</f>
        <v>22.769499999999997</v>
      </c>
      <c r="AE87" s="135">
        <f t="shared" si="19"/>
        <v>22.769499999999997</v>
      </c>
      <c r="AF87" s="135">
        <f t="shared" si="19"/>
        <v>0</v>
      </c>
      <c r="AG87" s="135">
        <f>SUM(AE88:AE97)</f>
        <v>22.769499999999997</v>
      </c>
      <c r="AH87" s="135">
        <f t="shared" si="19"/>
        <v>11.665099999999999</v>
      </c>
      <c r="AI87" s="135">
        <f t="shared" si="19"/>
        <v>325.68</v>
      </c>
      <c r="AJ87" s="135">
        <f t="shared" si="19"/>
        <v>36.35112</v>
      </c>
      <c r="AK87" s="136"/>
      <c r="AL87" s="136"/>
      <c r="AM87" s="136"/>
      <c r="AN87" s="138"/>
      <c r="AO87" s="139">
        <f t="shared" si="4"/>
        <v>642.7255333333334</v>
      </c>
      <c r="AP87" s="139">
        <f t="shared" si="5"/>
        <v>1.2281379617834396</v>
      </c>
      <c r="AQ87" s="134">
        <f aca="true" t="shared" si="20" ref="AQ87:BC87">SUM(AQ89:AQ97)</f>
        <v>464</v>
      </c>
      <c r="AR87" s="134">
        <f t="shared" si="20"/>
        <v>80</v>
      </c>
      <c r="AS87" s="134">
        <f t="shared" si="20"/>
        <v>80</v>
      </c>
      <c r="AT87" s="135">
        <f t="shared" si="20"/>
        <v>244.33143</v>
      </c>
      <c r="AU87" s="135">
        <f t="shared" si="20"/>
        <v>164.76077</v>
      </c>
      <c r="AV87" s="135">
        <f t="shared" si="20"/>
        <v>34.5523</v>
      </c>
      <c r="AW87" s="135">
        <f>SUM(AX89:AX97)</f>
        <v>36.78547</v>
      </c>
      <c r="AX87" s="135">
        <f t="shared" si="20"/>
        <v>36.78547</v>
      </c>
      <c r="AY87" s="135">
        <f t="shared" si="20"/>
        <v>0</v>
      </c>
      <c r="AZ87" s="135">
        <f t="shared" si="20"/>
        <v>0</v>
      </c>
      <c r="BA87" s="135">
        <f t="shared" si="20"/>
        <v>19.05506</v>
      </c>
      <c r="BB87" s="135">
        <f t="shared" si="20"/>
        <v>376.89000000000004</v>
      </c>
      <c r="BC87" s="135">
        <f t="shared" si="20"/>
        <v>45.2393</v>
      </c>
      <c r="BD87" s="136"/>
      <c r="BE87" s="136"/>
      <c r="BF87" s="136"/>
      <c r="BG87" s="138"/>
      <c r="BH87" s="139">
        <f t="shared" si="7"/>
        <v>526.5763577586207</v>
      </c>
      <c r="BI87" s="139">
        <f t="shared" si="8"/>
        <v>3.054142875</v>
      </c>
      <c r="BJ87" s="415">
        <f t="shared" si="17"/>
        <v>764</v>
      </c>
      <c r="BK87" s="415">
        <f t="shared" si="17"/>
        <v>237</v>
      </c>
      <c r="BL87" s="415">
        <f t="shared" si="17"/>
        <v>237</v>
      </c>
      <c r="BM87" s="415">
        <f t="shared" si="17"/>
        <v>437.14909</v>
      </c>
    </row>
    <row r="88" spans="1:65" s="129" customFormat="1" ht="20.25" outlineLevel="1">
      <c r="A88" s="141" t="s">
        <v>337</v>
      </c>
      <c r="B88" s="173" t="s">
        <v>338</v>
      </c>
      <c r="C88" s="143" t="s">
        <v>339</v>
      </c>
      <c r="D88" s="144">
        <v>0.4</v>
      </c>
      <c r="E88" s="145"/>
      <c r="F88" s="146"/>
      <c r="G88" s="146"/>
      <c r="H88" s="162"/>
      <c r="I88" s="149"/>
      <c r="J88" s="149"/>
      <c r="K88" s="149"/>
      <c r="L88" s="149"/>
      <c r="M88" s="149"/>
      <c r="N88" s="149"/>
      <c r="O88" s="149"/>
      <c r="P88" s="149"/>
      <c r="Q88" s="149"/>
      <c r="R88" s="156"/>
      <c r="S88" s="156"/>
      <c r="T88" s="152"/>
      <c r="U88" s="153"/>
      <c r="V88" s="154" t="e">
        <f t="shared" si="1"/>
        <v>#DIV/0!</v>
      </c>
      <c r="W88" s="154" t="e">
        <f t="shared" si="2"/>
        <v>#DIV/0!</v>
      </c>
      <c r="X88" s="155">
        <v>100</v>
      </c>
      <c r="Y88" s="146">
        <v>15</v>
      </c>
      <c r="Z88" s="146">
        <v>15</v>
      </c>
      <c r="AA88" s="162">
        <v>94.09301</v>
      </c>
      <c r="AB88" s="149">
        <v>66.52542</v>
      </c>
      <c r="AC88" s="149">
        <v>8.144</v>
      </c>
      <c r="AD88" s="149">
        <f>17.4965+34.993</f>
        <v>52.48950000000001</v>
      </c>
      <c r="AE88" s="149">
        <v>13.45959</v>
      </c>
      <c r="AF88" s="149">
        <v>0</v>
      </c>
      <c r="AG88" s="149">
        <v>0</v>
      </c>
      <c r="AH88" s="149">
        <v>6.08986</v>
      </c>
      <c r="AI88" s="149">
        <v>81.44</v>
      </c>
      <c r="AJ88" s="149">
        <v>8.74825</v>
      </c>
      <c r="AK88" s="150" t="s">
        <v>119</v>
      </c>
      <c r="AL88" s="150" t="s">
        <v>120</v>
      </c>
      <c r="AM88" s="156"/>
      <c r="AN88" s="153">
        <v>33</v>
      </c>
      <c r="AO88" s="154">
        <f t="shared" si="4"/>
        <v>940.9301000000002</v>
      </c>
      <c r="AP88" s="154">
        <f t="shared" si="5"/>
        <v>6.272867333333334</v>
      </c>
      <c r="AQ88" s="145"/>
      <c r="AR88" s="146"/>
      <c r="AS88" s="146"/>
      <c r="AT88" s="162"/>
      <c r="AU88" s="149"/>
      <c r="AV88" s="149"/>
      <c r="AW88" s="149"/>
      <c r="AX88" s="149"/>
      <c r="AY88" s="149"/>
      <c r="AZ88" s="149"/>
      <c r="BA88" s="149"/>
      <c r="BB88" s="149"/>
      <c r="BC88" s="149"/>
      <c r="BD88" s="156"/>
      <c r="BE88" s="156"/>
      <c r="BF88" s="156"/>
      <c r="BG88" s="153"/>
      <c r="BH88" s="154" t="e">
        <f t="shared" si="7"/>
        <v>#DIV/0!</v>
      </c>
      <c r="BI88" s="154" t="e">
        <f t="shared" si="8"/>
        <v>#DIV/0!</v>
      </c>
      <c r="BJ88" s="415">
        <f t="shared" si="17"/>
        <v>100</v>
      </c>
      <c r="BK88" s="415">
        <f t="shared" si="17"/>
        <v>15</v>
      </c>
      <c r="BL88" s="415">
        <f t="shared" si="17"/>
        <v>15</v>
      </c>
      <c r="BM88" s="415">
        <f t="shared" si="17"/>
        <v>94.09301</v>
      </c>
    </row>
    <row r="89" spans="1:65" s="129" customFormat="1" ht="20.25" outlineLevel="1">
      <c r="A89" s="141" t="s">
        <v>340</v>
      </c>
      <c r="B89" s="176" t="s">
        <v>341</v>
      </c>
      <c r="C89" s="158" t="s">
        <v>342</v>
      </c>
      <c r="D89" s="144">
        <v>0.4</v>
      </c>
      <c r="E89" s="145"/>
      <c r="F89" s="146"/>
      <c r="G89" s="146"/>
      <c r="H89" s="162"/>
      <c r="I89" s="149"/>
      <c r="J89" s="149"/>
      <c r="K89" s="149"/>
      <c r="L89" s="149"/>
      <c r="M89" s="149"/>
      <c r="N89" s="149"/>
      <c r="O89" s="149"/>
      <c r="P89" s="149"/>
      <c r="Q89" s="149"/>
      <c r="R89" s="156"/>
      <c r="S89" s="156"/>
      <c r="T89" s="152"/>
      <c r="U89" s="153"/>
      <c r="V89" s="154" t="e">
        <f t="shared" si="1"/>
        <v>#DIV/0!</v>
      </c>
      <c r="W89" s="154" t="e">
        <f t="shared" si="2"/>
        <v>#DIV/0!</v>
      </c>
      <c r="X89" s="155">
        <v>33</v>
      </c>
      <c r="Y89" s="146">
        <v>112</v>
      </c>
      <c r="Z89" s="146">
        <v>112</v>
      </c>
      <c r="AA89" s="162">
        <v>32.566</v>
      </c>
      <c r="AB89" s="149">
        <v>26.053</v>
      </c>
      <c r="AC89" s="149">
        <v>2.68455</v>
      </c>
      <c r="AD89" s="149">
        <v>0</v>
      </c>
      <c r="AE89" s="149">
        <v>0</v>
      </c>
      <c r="AF89" s="149">
        <v>0</v>
      </c>
      <c r="AG89" s="149">
        <v>0</v>
      </c>
      <c r="AH89" s="149">
        <v>1.115</v>
      </c>
      <c r="AI89" s="149">
        <v>81.36</v>
      </c>
      <c r="AJ89" s="149">
        <v>8.90738</v>
      </c>
      <c r="AK89" s="150" t="s">
        <v>119</v>
      </c>
      <c r="AL89" s="150" t="s">
        <v>120</v>
      </c>
      <c r="AM89" s="156"/>
      <c r="AN89" s="153">
        <v>194</v>
      </c>
      <c r="AO89" s="154">
        <f t="shared" si="4"/>
        <v>986.848484848485</v>
      </c>
      <c r="AP89" s="154">
        <f t="shared" si="5"/>
        <v>0.2907678571428572</v>
      </c>
      <c r="AQ89" s="145"/>
      <c r="AR89" s="146"/>
      <c r="AS89" s="146"/>
      <c r="AT89" s="162"/>
      <c r="AU89" s="149"/>
      <c r="AV89" s="149"/>
      <c r="AW89" s="149"/>
      <c r="AX89" s="149"/>
      <c r="AY89" s="149"/>
      <c r="AZ89" s="149"/>
      <c r="BA89" s="149"/>
      <c r="BB89" s="149"/>
      <c r="BC89" s="149"/>
      <c r="BD89" s="156"/>
      <c r="BE89" s="156"/>
      <c r="BF89" s="156"/>
      <c r="BG89" s="153"/>
      <c r="BH89" s="154" t="e">
        <f t="shared" si="7"/>
        <v>#DIV/0!</v>
      </c>
      <c r="BI89" s="154" t="e">
        <f t="shared" si="8"/>
        <v>#DIV/0!</v>
      </c>
      <c r="BJ89" s="415">
        <f t="shared" si="17"/>
        <v>33</v>
      </c>
      <c r="BK89" s="415">
        <f t="shared" si="17"/>
        <v>112</v>
      </c>
      <c r="BL89" s="415">
        <f t="shared" si="17"/>
        <v>112</v>
      </c>
      <c r="BM89" s="415">
        <f t="shared" si="17"/>
        <v>32.566</v>
      </c>
    </row>
    <row r="90" spans="1:65" s="129" customFormat="1" ht="18.75" outlineLevel="1">
      <c r="A90" s="141" t="s">
        <v>343</v>
      </c>
      <c r="B90" s="173" t="s">
        <v>344</v>
      </c>
      <c r="C90" s="143" t="s">
        <v>345</v>
      </c>
      <c r="D90" s="144">
        <v>0.4</v>
      </c>
      <c r="E90" s="161"/>
      <c r="F90" s="161"/>
      <c r="G90" s="161"/>
      <c r="H90" s="162"/>
      <c r="I90" s="149"/>
      <c r="J90" s="149"/>
      <c r="K90" s="149"/>
      <c r="L90" s="149"/>
      <c r="M90" s="149"/>
      <c r="N90" s="149"/>
      <c r="O90" s="149"/>
      <c r="P90" s="149"/>
      <c r="Q90" s="149"/>
      <c r="R90" s="156"/>
      <c r="S90" s="156"/>
      <c r="T90" s="152"/>
      <c r="U90" s="153"/>
      <c r="V90" s="154" t="e">
        <f t="shared" si="1"/>
        <v>#DIV/0!</v>
      </c>
      <c r="W90" s="154" t="e">
        <f t="shared" si="2"/>
        <v>#DIV/0!</v>
      </c>
      <c r="X90" s="163">
        <v>140</v>
      </c>
      <c r="Y90" s="161">
        <v>15</v>
      </c>
      <c r="Z90" s="161">
        <v>15</v>
      </c>
      <c r="AA90" s="162">
        <v>63.76065</v>
      </c>
      <c r="AB90" s="149">
        <v>45.6948</v>
      </c>
      <c r="AC90" s="149">
        <v>11.4016</v>
      </c>
      <c r="AD90" s="149">
        <v>28.08663</v>
      </c>
      <c r="AE90" s="149">
        <v>8.68891</v>
      </c>
      <c r="AF90" s="149">
        <v>0</v>
      </c>
      <c r="AG90" s="149">
        <v>0</v>
      </c>
      <c r="AH90" s="149">
        <v>4.13224</v>
      </c>
      <c r="AI90" s="149">
        <v>81.44</v>
      </c>
      <c r="AJ90" s="149">
        <v>9.36221</v>
      </c>
      <c r="AK90" s="150" t="s">
        <v>119</v>
      </c>
      <c r="AL90" s="151" t="s">
        <v>120</v>
      </c>
      <c r="AM90" s="156"/>
      <c r="AN90" s="153">
        <v>114</v>
      </c>
      <c r="AO90" s="154">
        <f t="shared" si="4"/>
        <v>455.43321428571426</v>
      </c>
      <c r="AP90" s="154">
        <f t="shared" si="5"/>
        <v>4.25071</v>
      </c>
      <c r="AQ90" s="161"/>
      <c r="AR90" s="161"/>
      <c r="AS90" s="161"/>
      <c r="AT90" s="162"/>
      <c r="AU90" s="149"/>
      <c r="AV90" s="149"/>
      <c r="AW90" s="149"/>
      <c r="AX90" s="149"/>
      <c r="AY90" s="149"/>
      <c r="AZ90" s="149"/>
      <c r="BA90" s="149"/>
      <c r="BB90" s="149"/>
      <c r="BC90" s="149"/>
      <c r="BD90" s="156"/>
      <c r="BE90" s="156"/>
      <c r="BF90" s="156"/>
      <c r="BG90" s="153"/>
      <c r="BH90" s="154" t="e">
        <f t="shared" si="7"/>
        <v>#DIV/0!</v>
      </c>
      <c r="BI90" s="154" t="e">
        <f t="shared" si="8"/>
        <v>#DIV/0!</v>
      </c>
      <c r="BJ90" s="415">
        <f t="shared" si="17"/>
        <v>140</v>
      </c>
      <c r="BK90" s="415">
        <f t="shared" si="17"/>
        <v>15</v>
      </c>
      <c r="BL90" s="415">
        <f t="shared" si="17"/>
        <v>15</v>
      </c>
      <c r="BM90" s="415">
        <f t="shared" si="17"/>
        <v>63.76065</v>
      </c>
    </row>
    <row r="91" spans="1:65" s="129" customFormat="1" ht="18.75" outlineLevel="1">
      <c r="A91" s="141" t="s">
        <v>346</v>
      </c>
      <c r="B91" s="176" t="s">
        <v>347</v>
      </c>
      <c r="C91" s="143" t="s">
        <v>348</v>
      </c>
      <c r="D91" s="144">
        <v>0.4</v>
      </c>
      <c r="E91" s="161"/>
      <c r="F91" s="161"/>
      <c r="G91" s="161"/>
      <c r="H91" s="162"/>
      <c r="I91" s="149"/>
      <c r="J91" s="149"/>
      <c r="K91" s="149"/>
      <c r="L91" s="149"/>
      <c r="M91" s="149"/>
      <c r="N91" s="149"/>
      <c r="O91" s="149"/>
      <c r="P91" s="149"/>
      <c r="Q91" s="149"/>
      <c r="R91" s="156"/>
      <c r="S91" s="156"/>
      <c r="T91" s="152"/>
      <c r="U91" s="153"/>
      <c r="V91" s="154" t="e">
        <f t="shared" si="1"/>
        <v>#DIV/0!</v>
      </c>
      <c r="W91" s="154" t="e">
        <f t="shared" si="2"/>
        <v>#DIV/0!</v>
      </c>
      <c r="X91" s="163">
        <v>27</v>
      </c>
      <c r="Y91" s="161">
        <v>15</v>
      </c>
      <c r="Z91" s="161">
        <v>15</v>
      </c>
      <c r="AA91" s="162">
        <v>2.398</v>
      </c>
      <c r="AB91" s="149">
        <v>1.056</v>
      </c>
      <c r="AC91" s="149">
        <v>2.19888</v>
      </c>
      <c r="AD91" s="149">
        <v>0</v>
      </c>
      <c r="AE91" s="149">
        <v>0.621</v>
      </c>
      <c r="AF91" s="149">
        <v>0</v>
      </c>
      <c r="AG91" s="149">
        <v>0</v>
      </c>
      <c r="AH91" s="149">
        <v>0.328</v>
      </c>
      <c r="AI91" s="149">
        <v>81.44</v>
      </c>
      <c r="AJ91" s="149">
        <v>9.33328</v>
      </c>
      <c r="AK91" s="150" t="s">
        <v>119</v>
      </c>
      <c r="AL91" s="151" t="s">
        <v>120</v>
      </c>
      <c r="AM91" s="156"/>
      <c r="AN91" s="153">
        <v>128</v>
      </c>
      <c r="AO91" s="154">
        <f t="shared" si="4"/>
        <v>88.81481481481482</v>
      </c>
      <c r="AP91" s="154">
        <f t="shared" si="5"/>
        <v>0.15986666666666668</v>
      </c>
      <c r="AQ91" s="161"/>
      <c r="AR91" s="161"/>
      <c r="AS91" s="161"/>
      <c r="AT91" s="162"/>
      <c r="AU91" s="149"/>
      <c r="AV91" s="149"/>
      <c r="AW91" s="149"/>
      <c r="AX91" s="149"/>
      <c r="AY91" s="149"/>
      <c r="AZ91" s="149"/>
      <c r="BA91" s="149"/>
      <c r="BB91" s="149"/>
      <c r="BC91" s="149"/>
      <c r="BD91" s="156"/>
      <c r="BE91" s="156"/>
      <c r="BF91" s="156"/>
      <c r="BG91" s="153"/>
      <c r="BH91" s="154" t="e">
        <f t="shared" si="7"/>
        <v>#DIV/0!</v>
      </c>
      <c r="BI91" s="154" t="e">
        <f t="shared" si="8"/>
        <v>#DIV/0!</v>
      </c>
      <c r="BJ91" s="415">
        <f t="shared" si="17"/>
        <v>27</v>
      </c>
      <c r="BK91" s="415">
        <f t="shared" si="17"/>
        <v>15</v>
      </c>
      <c r="BL91" s="415">
        <f t="shared" si="17"/>
        <v>15</v>
      </c>
      <c r="BM91" s="415">
        <f t="shared" si="17"/>
        <v>2.398</v>
      </c>
    </row>
    <row r="92" spans="1:65" s="129" customFormat="1" ht="18.75" outlineLevel="1">
      <c r="A92" s="141" t="s">
        <v>349</v>
      </c>
      <c r="B92" s="177" t="s">
        <v>350</v>
      </c>
      <c r="C92" s="158" t="s">
        <v>351</v>
      </c>
      <c r="D92" s="144">
        <v>0.4</v>
      </c>
      <c r="E92" s="145"/>
      <c r="F92" s="146"/>
      <c r="G92" s="165"/>
      <c r="H92" s="166"/>
      <c r="I92" s="149"/>
      <c r="J92" s="149"/>
      <c r="K92" s="149"/>
      <c r="L92" s="149"/>
      <c r="M92" s="149"/>
      <c r="N92" s="149"/>
      <c r="O92" s="149"/>
      <c r="P92" s="149"/>
      <c r="Q92" s="149"/>
      <c r="R92" s="156"/>
      <c r="S92" s="156"/>
      <c r="T92" s="152"/>
      <c r="U92" s="153"/>
      <c r="V92" s="154" t="e">
        <f t="shared" si="1"/>
        <v>#DIV/0!</v>
      </c>
      <c r="W92" s="154" t="e">
        <f t="shared" si="2"/>
        <v>#DIV/0!</v>
      </c>
      <c r="X92" s="155"/>
      <c r="Y92" s="146"/>
      <c r="Z92" s="165"/>
      <c r="AA92" s="166"/>
      <c r="AB92" s="149"/>
      <c r="AC92" s="149"/>
      <c r="AD92" s="149"/>
      <c r="AE92" s="149"/>
      <c r="AF92" s="149"/>
      <c r="AG92" s="149"/>
      <c r="AH92" s="149"/>
      <c r="AI92" s="149"/>
      <c r="AJ92" s="149"/>
      <c r="AK92" s="156"/>
      <c r="AL92" s="156"/>
      <c r="AM92" s="156"/>
      <c r="AN92" s="153"/>
      <c r="AO92" s="154" t="e">
        <f t="shared" si="4"/>
        <v>#DIV/0!</v>
      </c>
      <c r="AP92" s="154" t="e">
        <f t="shared" si="5"/>
        <v>#DIV/0!</v>
      </c>
      <c r="AQ92" s="145">
        <v>42</v>
      </c>
      <c r="AR92" s="146">
        <v>10</v>
      </c>
      <c r="AS92" s="147">
        <v>10</v>
      </c>
      <c r="AT92" s="166">
        <v>34.49027</v>
      </c>
      <c r="AU92" s="149">
        <v>23.58453</v>
      </c>
      <c r="AV92" s="149">
        <v>3.10212</v>
      </c>
      <c r="AW92" s="149">
        <v>17.94716</v>
      </c>
      <c r="AX92" s="149">
        <v>4.98013</v>
      </c>
      <c r="AY92" s="149">
        <v>0</v>
      </c>
      <c r="AZ92" s="149">
        <v>0</v>
      </c>
      <c r="BA92" s="149">
        <v>2.62075</v>
      </c>
      <c r="BB92" s="149">
        <v>73.86</v>
      </c>
      <c r="BC92" s="149">
        <v>8.97358</v>
      </c>
      <c r="BD92" s="150" t="s">
        <v>119</v>
      </c>
      <c r="BE92" s="151" t="s">
        <v>120</v>
      </c>
      <c r="BF92" s="156"/>
      <c r="BG92" s="153">
        <v>121</v>
      </c>
      <c r="BH92" s="154">
        <f t="shared" si="7"/>
        <v>821.1969047619048</v>
      </c>
      <c r="BI92" s="154">
        <f t="shared" si="8"/>
        <v>3.449027</v>
      </c>
      <c r="BJ92" s="415">
        <f t="shared" si="17"/>
        <v>42</v>
      </c>
      <c r="BK92" s="415">
        <f t="shared" si="17"/>
        <v>10</v>
      </c>
      <c r="BL92" s="415">
        <f t="shared" si="17"/>
        <v>10</v>
      </c>
      <c r="BM92" s="415">
        <f t="shared" si="17"/>
        <v>34.49027</v>
      </c>
    </row>
    <row r="93" spans="1:65" s="129" customFormat="1" ht="18.75" outlineLevel="1">
      <c r="A93" s="141" t="s">
        <v>352</v>
      </c>
      <c r="B93" s="177" t="s">
        <v>353</v>
      </c>
      <c r="C93" s="178" t="s">
        <v>354</v>
      </c>
      <c r="D93" s="144">
        <v>0.4</v>
      </c>
      <c r="E93" s="145"/>
      <c r="F93" s="146"/>
      <c r="G93" s="165"/>
      <c r="H93" s="166"/>
      <c r="I93" s="149"/>
      <c r="J93" s="149"/>
      <c r="K93" s="149"/>
      <c r="L93" s="149"/>
      <c r="M93" s="149"/>
      <c r="N93" s="149"/>
      <c r="O93" s="149"/>
      <c r="P93" s="149"/>
      <c r="Q93" s="149"/>
      <c r="R93" s="156"/>
      <c r="S93" s="156"/>
      <c r="T93" s="152"/>
      <c r="U93" s="153"/>
      <c r="V93" s="154" t="e">
        <f t="shared" si="1"/>
        <v>#DIV/0!</v>
      </c>
      <c r="W93" s="154" t="e">
        <f t="shared" si="2"/>
        <v>#DIV/0!</v>
      </c>
      <c r="X93" s="155"/>
      <c r="Y93" s="146"/>
      <c r="Z93" s="165"/>
      <c r="AA93" s="166"/>
      <c r="AB93" s="149"/>
      <c r="AC93" s="149"/>
      <c r="AD93" s="149"/>
      <c r="AE93" s="149"/>
      <c r="AF93" s="149"/>
      <c r="AG93" s="149"/>
      <c r="AH93" s="149"/>
      <c r="AI93" s="149"/>
      <c r="AJ93" s="149"/>
      <c r="AK93" s="156"/>
      <c r="AL93" s="156"/>
      <c r="AM93" s="156"/>
      <c r="AN93" s="153"/>
      <c r="AO93" s="154" t="e">
        <f t="shared" si="4"/>
        <v>#DIV/0!</v>
      </c>
      <c r="AP93" s="154" t="e">
        <f t="shared" si="5"/>
        <v>#DIV/0!</v>
      </c>
      <c r="AQ93" s="145">
        <v>37</v>
      </c>
      <c r="AR93" s="146">
        <v>15</v>
      </c>
      <c r="AS93" s="147">
        <v>15</v>
      </c>
      <c r="AT93" s="166">
        <v>18.8099</v>
      </c>
      <c r="AU93" s="149">
        <v>13.26474</v>
      </c>
      <c r="AV93" s="149">
        <v>3.01328</v>
      </c>
      <c r="AW93" s="149">
        <v>9.33328</v>
      </c>
      <c r="AX93" s="149">
        <v>2.67392</v>
      </c>
      <c r="AY93" s="149">
        <v>0</v>
      </c>
      <c r="AZ93" s="149">
        <v>0</v>
      </c>
      <c r="BA93" s="149">
        <v>1.25985</v>
      </c>
      <c r="BB93" s="149">
        <v>81.44</v>
      </c>
      <c r="BC93" s="149">
        <v>9.33328</v>
      </c>
      <c r="BD93" s="150" t="s">
        <v>119</v>
      </c>
      <c r="BE93" s="151" t="s">
        <v>120</v>
      </c>
      <c r="BF93" s="156"/>
      <c r="BG93" s="153">
        <v>144</v>
      </c>
      <c r="BH93" s="154">
        <f t="shared" si="7"/>
        <v>508.37567567567567</v>
      </c>
      <c r="BI93" s="154">
        <f t="shared" si="8"/>
        <v>1.2539933333333333</v>
      </c>
      <c r="BJ93" s="415">
        <f t="shared" si="17"/>
        <v>37</v>
      </c>
      <c r="BK93" s="415">
        <f t="shared" si="17"/>
        <v>15</v>
      </c>
      <c r="BL93" s="415">
        <f t="shared" si="17"/>
        <v>15</v>
      </c>
      <c r="BM93" s="415">
        <f t="shared" si="17"/>
        <v>18.8099</v>
      </c>
    </row>
    <row r="94" spans="1:65" s="129" customFormat="1" ht="18.75" outlineLevel="1">
      <c r="A94" s="141" t="s">
        <v>355</v>
      </c>
      <c r="B94" s="177" t="s">
        <v>356</v>
      </c>
      <c r="C94" s="178" t="s">
        <v>357</v>
      </c>
      <c r="D94" s="144">
        <v>0.4</v>
      </c>
      <c r="E94" s="145"/>
      <c r="F94" s="146"/>
      <c r="G94" s="165"/>
      <c r="H94" s="166"/>
      <c r="I94" s="149"/>
      <c r="J94" s="149"/>
      <c r="K94" s="149"/>
      <c r="L94" s="149"/>
      <c r="M94" s="149"/>
      <c r="N94" s="149"/>
      <c r="O94" s="149"/>
      <c r="P94" s="149"/>
      <c r="Q94" s="149"/>
      <c r="R94" s="156"/>
      <c r="S94" s="156"/>
      <c r="T94" s="152"/>
      <c r="U94" s="153"/>
      <c r="V94" s="154" t="e">
        <f t="shared" si="1"/>
        <v>#DIV/0!</v>
      </c>
      <c r="W94" s="154" t="e">
        <f t="shared" si="2"/>
        <v>#DIV/0!</v>
      </c>
      <c r="X94" s="155"/>
      <c r="Y94" s="146"/>
      <c r="Z94" s="165"/>
      <c r="AA94" s="166"/>
      <c r="AB94" s="149"/>
      <c r="AC94" s="149"/>
      <c r="AD94" s="149"/>
      <c r="AE94" s="149"/>
      <c r="AF94" s="149"/>
      <c r="AG94" s="149"/>
      <c r="AH94" s="149"/>
      <c r="AI94" s="149"/>
      <c r="AJ94" s="149"/>
      <c r="AK94" s="156"/>
      <c r="AL94" s="156"/>
      <c r="AM94" s="156"/>
      <c r="AN94" s="153"/>
      <c r="AO94" s="154" t="e">
        <f t="shared" si="4"/>
        <v>#DIV/0!</v>
      </c>
      <c r="AP94" s="154" t="e">
        <f t="shared" si="5"/>
        <v>#DIV/0!</v>
      </c>
      <c r="AQ94" s="145">
        <v>170</v>
      </c>
      <c r="AR94" s="146">
        <v>15</v>
      </c>
      <c r="AS94" s="147">
        <v>15</v>
      </c>
      <c r="AT94" s="166">
        <v>90.82223</v>
      </c>
      <c r="AU94" s="149">
        <v>61.31318</v>
      </c>
      <c r="AV94" s="149">
        <v>12.5562</v>
      </c>
      <c r="AW94" s="149">
        <f>8.97943+35.91772</f>
        <v>44.89715</v>
      </c>
      <c r="AX94" s="149">
        <v>13.83663</v>
      </c>
      <c r="AY94" s="149">
        <v>0</v>
      </c>
      <c r="AZ94" s="149">
        <v>0</v>
      </c>
      <c r="BA94" s="149">
        <v>7.00103</v>
      </c>
      <c r="BB94" s="149">
        <v>73.86</v>
      </c>
      <c r="BC94" s="149">
        <v>8.97943</v>
      </c>
      <c r="BD94" s="150" t="s">
        <v>119</v>
      </c>
      <c r="BE94" s="151" t="s">
        <v>120</v>
      </c>
      <c r="BF94" s="156"/>
      <c r="BG94" s="153">
        <v>243</v>
      </c>
      <c r="BH94" s="154">
        <f t="shared" si="7"/>
        <v>534.2484117647059</v>
      </c>
      <c r="BI94" s="154">
        <f t="shared" si="8"/>
        <v>6.054815333333334</v>
      </c>
      <c r="BJ94" s="415">
        <f t="shared" si="17"/>
        <v>170</v>
      </c>
      <c r="BK94" s="415">
        <f t="shared" si="17"/>
        <v>15</v>
      </c>
      <c r="BL94" s="415">
        <f t="shared" si="17"/>
        <v>15</v>
      </c>
      <c r="BM94" s="415">
        <f t="shared" si="17"/>
        <v>90.82223</v>
      </c>
    </row>
    <row r="95" spans="1:65" s="129" customFormat="1" ht="18.75" outlineLevel="1">
      <c r="A95" s="141" t="s">
        <v>358</v>
      </c>
      <c r="B95" s="177" t="s">
        <v>359</v>
      </c>
      <c r="C95" s="178" t="s">
        <v>360</v>
      </c>
      <c r="D95" s="144">
        <v>0.4</v>
      </c>
      <c r="E95" s="145"/>
      <c r="F95" s="146"/>
      <c r="G95" s="165"/>
      <c r="H95" s="166"/>
      <c r="I95" s="149"/>
      <c r="J95" s="149"/>
      <c r="K95" s="149"/>
      <c r="L95" s="149"/>
      <c r="M95" s="149"/>
      <c r="N95" s="149"/>
      <c r="O95" s="149"/>
      <c r="P95" s="149"/>
      <c r="Q95" s="149"/>
      <c r="R95" s="156"/>
      <c r="S95" s="156"/>
      <c r="T95" s="152"/>
      <c r="U95" s="153"/>
      <c r="V95" s="154" t="e">
        <f t="shared" si="1"/>
        <v>#DIV/0!</v>
      </c>
      <c r="W95" s="154" t="e">
        <f t="shared" si="2"/>
        <v>#DIV/0!</v>
      </c>
      <c r="X95" s="155"/>
      <c r="Y95" s="146"/>
      <c r="Z95" s="165"/>
      <c r="AA95" s="166"/>
      <c r="AB95" s="149"/>
      <c r="AC95" s="149"/>
      <c r="AD95" s="149"/>
      <c r="AE95" s="149"/>
      <c r="AF95" s="149"/>
      <c r="AG95" s="149"/>
      <c r="AH95" s="149"/>
      <c r="AI95" s="149"/>
      <c r="AJ95" s="149"/>
      <c r="AK95" s="156"/>
      <c r="AL95" s="156"/>
      <c r="AM95" s="156"/>
      <c r="AN95" s="153"/>
      <c r="AO95" s="154" t="e">
        <f t="shared" si="4"/>
        <v>#DIV/0!</v>
      </c>
      <c r="AP95" s="154" t="e">
        <f t="shared" si="5"/>
        <v>#DIV/0!</v>
      </c>
      <c r="AQ95" s="145">
        <v>80</v>
      </c>
      <c r="AR95" s="146">
        <v>15</v>
      </c>
      <c r="AS95" s="147">
        <v>15</v>
      </c>
      <c r="AT95" s="166">
        <v>37.28744</v>
      </c>
      <c r="AU95" s="149">
        <v>24.21405</v>
      </c>
      <c r="AV95" s="149">
        <v>5.9096</v>
      </c>
      <c r="AW95" s="149">
        <v>17.95886</v>
      </c>
      <c r="AX95" s="149">
        <v>5.9524</v>
      </c>
      <c r="AY95" s="149">
        <v>0</v>
      </c>
      <c r="AZ95" s="149">
        <v>0</v>
      </c>
      <c r="BA95" s="149">
        <v>3.17423</v>
      </c>
      <c r="BB95" s="149">
        <v>73.87</v>
      </c>
      <c r="BC95" s="149">
        <v>8.97943</v>
      </c>
      <c r="BD95" s="150" t="s">
        <v>119</v>
      </c>
      <c r="BE95" s="151" t="s">
        <v>120</v>
      </c>
      <c r="BF95" s="156"/>
      <c r="BG95" s="153">
        <v>263</v>
      </c>
      <c r="BH95" s="154">
        <f t="shared" si="7"/>
        <v>466.09299999999996</v>
      </c>
      <c r="BI95" s="154">
        <f t="shared" si="8"/>
        <v>2.4858293333333332</v>
      </c>
      <c r="BJ95" s="415">
        <f t="shared" si="17"/>
        <v>80</v>
      </c>
      <c r="BK95" s="415">
        <f t="shared" si="17"/>
        <v>15</v>
      </c>
      <c r="BL95" s="415">
        <f t="shared" si="17"/>
        <v>15</v>
      </c>
      <c r="BM95" s="415">
        <f t="shared" si="17"/>
        <v>37.28744</v>
      </c>
    </row>
    <row r="96" spans="1:65" s="129" customFormat="1" ht="18.75" outlineLevel="1">
      <c r="A96" s="141" t="s">
        <v>361</v>
      </c>
      <c r="B96" s="177" t="s">
        <v>362</v>
      </c>
      <c r="C96" s="158" t="s">
        <v>363</v>
      </c>
      <c r="D96" s="144">
        <v>0.4</v>
      </c>
      <c r="E96" s="145"/>
      <c r="F96" s="146"/>
      <c r="G96" s="165"/>
      <c r="H96" s="166"/>
      <c r="I96" s="149"/>
      <c r="J96" s="149"/>
      <c r="K96" s="149"/>
      <c r="L96" s="149"/>
      <c r="M96" s="149"/>
      <c r="N96" s="149"/>
      <c r="O96" s="149"/>
      <c r="P96" s="149"/>
      <c r="Q96" s="149"/>
      <c r="R96" s="156"/>
      <c r="S96" s="156"/>
      <c r="T96" s="152"/>
      <c r="U96" s="153"/>
      <c r="V96" s="154" t="e">
        <f t="shared" si="1"/>
        <v>#DIV/0!</v>
      </c>
      <c r="W96" s="154" t="e">
        <f t="shared" si="2"/>
        <v>#DIV/0!</v>
      </c>
      <c r="X96" s="155"/>
      <c r="Y96" s="146"/>
      <c r="Z96" s="165"/>
      <c r="AA96" s="166"/>
      <c r="AB96" s="149"/>
      <c r="AC96" s="149"/>
      <c r="AD96" s="149"/>
      <c r="AE96" s="149"/>
      <c r="AF96" s="149"/>
      <c r="AG96" s="149"/>
      <c r="AH96" s="149"/>
      <c r="AI96" s="149"/>
      <c r="AJ96" s="149"/>
      <c r="AK96" s="156"/>
      <c r="AL96" s="156"/>
      <c r="AM96" s="156"/>
      <c r="AN96" s="153"/>
      <c r="AO96" s="154" t="e">
        <f t="shared" si="4"/>
        <v>#DIV/0!</v>
      </c>
      <c r="AP96" s="154" t="e">
        <f t="shared" si="5"/>
        <v>#DIV/0!</v>
      </c>
      <c r="AQ96" s="145">
        <v>135</v>
      </c>
      <c r="AR96" s="146">
        <v>25</v>
      </c>
      <c r="AS96" s="147">
        <v>25</v>
      </c>
      <c r="AT96" s="166">
        <v>62.92159</v>
      </c>
      <c r="AU96" s="149">
        <v>42.38427</v>
      </c>
      <c r="AV96" s="149">
        <v>9.9711</v>
      </c>
      <c r="AW96" s="149">
        <v>26.92074</v>
      </c>
      <c r="AX96" s="149">
        <v>9.34239</v>
      </c>
      <c r="AY96" s="149">
        <v>0</v>
      </c>
      <c r="AZ96" s="149">
        <v>0</v>
      </c>
      <c r="BA96" s="149">
        <v>4.9992</v>
      </c>
      <c r="BB96" s="149">
        <v>73.86</v>
      </c>
      <c r="BC96" s="149">
        <v>8.97358</v>
      </c>
      <c r="BD96" s="150" t="s">
        <v>119</v>
      </c>
      <c r="BE96" s="151" t="s">
        <v>120</v>
      </c>
      <c r="BF96" s="156"/>
      <c r="BG96" s="153">
        <v>285</v>
      </c>
      <c r="BH96" s="154">
        <f t="shared" si="7"/>
        <v>466.0858518518519</v>
      </c>
      <c r="BI96" s="154">
        <f t="shared" si="8"/>
        <v>2.5168636</v>
      </c>
      <c r="BJ96" s="415">
        <f t="shared" si="17"/>
        <v>135</v>
      </c>
      <c r="BK96" s="415">
        <f t="shared" si="17"/>
        <v>25</v>
      </c>
      <c r="BL96" s="415">
        <f t="shared" si="17"/>
        <v>25</v>
      </c>
      <c r="BM96" s="415">
        <f t="shared" si="17"/>
        <v>62.92159</v>
      </c>
    </row>
    <row r="97" spans="1:65" s="129" customFormat="1" ht="14.25">
      <c r="A97" s="141"/>
      <c r="B97" s="179"/>
      <c r="C97" s="158"/>
      <c r="D97" s="144"/>
      <c r="E97" s="145"/>
      <c r="F97" s="146"/>
      <c r="G97" s="165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56"/>
      <c r="S97" s="156"/>
      <c r="T97" s="152"/>
      <c r="U97" s="153"/>
      <c r="V97" s="154" t="e">
        <f t="shared" si="1"/>
        <v>#DIV/0!</v>
      </c>
      <c r="W97" s="154" t="e">
        <f t="shared" si="2"/>
        <v>#DIV/0!</v>
      </c>
      <c r="X97" s="155"/>
      <c r="Y97" s="146"/>
      <c r="Z97" s="165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56"/>
      <c r="AL97" s="156"/>
      <c r="AM97" s="156"/>
      <c r="AN97" s="153"/>
      <c r="AO97" s="154" t="e">
        <f t="shared" si="4"/>
        <v>#DIV/0!</v>
      </c>
      <c r="AP97" s="154" t="e">
        <f t="shared" si="5"/>
        <v>#DIV/0!</v>
      </c>
      <c r="AQ97" s="145"/>
      <c r="AR97" s="146"/>
      <c r="AS97" s="147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56"/>
      <c r="BE97" s="156"/>
      <c r="BF97" s="156"/>
      <c r="BG97" s="153"/>
      <c r="BH97" s="154" t="e">
        <f t="shared" si="7"/>
        <v>#DIV/0!</v>
      </c>
      <c r="BI97" s="154" t="e">
        <f t="shared" si="8"/>
        <v>#DIV/0!</v>
      </c>
      <c r="BJ97" s="415">
        <f t="shared" si="17"/>
        <v>0</v>
      </c>
      <c r="BK97" s="415">
        <f t="shared" si="17"/>
        <v>0</v>
      </c>
      <c r="BL97" s="415">
        <f t="shared" si="17"/>
        <v>0</v>
      </c>
      <c r="BM97" s="415">
        <f t="shared" si="17"/>
        <v>0</v>
      </c>
    </row>
    <row r="98" spans="1:65" s="129" customFormat="1" ht="24.75" customHeight="1">
      <c r="A98" s="130" t="s">
        <v>364</v>
      </c>
      <c r="B98" s="131" t="s">
        <v>365</v>
      </c>
      <c r="C98" s="132"/>
      <c r="D98" s="133">
        <v>0.4</v>
      </c>
      <c r="E98" s="134">
        <f aca="true" t="shared" si="21" ref="E98:Q98">SUM(E99:E133)</f>
        <v>1126</v>
      </c>
      <c r="F98" s="134">
        <f t="shared" si="21"/>
        <v>105</v>
      </c>
      <c r="G98" s="134">
        <f>SUM(G99:G133)</f>
        <v>105</v>
      </c>
      <c r="H98" s="135">
        <f t="shared" si="21"/>
        <v>578.20939</v>
      </c>
      <c r="I98" s="135">
        <f t="shared" si="21"/>
        <v>422.96982999999994</v>
      </c>
      <c r="J98" s="135">
        <f t="shared" si="21"/>
        <v>118.28630000000001</v>
      </c>
      <c r="K98" s="135">
        <f t="shared" si="21"/>
        <v>258.28742</v>
      </c>
      <c r="L98" s="135">
        <f t="shared" si="21"/>
        <v>78.93857</v>
      </c>
      <c r="M98" s="135">
        <f t="shared" si="21"/>
        <v>0</v>
      </c>
      <c r="N98" s="135">
        <f t="shared" si="21"/>
        <v>0</v>
      </c>
      <c r="O98" s="135">
        <f t="shared" si="21"/>
        <v>33.76996</v>
      </c>
      <c r="P98" s="135">
        <f t="shared" si="21"/>
        <v>735.3499999999999</v>
      </c>
      <c r="Q98" s="135">
        <f t="shared" si="21"/>
        <v>60.28182</v>
      </c>
      <c r="R98" s="136"/>
      <c r="S98" s="136"/>
      <c r="T98" s="137"/>
      <c r="U98" s="138"/>
      <c r="V98" s="139">
        <f t="shared" si="1"/>
        <v>513.5074511545293</v>
      </c>
      <c r="W98" s="139">
        <f t="shared" si="2"/>
        <v>5.506756095238095</v>
      </c>
      <c r="X98" s="140">
        <f aca="true" t="shared" si="22" ref="X98:AJ98">SUM(X99:X133)</f>
        <v>1877</v>
      </c>
      <c r="Y98" s="134">
        <f t="shared" si="22"/>
        <v>325</v>
      </c>
      <c r="Z98" s="134">
        <f t="shared" si="22"/>
        <v>325</v>
      </c>
      <c r="AA98" s="135">
        <f t="shared" si="22"/>
        <v>987.88875</v>
      </c>
      <c r="AB98" s="135">
        <f t="shared" si="22"/>
        <v>704.5777499999999</v>
      </c>
      <c r="AC98" s="135">
        <f t="shared" si="22"/>
        <v>194.90768</v>
      </c>
      <c r="AD98" s="135">
        <f>SUM(AE99:AE133)</f>
        <v>139.18310000000002</v>
      </c>
      <c r="AE98" s="135">
        <f t="shared" si="22"/>
        <v>139.18310000000002</v>
      </c>
      <c r="AF98" s="135">
        <f t="shared" si="22"/>
        <v>0</v>
      </c>
      <c r="AG98" s="135">
        <f>SUM(AE99:AE133)</f>
        <v>139.18310000000002</v>
      </c>
      <c r="AH98" s="135">
        <f t="shared" si="22"/>
        <v>63.40319000000001</v>
      </c>
      <c r="AI98" s="135">
        <f t="shared" si="22"/>
        <v>1349.9199999999998</v>
      </c>
      <c r="AJ98" s="135">
        <f t="shared" si="22"/>
        <v>120.97993000000001</v>
      </c>
      <c r="AK98" s="136"/>
      <c r="AL98" s="136"/>
      <c r="AM98" s="136"/>
      <c r="AN98" s="138"/>
      <c r="AO98" s="139">
        <f t="shared" si="4"/>
        <v>526.3125998934469</v>
      </c>
      <c r="AP98" s="139">
        <f t="shared" si="5"/>
        <v>3.039657692307692</v>
      </c>
      <c r="AQ98" s="134">
        <f aca="true" t="shared" si="23" ref="AQ98:BC98">SUM(AQ99:AQ133)</f>
        <v>1421</v>
      </c>
      <c r="AR98" s="134">
        <f t="shared" si="23"/>
        <v>245</v>
      </c>
      <c r="AS98" s="134">
        <f t="shared" si="23"/>
        <v>245</v>
      </c>
      <c r="AT98" s="135">
        <f t="shared" si="23"/>
        <v>980.3608300000001</v>
      </c>
      <c r="AU98" s="135">
        <f t="shared" si="23"/>
        <v>687.26947</v>
      </c>
      <c r="AV98" s="135">
        <f t="shared" si="23"/>
        <v>147.55664</v>
      </c>
      <c r="AW98" s="135">
        <f>SUM(AX99:AX133)</f>
        <v>136.57997</v>
      </c>
      <c r="AX98" s="135">
        <f t="shared" si="23"/>
        <v>136.57997</v>
      </c>
      <c r="AY98" s="135">
        <f t="shared" si="23"/>
        <v>0</v>
      </c>
      <c r="AZ98" s="135">
        <f t="shared" si="23"/>
        <v>0</v>
      </c>
      <c r="BA98" s="135">
        <f t="shared" si="23"/>
        <v>69.54602</v>
      </c>
      <c r="BB98" s="135">
        <f t="shared" si="23"/>
        <v>1453.7599999999998</v>
      </c>
      <c r="BC98" s="135">
        <f t="shared" si="23"/>
        <v>129.17867999999999</v>
      </c>
      <c r="BD98" s="136"/>
      <c r="BE98" s="136"/>
      <c r="BF98" s="136"/>
      <c r="BG98" s="138"/>
      <c r="BH98" s="139">
        <f t="shared" si="7"/>
        <v>689.9090992258973</v>
      </c>
      <c r="BI98" s="139">
        <f t="shared" si="8"/>
        <v>4.001472775510204</v>
      </c>
      <c r="BJ98" s="415">
        <f t="shared" si="17"/>
        <v>4424</v>
      </c>
      <c r="BK98" s="415">
        <f t="shared" si="17"/>
        <v>675</v>
      </c>
      <c r="BL98" s="415">
        <f t="shared" si="17"/>
        <v>675</v>
      </c>
      <c r="BM98" s="415">
        <f t="shared" si="17"/>
        <v>2546.45897</v>
      </c>
    </row>
    <row r="99" spans="1:65" s="129" customFormat="1" ht="18.75" outlineLevel="1">
      <c r="A99" s="141" t="s">
        <v>366</v>
      </c>
      <c r="B99" s="142" t="s">
        <v>367</v>
      </c>
      <c r="C99" s="180" t="s">
        <v>368</v>
      </c>
      <c r="D99" s="144">
        <v>0.4</v>
      </c>
      <c r="E99" s="145">
        <v>261</v>
      </c>
      <c r="F99" s="146">
        <v>15</v>
      </c>
      <c r="G99" s="146">
        <v>15</v>
      </c>
      <c r="H99" s="148">
        <v>81.00131</v>
      </c>
      <c r="I99" s="149">
        <v>59.17874</v>
      </c>
      <c r="J99" s="149">
        <v>27.41805</v>
      </c>
      <c r="K99" s="149">
        <f>7.69811+15.39622</f>
        <v>23.09433</v>
      </c>
      <c r="L99" s="149">
        <v>10.96529</v>
      </c>
      <c r="M99" s="149">
        <v>0</v>
      </c>
      <c r="N99" s="149">
        <v>0</v>
      </c>
      <c r="O99" s="149">
        <v>4.89341</v>
      </c>
      <c r="P99" s="149">
        <v>105.05</v>
      </c>
      <c r="Q99" s="149">
        <v>7.69811</v>
      </c>
      <c r="R99" s="150" t="s">
        <v>119</v>
      </c>
      <c r="S99" s="151" t="s">
        <v>120</v>
      </c>
      <c r="T99" s="152"/>
      <c r="U99" s="153">
        <v>111</v>
      </c>
      <c r="V99" s="154">
        <f t="shared" si="1"/>
        <v>310.349846743295</v>
      </c>
      <c r="W99" s="154">
        <f t="shared" si="2"/>
        <v>5.4000873333333335</v>
      </c>
      <c r="X99" s="155"/>
      <c r="Y99" s="146"/>
      <c r="Z99" s="146"/>
      <c r="AA99" s="148"/>
      <c r="AB99" s="149"/>
      <c r="AC99" s="149"/>
      <c r="AD99" s="149"/>
      <c r="AE99" s="149"/>
      <c r="AF99" s="149"/>
      <c r="AG99" s="149"/>
      <c r="AH99" s="149"/>
      <c r="AI99" s="149"/>
      <c r="AJ99" s="149"/>
      <c r="AK99" s="156"/>
      <c r="AL99" s="156"/>
      <c r="AM99" s="156"/>
      <c r="AN99" s="153"/>
      <c r="AO99" s="154" t="e">
        <f t="shared" si="4"/>
        <v>#DIV/0!</v>
      </c>
      <c r="AP99" s="154" t="e">
        <f t="shared" si="5"/>
        <v>#DIV/0!</v>
      </c>
      <c r="AQ99" s="145"/>
      <c r="AR99" s="146"/>
      <c r="AS99" s="146"/>
      <c r="AT99" s="148"/>
      <c r="AU99" s="149"/>
      <c r="AV99" s="149"/>
      <c r="AW99" s="149"/>
      <c r="AX99" s="149"/>
      <c r="AY99" s="149"/>
      <c r="AZ99" s="149"/>
      <c r="BA99" s="149"/>
      <c r="BB99" s="149"/>
      <c r="BC99" s="149"/>
      <c r="BD99" s="156"/>
      <c r="BE99" s="156"/>
      <c r="BF99" s="156"/>
      <c r="BG99" s="153"/>
      <c r="BH99" s="154" t="e">
        <f t="shared" si="7"/>
        <v>#DIV/0!</v>
      </c>
      <c r="BI99" s="154" t="e">
        <f t="shared" si="8"/>
        <v>#DIV/0!</v>
      </c>
      <c r="BJ99" s="415">
        <f aca="true" t="shared" si="24" ref="BJ99:BJ162">E99+X99+AQ99</f>
        <v>261</v>
      </c>
      <c r="BK99" s="415">
        <f aca="true" t="shared" si="25" ref="BK99:BK162">F99+Y99+AR99</f>
        <v>15</v>
      </c>
      <c r="BL99" s="415">
        <f aca="true" t="shared" si="26" ref="BL99:BL162">G99+Z99+AS99</f>
        <v>15</v>
      </c>
      <c r="BM99" s="415">
        <f aca="true" t="shared" si="27" ref="BM99:BM162">H99+AA99+AT99</f>
        <v>81.00131</v>
      </c>
    </row>
    <row r="100" spans="1:65" s="129" customFormat="1" ht="18.75" outlineLevel="1">
      <c r="A100" s="141" t="s">
        <v>369</v>
      </c>
      <c r="B100" s="142" t="s">
        <v>370</v>
      </c>
      <c r="C100" s="180" t="s">
        <v>371</v>
      </c>
      <c r="D100" s="144">
        <v>0.4</v>
      </c>
      <c r="E100" s="145">
        <v>125</v>
      </c>
      <c r="F100" s="146">
        <v>15</v>
      </c>
      <c r="G100" s="146">
        <v>15</v>
      </c>
      <c r="H100" s="148">
        <v>72.20078</v>
      </c>
      <c r="I100" s="149">
        <v>53.07854</v>
      </c>
      <c r="J100" s="149">
        <v>13.13125</v>
      </c>
      <c r="K100" s="149">
        <f>17.65774+17.65774</f>
        <v>35.31548</v>
      </c>
      <c r="L100" s="149">
        <v>9.74078</v>
      </c>
      <c r="M100" s="149">
        <v>0</v>
      </c>
      <c r="N100" s="149">
        <v>0</v>
      </c>
      <c r="O100" s="149">
        <v>4.1403</v>
      </c>
      <c r="P100" s="149">
        <v>105.05</v>
      </c>
      <c r="Q100" s="149">
        <v>8.82887</v>
      </c>
      <c r="R100" s="150" t="s">
        <v>119</v>
      </c>
      <c r="S100" s="151" t="s">
        <v>120</v>
      </c>
      <c r="T100" s="152"/>
      <c r="U100" s="153">
        <v>173</v>
      </c>
      <c r="V100" s="154">
        <f t="shared" si="1"/>
        <v>577.60624</v>
      </c>
      <c r="W100" s="154">
        <f t="shared" si="2"/>
        <v>4.813385333333333</v>
      </c>
      <c r="X100" s="155"/>
      <c r="Y100" s="146"/>
      <c r="Z100" s="146"/>
      <c r="AA100" s="148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56"/>
      <c r="AL100" s="156"/>
      <c r="AM100" s="156"/>
      <c r="AN100" s="153"/>
      <c r="AO100" s="154" t="e">
        <f t="shared" si="4"/>
        <v>#DIV/0!</v>
      </c>
      <c r="AP100" s="154" t="e">
        <f t="shared" si="5"/>
        <v>#DIV/0!</v>
      </c>
      <c r="AQ100" s="145"/>
      <c r="AR100" s="146"/>
      <c r="AS100" s="146"/>
      <c r="AT100" s="148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56"/>
      <c r="BE100" s="156"/>
      <c r="BF100" s="156"/>
      <c r="BG100" s="153"/>
      <c r="BH100" s="154" t="e">
        <f aca="true" t="shared" si="28" ref="BH100:BH163">AT100/AQ100*1000</f>
        <v>#DIV/0!</v>
      </c>
      <c r="BI100" s="154" t="e">
        <f aca="true" t="shared" si="29" ref="BI100:BI163">AT100/AR100</f>
        <v>#DIV/0!</v>
      </c>
      <c r="BJ100" s="415">
        <f t="shared" si="24"/>
        <v>125</v>
      </c>
      <c r="BK100" s="415">
        <f t="shared" si="25"/>
        <v>15</v>
      </c>
      <c r="BL100" s="415">
        <f t="shared" si="26"/>
        <v>15</v>
      </c>
      <c r="BM100" s="415">
        <f t="shared" si="27"/>
        <v>72.20078</v>
      </c>
    </row>
    <row r="101" spans="1:65" s="129" customFormat="1" ht="18.75" outlineLevel="1">
      <c r="A101" s="141" t="s">
        <v>372</v>
      </c>
      <c r="B101" s="142" t="s">
        <v>373</v>
      </c>
      <c r="C101" s="180" t="s">
        <v>374</v>
      </c>
      <c r="D101" s="144">
        <v>0.4</v>
      </c>
      <c r="E101" s="145">
        <v>219</v>
      </c>
      <c r="F101" s="146">
        <v>15</v>
      </c>
      <c r="G101" s="146">
        <v>15</v>
      </c>
      <c r="H101" s="148">
        <v>164.82547</v>
      </c>
      <c r="I101" s="149">
        <v>120.89152</v>
      </c>
      <c r="J101" s="149">
        <v>23.00595</v>
      </c>
      <c r="K101" s="149">
        <f>35.31548+52.97322</f>
        <v>88.2887</v>
      </c>
      <c r="L101" s="149">
        <v>22.54986</v>
      </c>
      <c r="M101" s="149">
        <v>0</v>
      </c>
      <c r="N101" s="149">
        <v>0</v>
      </c>
      <c r="O101" s="149">
        <v>9.39347</v>
      </c>
      <c r="P101" s="149">
        <v>105.05</v>
      </c>
      <c r="Q101" s="149">
        <v>8.82887</v>
      </c>
      <c r="R101" s="150" t="s">
        <v>119</v>
      </c>
      <c r="S101" s="151" t="s">
        <v>120</v>
      </c>
      <c r="T101" s="152"/>
      <c r="U101" s="153">
        <v>177</v>
      </c>
      <c r="V101" s="154">
        <f t="shared" si="1"/>
        <v>752.6277168949771</v>
      </c>
      <c r="W101" s="154">
        <f t="shared" si="2"/>
        <v>10.988364666666666</v>
      </c>
      <c r="X101" s="155"/>
      <c r="Y101" s="146"/>
      <c r="Z101" s="146"/>
      <c r="AA101" s="148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56"/>
      <c r="AL101" s="156"/>
      <c r="AM101" s="156"/>
      <c r="AN101" s="153"/>
      <c r="AO101" s="154" t="e">
        <f t="shared" si="4"/>
        <v>#DIV/0!</v>
      </c>
      <c r="AP101" s="154" t="e">
        <f t="shared" si="5"/>
        <v>#DIV/0!</v>
      </c>
      <c r="AQ101" s="145"/>
      <c r="AR101" s="146"/>
      <c r="AS101" s="146"/>
      <c r="AT101" s="148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56"/>
      <c r="BE101" s="156"/>
      <c r="BF101" s="156"/>
      <c r="BG101" s="153"/>
      <c r="BH101" s="154" t="e">
        <f t="shared" si="28"/>
        <v>#DIV/0!</v>
      </c>
      <c r="BI101" s="154" t="e">
        <f t="shared" si="29"/>
        <v>#DIV/0!</v>
      </c>
      <c r="BJ101" s="415">
        <f t="shared" si="24"/>
        <v>219</v>
      </c>
      <c r="BK101" s="415">
        <f t="shared" si="25"/>
        <v>15</v>
      </c>
      <c r="BL101" s="415">
        <f t="shared" si="26"/>
        <v>15</v>
      </c>
      <c r="BM101" s="415">
        <f t="shared" si="27"/>
        <v>164.82547</v>
      </c>
    </row>
    <row r="102" spans="1:65" s="129" customFormat="1" ht="18.75" outlineLevel="1">
      <c r="A102" s="141" t="s">
        <v>375</v>
      </c>
      <c r="B102" s="142" t="s">
        <v>376</v>
      </c>
      <c r="C102" s="180" t="s">
        <v>377</v>
      </c>
      <c r="D102" s="144">
        <v>0.4</v>
      </c>
      <c r="E102" s="145">
        <v>54</v>
      </c>
      <c r="F102" s="146">
        <v>15</v>
      </c>
      <c r="G102" s="146">
        <v>15</v>
      </c>
      <c r="H102" s="148">
        <v>47.83338</v>
      </c>
      <c r="I102" s="149">
        <v>35.65124</v>
      </c>
      <c r="J102" s="149">
        <v>5.6727</v>
      </c>
      <c r="K102" s="149">
        <v>26.48661</v>
      </c>
      <c r="L102" s="149">
        <v>6.12617</v>
      </c>
      <c r="M102" s="149">
        <v>0</v>
      </c>
      <c r="N102" s="149">
        <v>0</v>
      </c>
      <c r="O102" s="149">
        <v>2.63448</v>
      </c>
      <c r="P102" s="149">
        <v>105.05</v>
      </c>
      <c r="Q102" s="149">
        <v>8.82887</v>
      </c>
      <c r="R102" s="150" t="s">
        <v>119</v>
      </c>
      <c r="S102" s="151" t="s">
        <v>120</v>
      </c>
      <c r="T102" s="152"/>
      <c r="U102" s="153">
        <v>180</v>
      </c>
      <c r="V102" s="154">
        <f t="shared" si="1"/>
        <v>885.8033333333333</v>
      </c>
      <c r="W102" s="154">
        <f t="shared" si="2"/>
        <v>3.188892</v>
      </c>
      <c r="X102" s="155"/>
      <c r="Y102" s="146"/>
      <c r="Z102" s="146"/>
      <c r="AA102" s="148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56"/>
      <c r="AL102" s="156"/>
      <c r="AM102" s="156"/>
      <c r="AN102" s="153"/>
      <c r="AO102" s="154" t="e">
        <f t="shared" si="4"/>
        <v>#DIV/0!</v>
      </c>
      <c r="AP102" s="154" t="e">
        <f t="shared" si="5"/>
        <v>#DIV/0!</v>
      </c>
      <c r="AQ102" s="145"/>
      <c r="AR102" s="146"/>
      <c r="AS102" s="146"/>
      <c r="AT102" s="148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56"/>
      <c r="BE102" s="156"/>
      <c r="BF102" s="156"/>
      <c r="BG102" s="153"/>
      <c r="BH102" s="154" t="e">
        <f t="shared" si="28"/>
        <v>#DIV/0!</v>
      </c>
      <c r="BI102" s="154" t="e">
        <f t="shared" si="29"/>
        <v>#DIV/0!</v>
      </c>
      <c r="BJ102" s="415">
        <f t="shared" si="24"/>
        <v>54</v>
      </c>
      <c r="BK102" s="415">
        <f t="shared" si="25"/>
        <v>15</v>
      </c>
      <c r="BL102" s="415">
        <f t="shared" si="26"/>
        <v>15</v>
      </c>
      <c r="BM102" s="415">
        <f t="shared" si="27"/>
        <v>47.83338</v>
      </c>
    </row>
    <row r="103" spans="1:65" s="129" customFormat="1" ht="18.75" outlineLevel="1">
      <c r="A103" s="141" t="s">
        <v>378</v>
      </c>
      <c r="B103" s="142" t="s">
        <v>379</v>
      </c>
      <c r="C103" s="180" t="s">
        <v>380</v>
      </c>
      <c r="D103" s="144">
        <v>0.4</v>
      </c>
      <c r="E103" s="145">
        <v>300</v>
      </c>
      <c r="F103" s="146">
        <v>15</v>
      </c>
      <c r="G103" s="146">
        <v>15</v>
      </c>
      <c r="H103" s="148">
        <v>115.76233</v>
      </c>
      <c r="I103" s="149">
        <v>81.83282</v>
      </c>
      <c r="J103" s="149">
        <v>31.515</v>
      </c>
      <c r="K103" s="149">
        <f>17.02046+25.53069</f>
        <v>42.55115</v>
      </c>
      <c r="L103" s="149">
        <v>17.25245</v>
      </c>
      <c r="M103" s="149">
        <v>0</v>
      </c>
      <c r="N103" s="149">
        <v>0</v>
      </c>
      <c r="O103" s="149">
        <v>7.43525</v>
      </c>
      <c r="P103" s="149">
        <v>105.05</v>
      </c>
      <c r="Q103" s="149">
        <v>8.51023</v>
      </c>
      <c r="R103" s="150" t="s">
        <v>119</v>
      </c>
      <c r="S103" s="151" t="s">
        <v>120</v>
      </c>
      <c r="T103" s="152"/>
      <c r="U103" s="153">
        <v>233</v>
      </c>
      <c r="V103" s="154">
        <f t="shared" si="1"/>
        <v>385.8744333333334</v>
      </c>
      <c r="W103" s="154">
        <f t="shared" si="2"/>
        <v>7.717488666666667</v>
      </c>
      <c r="X103" s="155"/>
      <c r="Y103" s="146"/>
      <c r="Z103" s="146"/>
      <c r="AA103" s="148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56"/>
      <c r="AL103" s="156"/>
      <c r="AM103" s="156"/>
      <c r="AN103" s="153"/>
      <c r="AO103" s="154" t="e">
        <f t="shared" si="4"/>
        <v>#DIV/0!</v>
      </c>
      <c r="AP103" s="154" t="e">
        <f t="shared" si="5"/>
        <v>#DIV/0!</v>
      </c>
      <c r="AQ103" s="145"/>
      <c r="AR103" s="146"/>
      <c r="AS103" s="146"/>
      <c r="AT103" s="148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56"/>
      <c r="BE103" s="156"/>
      <c r="BF103" s="156"/>
      <c r="BG103" s="153"/>
      <c r="BH103" s="154" t="e">
        <f t="shared" si="28"/>
        <v>#DIV/0!</v>
      </c>
      <c r="BI103" s="154" t="e">
        <f t="shared" si="29"/>
        <v>#DIV/0!</v>
      </c>
      <c r="BJ103" s="415">
        <f t="shared" si="24"/>
        <v>300</v>
      </c>
      <c r="BK103" s="415">
        <f t="shared" si="25"/>
        <v>15</v>
      </c>
      <c r="BL103" s="415">
        <f t="shared" si="26"/>
        <v>15</v>
      </c>
      <c r="BM103" s="415">
        <f t="shared" si="27"/>
        <v>115.76233</v>
      </c>
    </row>
    <row r="104" spans="1:65" s="129" customFormat="1" ht="18.75" outlineLevel="1">
      <c r="A104" s="141" t="s">
        <v>381</v>
      </c>
      <c r="B104" s="142" t="s">
        <v>382</v>
      </c>
      <c r="C104" s="180" t="s">
        <v>383</v>
      </c>
      <c r="D104" s="144">
        <v>0.4</v>
      </c>
      <c r="E104" s="145">
        <v>117</v>
      </c>
      <c r="F104" s="146">
        <v>15</v>
      </c>
      <c r="G104" s="146">
        <v>15</v>
      </c>
      <c r="H104" s="148">
        <v>87.27912</v>
      </c>
      <c r="I104" s="149">
        <v>65.24697</v>
      </c>
      <c r="J104" s="149">
        <v>12.29085</v>
      </c>
      <c r="K104" s="149">
        <f>25.53069+17.02046</f>
        <v>42.55115</v>
      </c>
      <c r="L104" s="149">
        <v>11.22202</v>
      </c>
      <c r="M104" s="149">
        <v>0</v>
      </c>
      <c r="N104" s="149">
        <v>0</v>
      </c>
      <c r="O104" s="149">
        <v>4.74305</v>
      </c>
      <c r="P104" s="149">
        <v>105.05</v>
      </c>
      <c r="Q104" s="149">
        <v>8.51023</v>
      </c>
      <c r="R104" s="150" t="s">
        <v>119</v>
      </c>
      <c r="S104" s="151" t="s">
        <v>120</v>
      </c>
      <c r="T104" s="152"/>
      <c r="U104" s="153">
        <v>241</v>
      </c>
      <c r="V104" s="154">
        <f t="shared" si="1"/>
        <v>745.9753846153847</v>
      </c>
      <c r="W104" s="154">
        <f t="shared" si="2"/>
        <v>5.818608</v>
      </c>
      <c r="X104" s="155"/>
      <c r="Y104" s="146"/>
      <c r="Z104" s="146"/>
      <c r="AA104" s="148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56"/>
      <c r="AL104" s="156"/>
      <c r="AM104" s="156"/>
      <c r="AN104" s="153"/>
      <c r="AO104" s="154" t="e">
        <f t="shared" si="4"/>
        <v>#DIV/0!</v>
      </c>
      <c r="AP104" s="154" t="e">
        <f t="shared" si="5"/>
        <v>#DIV/0!</v>
      </c>
      <c r="AQ104" s="145"/>
      <c r="AR104" s="146"/>
      <c r="AS104" s="146"/>
      <c r="AT104" s="148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56"/>
      <c r="BE104" s="156"/>
      <c r="BF104" s="156"/>
      <c r="BG104" s="153"/>
      <c r="BH104" s="154" t="e">
        <f t="shared" si="28"/>
        <v>#DIV/0!</v>
      </c>
      <c r="BI104" s="154" t="e">
        <f t="shared" si="29"/>
        <v>#DIV/0!</v>
      </c>
      <c r="BJ104" s="415">
        <f t="shared" si="24"/>
        <v>117</v>
      </c>
      <c r="BK104" s="415">
        <f t="shared" si="25"/>
        <v>15</v>
      </c>
      <c r="BL104" s="415">
        <f t="shared" si="26"/>
        <v>15</v>
      </c>
      <c r="BM104" s="415">
        <f t="shared" si="27"/>
        <v>87.27912</v>
      </c>
    </row>
    <row r="105" spans="1:65" s="129" customFormat="1" ht="18.75" outlineLevel="1">
      <c r="A105" s="141" t="s">
        <v>384</v>
      </c>
      <c r="B105" s="142" t="s">
        <v>385</v>
      </c>
      <c r="C105" s="180" t="s">
        <v>386</v>
      </c>
      <c r="D105" s="144">
        <v>0.4</v>
      </c>
      <c r="E105" s="145">
        <v>50</v>
      </c>
      <c r="F105" s="146">
        <v>15</v>
      </c>
      <c r="G105" s="146">
        <v>15</v>
      </c>
      <c r="H105" s="148">
        <v>9.307</v>
      </c>
      <c r="I105" s="149">
        <v>7.09</v>
      </c>
      <c r="J105" s="149">
        <v>5.2525</v>
      </c>
      <c r="K105" s="149">
        <v>0</v>
      </c>
      <c r="L105" s="149">
        <v>1.082</v>
      </c>
      <c r="M105" s="149">
        <v>0</v>
      </c>
      <c r="N105" s="149">
        <v>0</v>
      </c>
      <c r="O105" s="149">
        <v>0.53</v>
      </c>
      <c r="P105" s="149">
        <v>105.05</v>
      </c>
      <c r="Q105" s="149">
        <v>9.07664</v>
      </c>
      <c r="R105" s="150" t="s">
        <v>119</v>
      </c>
      <c r="S105" s="151" t="s">
        <v>120</v>
      </c>
      <c r="T105" s="152"/>
      <c r="U105" s="153">
        <v>85</v>
      </c>
      <c r="V105" s="154">
        <f t="shared" si="1"/>
        <v>186.14</v>
      </c>
      <c r="W105" s="154">
        <f t="shared" si="2"/>
        <v>0.6204666666666667</v>
      </c>
      <c r="X105" s="155"/>
      <c r="Y105" s="146"/>
      <c r="Z105" s="146"/>
      <c r="AA105" s="148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56"/>
      <c r="AL105" s="156"/>
      <c r="AM105" s="156"/>
      <c r="AN105" s="153"/>
      <c r="AO105" s="154" t="e">
        <f t="shared" si="4"/>
        <v>#DIV/0!</v>
      </c>
      <c r="AP105" s="154" t="e">
        <f t="shared" si="5"/>
        <v>#DIV/0!</v>
      </c>
      <c r="AQ105" s="145"/>
      <c r="AR105" s="146"/>
      <c r="AS105" s="146"/>
      <c r="AT105" s="148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56"/>
      <c r="BE105" s="156"/>
      <c r="BF105" s="156"/>
      <c r="BG105" s="153"/>
      <c r="BH105" s="154" t="e">
        <f t="shared" si="28"/>
        <v>#DIV/0!</v>
      </c>
      <c r="BI105" s="154" t="e">
        <f t="shared" si="29"/>
        <v>#DIV/0!</v>
      </c>
      <c r="BJ105" s="415">
        <f t="shared" si="24"/>
        <v>50</v>
      </c>
      <c r="BK105" s="415">
        <f t="shared" si="25"/>
        <v>15</v>
      </c>
      <c r="BL105" s="415">
        <f t="shared" si="26"/>
        <v>15</v>
      </c>
      <c r="BM105" s="415">
        <f t="shared" si="27"/>
        <v>9.307</v>
      </c>
    </row>
    <row r="106" spans="1:65" s="129" customFormat="1" ht="18.75" outlineLevel="1">
      <c r="A106" s="141" t="s">
        <v>387</v>
      </c>
      <c r="B106" s="173" t="s">
        <v>388</v>
      </c>
      <c r="C106" s="143" t="s">
        <v>389</v>
      </c>
      <c r="D106" s="144">
        <v>0.4</v>
      </c>
      <c r="E106" s="161"/>
      <c r="F106" s="161"/>
      <c r="G106" s="161"/>
      <c r="H106" s="181"/>
      <c r="I106" s="154"/>
      <c r="J106" s="154"/>
      <c r="K106" s="154"/>
      <c r="L106" s="154"/>
      <c r="M106" s="149"/>
      <c r="N106" s="149"/>
      <c r="O106" s="154"/>
      <c r="P106" s="154"/>
      <c r="Q106" s="154"/>
      <c r="R106" s="156"/>
      <c r="S106" s="156"/>
      <c r="T106" s="152"/>
      <c r="U106" s="153"/>
      <c r="V106" s="154" t="e">
        <f t="shared" si="1"/>
        <v>#DIV/0!</v>
      </c>
      <c r="W106" s="154" t="e">
        <f t="shared" si="2"/>
        <v>#DIV/0!</v>
      </c>
      <c r="X106" s="163">
        <v>43</v>
      </c>
      <c r="Y106" s="161">
        <v>5</v>
      </c>
      <c r="Z106" s="161">
        <v>5</v>
      </c>
      <c r="AA106" s="181">
        <v>20.56201</v>
      </c>
      <c r="AB106" s="154">
        <v>15.29832</v>
      </c>
      <c r="AC106" s="154">
        <v>4.46512</v>
      </c>
      <c r="AD106" s="154">
        <v>8.7039</v>
      </c>
      <c r="AE106" s="154">
        <v>2.65617</v>
      </c>
      <c r="AF106" s="149">
        <v>0</v>
      </c>
      <c r="AG106" s="149">
        <v>0</v>
      </c>
      <c r="AH106" s="154">
        <v>1.15759</v>
      </c>
      <c r="AI106" s="154">
        <v>103.84</v>
      </c>
      <c r="AJ106" s="154">
        <v>8.7039</v>
      </c>
      <c r="AK106" s="150" t="s">
        <v>119</v>
      </c>
      <c r="AL106" s="151" t="s">
        <v>120</v>
      </c>
      <c r="AM106" s="156"/>
      <c r="AN106" s="153">
        <v>2</v>
      </c>
      <c r="AO106" s="154">
        <f t="shared" si="4"/>
        <v>478.18627906976747</v>
      </c>
      <c r="AP106" s="154">
        <f t="shared" si="5"/>
        <v>4.112402</v>
      </c>
      <c r="AQ106" s="161"/>
      <c r="AR106" s="161"/>
      <c r="AS106" s="161"/>
      <c r="AT106" s="181"/>
      <c r="AU106" s="154"/>
      <c r="AV106" s="154"/>
      <c r="AW106" s="154"/>
      <c r="AX106" s="154"/>
      <c r="AY106" s="149"/>
      <c r="AZ106" s="149"/>
      <c r="BA106" s="154"/>
      <c r="BB106" s="154"/>
      <c r="BC106" s="154"/>
      <c r="BD106" s="156"/>
      <c r="BE106" s="156"/>
      <c r="BF106" s="156"/>
      <c r="BG106" s="153"/>
      <c r="BH106" s="154" t="e">
        <f t="shared" si="28"/>
        <v>#DIV/0!</v>
      </c>
      <c r="BI106" s="154" t="e">
        <f t="shared" si="29"/>
        <v>#DIV/0!</v>
      </c>
      <c r="BJ106" s="415">
        <f t="shared" si="24"/>
        <v>43</v>
      </c>
      <c r="BK106" s="415">
        <f t="shared" si="25"/>
        <v>5</v>
      </c>
      <c r="BL106" s="415">
        <f t="shared" si="26"/>
        <v>5</v>
      </c>
      <c r="BM106" s="415">
        <f t="shared" si="27"/>
        <v>20.56201</v>
      </c>
    </row>
    <row r="107" spans="1:65" s="129" customFormat="1" ht="18.75" outlineLevel="1">
      <c r="A107" s="141" t="s">
        <v>390</v>
      </c>
      <c r="B107" s="173" t="s">
        <v>391</v>
      </c>
      <c r="C107" s="143" t="s">
        <v>392</v>
      </c>
      <c r="D107" s="144">
        <v>0.4</v>
      </c>
      <c r="E107" s="161"/>
      <c r="F107" s="161"/>
      <c r="G107" s="161"/>
      <c r="H107" s="162"/>
      <c r="I107" s="149"/>
      <c r="J107" s="149"/>
      <c r="K107" s="149"/>
      <c r="L107" s="149"/>
      <c r="M107" s="149"/>
      <c r="N107" s="149"/>
      <c r="O107" s="149"/>
      <c r="P107" s="149"/>
      <c r="Q107" s="149"/>
      <c r="R107" s="156"/>
      <c r="S107" s="156"/>
      <c r="T107" s="152"/>
      <c r="U107" s="153"/>
      <c r="V107" s="154" t="e">
        <f t="shared" si="1"/>
        <v>#DIV/0!</v>
      </c>
      <c r="W107" s="154" t="e">
        <f t="shared" si="2"/>
        <v>#DIV/0!</v>
      </c>
      <c r="X107" s="163">
        <v>324</v>
      </c>
      <c r="Y107" s="161">
        <v>15</v>
      </c>
      <c r="Z107" s="161">
        <v>15</v>
      </c>
      <c r="AA107" s="162">
        <v>126.81692</v>
      </c>
      <c r="AB107" s="149">
        <v>91.9036</v>
      </c>
      <c r="AC107" s="149">
        <v>33.64416</v>
      </c>
      <c r="AD107" s="149">
        <f>8.74825+34.993</f>
        <v>43.74125</v>
      </c>
      <c r="AE107" s="149">
        <v>16.79418</v>
      </c>
      <c r="AF107" s="149">
        <v>0</v>
      </c>
      <c r="AG107" s="149">
        <v>0</v>
      </c>
      <c r="AH107" s="149">
        <v>8.01756</v>
      </c>
      <c r="AI107" s="149">
        <v>103.84</v>
      </c>
      <c r="AJ107" s="149">
        <v>8.74825</v>
      </c>
      <c r="AK107" s="150" t="s">
        <v>119</v>
      </c>
      <c r="AL107" s="151" t="s">
        <v>120</v>
      </c>
      <c r="AM107" s="156"/>
      <c r="AN107" s="153">
        <v>29</v>
      </c>
      <c r="AO107" s="154">
        <f t="shared" si="4"/>
        <v>391.41024691358024</v>
      </c>
      <c r="AP107" s="154">
        <f t="shared" si="5"/>
        <v>8.454461333333333</v>
      </c>
      <c r="AQ107" s="161"/>
      <c r="AR107" s="161"/>
      <c r="AS107" s="161"/>
      <c r="AT107" s="162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56"/>
      <c r="BE107" s="156"/>
      <c r="BF107" s="156"/>
      <c r="BG107" s="153"/>
      <c r="BH107" s="154" t="e">
        <f t="shared" si="28"/>
        <v>#DIV/0!</v>
      </c>
      <c r="BI107" s="154" t="e">
        <f t="shared" si="29"/>
        <v>#DIV/0!</v>
      </c>
      <c r="BJ107" s="415">
        <f t="shared" si="24"/>
        <v>324</v>
      </c>
      <c r="BK107" s="415">
        <f t="shared" si="25"/>
        <v>15</v>
      </c>
      <c r="BL107" s="415">
        <f t="shared" si="26"/>
        <v>15</v>
      </c>
      <c r="BM107" s="415">
        <f t="shared" si="27"/>
        <v>126.81692</v>
      </c>
    </row>
    <row r="108" spans="1:65" s="129" customFormat="1" ht="18.75" outlineLevel="1">
      <c r="A108" s="141" t="s">
        <v>393</v>
      </c>
      <c r="B108" s="173" t="s">
        <v>394</v>
      </c>
      <c r="C108" s="143" t="s">
        <v>395</v>
      </c>
      <c r="D108" s="144">
        <v>0.4</v>
      </c>
      <c r="E108" s="161"/>
      <c r="F108" s="161"/>
      <c r="G108" s="161"/>
      <c r="H108" s="162"/>
      <c r="I108" s="149"/>
      <c r="J108" s="149"/>
      <c r="K108" s="149"/>
      <c r="L108" s="149"/>
      <c r="M108" s="149"/>
      <c r="N108" s="149"/>
      <c r="O108" s="149"/>
      <c r="P108" s="149"/>
      <c r="Q108" s="149"/>
      <c r="R108" s="156"/>
      <c r="S108" s="156"/>
      <c r="T108" s="152"/>
      <c r="U108" s="153"/>
      <c r="V108" s="154" t="e">
        <f t="shared" si="1"/>
        <v>#DIV/0!</v>
      </c>
      <c r="W108" s="154" t="e">
        <f t="shared" si="2"/>
        <v>#DIV/0!</v>
      </c>
      <c r="X108" s="163">
        <v>250</v>
      </c>
      <c r="Y108" s="161">
        <v>15</v>
      </c>
      <c r="Z108" s="161">
        <v>15</v>
      </c>
      <c r="AA108" s="162">
        <v>84.82551</v>
      </c>
      <c r="AB108" s="149">
        <v>61.68387</v>
      </c>
      <c r="AC108" s="149">
        <v>25.96</v>
      </c>
      <c r="AD108" s="149">
        <v>29.86272</v>
      </c>
      <c r="AE108" s="149">
        <v>10.90946</v>
      </c>
      <c r="AF108" s="149">
        <v>0</v>
      </c>
      <c r="AG108" s="149">
        <v>0</v>
      </c>
      <c r="AH108" s="149">
        <v>5.43027</v>
      </c>
      <c r="AI108" s="149">
        <v>103.84</v>
      </c>
      <c r="AJ108" s="149">
        <v>9.95424</v>
      </c>
      <c r="AK108" s="150" t="s">
        <v>119</v>
      </c>
      <c r="AL108" s="151" t="s">
        <v>120</v>
      </c>
      <c r="AM108" s="156"/>
      <c r="AN108" s="153">
        <v>62</v>
      </c>
      <c r="AO108" s="154">
        <f t="shared" si="4"/>
        <v>339.30204</v>
      </c>
      <c r="AP108" s="154">
        <f t="shared" si="5"/>
        <v>5.655034</v>
      </c>
      <c r="AQ108" s="161"/>
      <c r="AR108" s="161"/>
      <c r="AS108" s="161"/>
      <c r="AT108" s="162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56"/>
      <c r="BE108" s="156"/>
      <c r="BF108" s="156"/>
      <c r="BG108" s="153"/>
      <c r="BH108" s="154" t="e">
        <f t="shared" si="28"/>
        <v>#DIV/0!</v>
      </c>
      <c r="BI108" s="154" t="e">
        <f t="shared" si="29"/>
        <v>#DIV/0!</v>
      </c>
      <c r="BJ108" s="415">
        <f t="shared" si="24"/>
        <v>250</v>
      </c>
      <c r="BK108" s="415">
        <f t="shared" si="25"/>
        <v>15</v>
      </c>
      <c r="BL108" s="415">
        <f t="shared" si="26"/>
        <v>15</v>
      </c>
      <c r="BM108" s="415">
        <f t="shared" si="27"/>
        <v>84.82551</v>
      </c>
    </row>
    <row r="109" spans="1:65" s="129" customFormat="1" ht="18.75" outlineLevel="1">
      <c r="A109" s="141" t="s">
        <v>396</v>
      </c>
      <c r="B109" s="173" t="s">
        <v>397</v>
      </c>
      <c r="C109" s="143" t="s">
        <v>398</v>
      </c>
      <c r="D109" s="144">
        <v>0.4</v>
      </c>
      <c r="E109" s="161"/>
      <c r="F109" s="161"/>
      <c r="G109" s="161"/>
      <c r="H109" s="162"/>
      <c r="I109" s="149"/>
      <c r="J109" s="149"/>
      <c r="K109" s="149"/>
      <c r="L109" s="149"/>
      <c r="M109" s="149"/>
      <c r="N109" s="149"/>
      <c r="O109" s="149"/>
      <c r="P109" s="149"/>
      <c r="Q109" s="149"/>
      <c r="R109" s="156"/>
      <c r="S109" s="156"/>
      <c r="T109" s="152"/>
      <c r="U109" s="153"/>
      <c r="V109" s="154" t="e">
        <f t="shared" si="1"/>
        <v>#DIV/0!</v>
      </c>
      <c r="W109" s="154" t="e">
        <f t="shared" si="2"/>
        <v>#DIV/0!</v>
      </c>
      <c r="X109" s="163">
        <v>110</v>
      </c>
      <c r="Y109" s="161">
        <v>15</v>
      </c>
      <c r="Z109" s="161">
        <v>15</v>
      </c>
      <c r="AA109" s="162">
        <v>57.244</v>
      </c>
      <c r="AB109" s="149">
        <v>40.52019</v>
      </c>
      <c r="AC109" s="149">
        <v>11.4224</v>
      </c>
      <c r="AD109" s="149">
        <f>8.75193+17.50386</f>
        <v>26.255789999999998</v>
      </c>
      <c r="AE109" s="149">
        <v>8.09074</v>
      </c>
      <c r="AF109" s="149">
        <v>0</v>
      </c>
      <c r="AG109" s="149">
        <v>0</v>
      </c>
      <c r="AH109" s="149">
        <v>3.77465</v>
      </c>
      <c r="AI109" s="149">
        <v>103.84</v>
      </c>
      <c r="AJ109" s="149">
        <v>8.75193</v>
      </c>
      <c r="AK109" s="150" t="s">
        <v>119</v>
      </c>
      <c r="AL109" s="151" t="s">
        <v>120</v>
      </c>
      <c r="AM109" s="156"/>
      <c r="AN109" s="153">
        <v>69</v>
      </c>
      <c r="AO109" s="154">
        <f t="shared" si="4"/>
        <v>520.4</v>
      </c>
      <c r="AP109" s="154">
        <f t="shared" si="5"/>
        <v>3.8162666666666665</v>
      </c>
      <c r="AQ109" s="161"/>
      <c r="AR109" s="161"/>
      <c r="AS109" s="161"/>
      <c r="AT109" s="162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56"/>
      <c r="BE109" s="156"/>
      <c r="BF109" s="156"/>
      <c r="BG109" s="153"/>
      <c r="BH109" s="154" t="e">
        <f t="shared" si="28"/>
        <v>#DIV/0!</v>
      </c>
      <c r="BI109" s="154" t="e">
        <f t="shared" si="29"/>
        <v>#DIV/0!</v>
      </c>
      <c r="BJ109" s="415">
        <f t="shared" si="24"/>
        <v>110</v>
      </c>
      <c r="BK109" s="415">
        <f t="shared" si="25"/>
        <v>15</v>
      </c>
      <c r="BL109" s="415">
        <f t="shared" si="26"/>
        <v>15</v>
      </c>
      <c r="BM109" s="415">
        <f t="shared" si="27"/>
        <v>57.244</v>
      </c>
    </row>
    <row r="110" spans="1:65" s="129" customFormat="1" ht="18.75" outlineLevel="1">
      <c r="A110" s="141" t="s">
        <v>399</v>
      </c>
      <c r="B110" s="173" t="s">
        <v>400</v>
      </c>
      <c r="C110" s="143" t="s">
        <v>401</v>
      </c>
      <c r="D110" s="144">
        <v>0.4</v>
      </c>
      <c r="E110" s="161"/>
      <c r="F110" s="161"/>
      <c r="G110" s="161"/>
      <c r="H110" s="162"/>
      <c r="I110" s="149"/>
      <c r="J110" s="149"/>
      <c r="K110" s="149"/>
      <c r="L110" s="149"/>
      <c r="M110" s="149"/>
      <c r="N110" s="149"/>
      <c r="O110" s="149"/>
      <c r="P110" s="149"/>
      <c r="Q110" s="149"/>
      <c r="R110" s="156"/>
      <c r="S110" s="156"/>
      <c r="T110" s="152"/>
      <c r="U110" s="153"/>
      <c r="V110" s="154" t="e">
        <f t="shared" si="1"/>
        <v>#DIV/0!</v>
      </c>
      <c r="W110" s="154" t="e">
        <f t="shared" si="2"/>
        <v>#DIV/0!</v>
      </c>
      <c r="X110" s="163">
        <v>70</v>
      </c>
      <c r="Y110" s="161">
        <v>15</v>
      </c>
      <c r="Z110" s="161">
        <v>15</v>
      </c>
      <c r="AA110" s="162">
        <v>77.14763</v>
      </c>
      <c r="AB110" s="149">
        <v>56.39159</v>
      </c>
      <c r="AC110" s="149">
        <v>7.2688</v>
      </c>
      <c r="AD110" s="149">
        <f>8.7039+34.8156</f>
        <v>43.51950000000001</v>
      </c>
      <c r="AE110" s="149">
        <v>10.85081</v>
      </c>
      <c r="AF110" s="149">
        <v>0</v>
      </c>
      <c r="AG110" s="149">
        <v>0</v>
      </c>
      <c r="AH110" s="149">
        <v>4.34414</v>
      </c>
      <c r="AI110" s="149">
        <v>103.84</v>
      </c>
      <c r="AJ110" s="149">
        <v>8.7039</v>
      </c>
      <c r="AK110" s="150" t="s">
        <v>119</v>
      </c>
      <c r="AL110" s="151" t="s">
        <v>120</v>
      </c>
      <c r="AM110" s="156"/>
      <c r="AN110" s="153">
        <v>96</v>
      </c>
      <c r="AO110" s="154">
        <f t="shared" si="4"/>
        <v>1102.109</v>
      </c>
      <c r="AP110" s="154">
        <f t="shared" si="5"/>
        <v>5.143175333333334</v>
      </c>
      <c r="AQ110" s="161"/>
      <c r="AR110" s="161"/>
      <c r="AS110" s="161"/>
      <c r="AT110" s="162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56"/>
      <c r="BE110" s="156"/>
      <c r="BF110" s="156"/>
      <c r="BG110" s="153"/>
      <c r="BH110" s="154" t="e">
        <f t="shared" si="28"/>
        <v>#DIV/0!</v>
      </c>
      <c r="BI110" s="154" t="e">
        <f t="shared" si="29"/>
        <v>#DIV/0!</v>
      </c>
      <c r="BJ110" s="415">
        <f t="shared" si="24"/>
        <v>70</v>
      </c>
      <c r="BK110" s="415">
        <f t="shared" si="25"/>
        <v>15</v>
      </c>
      <c r="BL110" s="415">
        <f t="shared" si="26"/>
        <v>15</v>
      </c>
      <c r="BM110" s="415">
        <f t="shared" si="27"/>
        <v>77.14763</v>
      </c>
    </row>
    <row r="111" spans="1:65" s="129" customFormat="1" ht="18.75" outlineLevel="1">
      <c r="A111" s="141" t="s">
        <v>402</v>
      </c>
      <c r="B111" s="173" t="s">
        <v>403</v>
      </c>
      <c r="C111" s="143" t="s">
        <v>404</v>
      </c>
      <c r="D111" s="144">
        <v>0.4</v>
      </c>
      <c r="E111" s="161"/>
      <c r="F111" s="161"/>
      <c r="G111" s="161"/>
      <c r="H111" s="162"/>
      <c r="I111" s="149"/>
      <c r="J111" s="149"/>
      <c r="K111" s="149"/>
      <c r="L111" s="149"/>
      <c r="M111" s="149"/>
      <c r="N111" s="149"/>
      <c r="O111" s="149"/>
      <c r="P111" s="149"/>
      <c r="Q111" s="149"/>
      <c r="R111" s="156"/>
      <c r="S111" s="156"/>
      <c r="T111" s="152"/>
      <c r="U111" s="153"/>
      <c r="V111" s="154" t="e">
        <f t="shared" si="1"/>
        <v>#DIV/0!</v>
      </c>
      <c r="W111" s="154" t="e">
        <f t="shared" si="2"/>
        <v>#DIV/0!</v>
      </c>
      <c r="X111" s="163">
        <v>150</v>
      </c>
      <c r="Y111" s="161">
        <v>15</v>
      </c>
      <c r="Z111" s="161">
        <v>15</v>
      </c>
      <c r="AA111" s="162">
        <v>67.62368</v>
      </c>
      <c r="AB111" s="149">
        <v>48.74465</v>
      </c>
      <c r="AC111" s="149">
        <v>15.576</v>
      </c>
      <c r="AD111" s="149">
        <f>9.95424+19.90848</f>
        <v>29.862720000000003</v>
      </c>
      <c r="AE111" s="149">
        <v>9.14829</v>
      </c>
      <c r="AF111" s="149">
        <v>0</v>
      </c>
      <c r="AG111" s="149">
        <v>0</v>
      </c>
      <c r="AH111" s="149">
        <v>4.30603</v>
      </c>
      <c r="AI111" s="149">
        <v>103.84</v>
      </c>
      <c r="AJ111" s="149">
        <v>9.95424</v>
      </c>
      <c r="AK111" s="150" t="s">
        <v>119</v>
      </c>
      <c r="AL111" s="151" t="s">
        <v>120</v>
      </c>
      <c r="AM111" s="156"/>
      <c r="AN111" s="153">
        <v>99</v>
      </c>
      <c r="AO111" s="154">
        <f t="shared" si="4"/>
        <v>450.82453333333325</v>
      </c>
      <c r="AP111" s="154">
        <f t="shared" si="5"/>
        <v>4.508245333333333</v>
      </c>
      <c r="AQ111" s="161"/>
      <c r="AR111" s="161"/>
      <c r="AS111" s="161"/>
      <c r="AT111" s="162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56"/>
      <c r="BE111" s="156"/>
      <c r="BF111" s="156"/>
      <c r="BG111" s="153"/>
      <c r="BH111" s="154" t="e">
        <f t="shared" si="28"/>
        <v>#DIV/0!</v>
      </c>
      <c r="BI111" s="154" t="e">
        <f t="shared" si="29"/>
        <v>#DIV/0!</v>
      </c>
      <c r="BJ111" s="415">
        <f t="shared" si="24"/>
        <v>150</v>
      </c>
      <c r="BK111" s="415">
        <f t="shared" si="25"/>
        <v>15</v>
      </c>
      <c r="BL111" s="415">
        <f t="shared" si="26"/>
        <v>15</v>
      </c>
      <c r="BM111" s="415">
        <f t="shared" si="27"/>
        <v>67.62368</v>
      </c>
    </row>
    <row r="112" spans="1:65" s="129" customFormat="1" ht="18.75" outlineLevel="1">
      <c r="A112" s="141" t="s">
        <v>405</v>
      </c>
      <c r="B112" s="173" t="s">
        <v>406</v>
      </c>
      <c r="C112" s="143" t="s">
        <v>407</v>
      </c>
      <c r="D112" s="144">
        <v>0.4</v>
      </c>
      <c r="E112" s="161"/>
      <c r="F112" s="161"/>
      <c r="G112" s="161"/>
      <c r="H112" s="162"/>
      <c r="I112" s="149"/>
      <c r="J112" s="149"/>
      <c r="K112" s="149"/>
      <c r="L112" s="149"/>
      <c r="M112" s="149"/>
      <c r="N112" s="149"/>
      <c r="O112" s="149"/>
      <c r="P112" s="149"/>
      <c r="Q112" s="149"/>
      <c r="R112" s="156"/>
      <c r="S112" s="156"/>
      <c r="T112" s="152"/>
      <c r="U112" s="153"/>
      <c r="V112" s="154" t="e">
        <f t="shared" si="1"/>
        <v>#DIV/0!</v>
      </c>
      <c r="W112" s="154" t="e">
        <f t="shared" si="2"/>
        <v>#DIV/0!</v>
      </c>
      <c r="X112" s="163">
        <v>170</v>
      </c>
      <c r="Y112" s="161">
        <v>20</v>
      </c>
      <c r="Z112" s="161">
        <v>20</v>
      </c>
      <c r="AA112" s="162">
        <v>143.79804</v>
      </c>
      <c r="AB112" s="149">
        <v>104.45344</v>
      </c>
      <c r="AC112" s="149">
        <v>17.6528</v>
      </c>
      <c r="AD112" s="149">
        <f>29.18619+19.45746+29.18619</f>
        <v>77.82984</v>
      </c>
      <c r="AE112" s="149">
        <v>19.38201</v>
      </c>
      <c r="AF112" s="149">
        <v>0</v>
      </c>
      <c r="AG112" s="149">
        <v>0</v>
      </c>
      <c r="AH112" s="149">
        <v>8.72138</v>
      </c>
      <c r="AI112" s="149">
        <v>103.84</v>
      </c>
      <c r="AJ112" s="149">
        <v>9.72873</v>
      </c>
      <c r="AK112" s="150" t="s">
        <v>119</v>
      </c>
      <c r="AL112" s="151" t="s">
        <v>120</v>
      </c>
      <c r="AM112" s="156"/>
      <c r="AN112" s="153">
        <v>111</v>
      </c>
      <c r="AO112" s="154">
        <f t="shared" si="4"/>
        <v>845.8708235294117</v>
      </c>
      <c r="AP112" s="154">
        <f t="shared" si="5"/>
        <v>7.189901999999999</v>
      </c>
      <c r="AQ112" s="161"/>
      <c r="AR112" s="161"/>
      <c r="AS112" s="161"/>
      <c r="AT112" s="162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56"/>
      <c r="BE112" s="156"/>
      <c r="BF112" s="156"/>
      <c r="BG112" s="153"/>
      <c r="BH112" s="154" t="e">
        <f t="shared" si="28"/>
        <v>#DIV/0!</v>
      </c>
      <c r="BI112" s="154" t="e">
        <f t="shared" si="29"/>
        <v>#DIV/0!</v>
      </c>
      <c r="BJ112" s="415">
        <f t="shared" si="24"/>
        <v>170</v>
      </c>
      <c r="BK112" s="415">
        <f t="shared" si="25"/>
        <v>20</v>
      </c>
      <c r="BL112" s="415">
        <f t="shared" si="26"/>
        <v>20</v>
      </c>
      <c r="BM112" s="415">
        <f t="shared" si="27"/>
        <v>143.79804</v>
      </c>
    </row>
    <row r="113" spans="1:65" s="129" customFormat="1" ht="18.75" outlineLevel="1">
      <c r="A113" s="141" t="s">
        <v>408</v>
      </c>
      <c r="B113" s="173" t="s">
        <v>409</v>
      </c>
      <c r="C113" s="143" t="s">
        <v>410</v>
      </c>
      <c r="D113" s="144">
        <v>0.4</v>
      </c>
      <c r="E113" s="161"/>
      <c r="F113" s="161"/>
      <c r="G113" s="161"/>
      <c r="H113" s="162"/>
      <c r="I113" s="149"/>
      <c r="J113" s="149"/>
      <c r="K113" s="149"/>
      <c r="L113" s="149"/>
      <c r="M113" s="149"/>
      <c r="N113" s="149"/>
      <c r="O113" s="149"/>
      <c r="P113" s="149"/>
      <c r="Q113" s="149"/>
      <c r="R113" s="156"/>
      <c r="S113" s="156"/>
      <c r="T113" s="152"/>
      <c r="U113" s="153"/>
      <c r="V113" s="154" t="e">
        <f t="shared" si="1"/>
        <v>#DIV/0!</v>
      </c>
      <c r="W113" s="154" t="e">
        <f t="shared" si="2"/>
        <v>#DIV/0!</v>
      </c>
      <c r="X113" s="163">
        <v>183</v>
      </c>
      <c r="Y113" s="161">
        <v>20</v>
      </c>
      <c r="Z113" s="161">
        <v>20</v>
      </c>
      <c r="AA113" s="162">
        <v>46.27063</v>
      </c>
      <c r="AB113" s="149">
        <v>33.52425</v>
      </c>
      <c r="AC113" s="149">
        <v>19.00272</v>
      </c>
      <c r="AD113" s="149">
        <v>9.33328</v>
      </c>
      <c r="AE113" s="149">
        <v>6.03264</v>
      </c>
      <c r="AF113" s="149">
        <v>0</v>
      </c>
      <c r="AG113" s="149">
        <v>0</v>
      </c>
      <c r="AH113" s="149">
        <v>3.03551</v>
      </c>
      <c r="AI113" s="149">
        <v>103.84</v>
      </c>
      <c r="AJ113" s="149">
        <v>9.33328</v>
      </c>
      <c r="AK113" s="150" t="s">
        <v>119</v>
      </c>
      <c r="AL113" s="151" t="s">
        <v>120</v>
      </c>
      <c r="AM113" s="156"/>
      <c r="AN113" s="153">
        <v>132</v>
      </c>
      <c r="AO113" s="154">
        <f t="shared" si="4"/>
        <v>252.8449726775956</v>
      </c>
      <c r="AP113" s="154">
        <f t="shared" si="5"/>
        <v>2.3135315</v>
      </c>
      <c r="AQ113" s="161"/>
      <c r="AR113" s="161"/>
      <c r="AS113" s="161"/>
      <c r="AT113" s="162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56"/>
      <c r="BE113" s="156"/>
      <c r="BF113" s="156"/>
      <c r="BG113" s="153"/>
      <c r="BH113" s="154" t="e">
        <f t="shared" si="28"/>
        <v>#DIV/0!</v>
      </c>
      <c r="BI113" s="154" t="e">
        <f t="shared" si="29"/>
        <v>#DIV/0!</v>
      </c>
      <c r="BJ113" s="415">
        <f t="shared" si="24"/>
        <v>183</v>
      </c>
      <c r="BK113" s="415">
        <f t="shared" si="25"/>
        <v>20</v>
      </c>
      <c r="BL113" s="415">
        <f t="shared" si="26"/>
        <v>20</v>
      </c>
      <c r="BM113" s="415">
        <f t="shared" si="27"/>
        <v>46.27063</v>
      </c>
    </row>
    <row r="114" spans="1:65" s="129" customFormat="1" ht="18.75" outlineLevel="1">
      <c r="A114" s="141" t="s">
        <v>411</v>
      </c>
      <c r="B114" s="173" t="s">
        <v>412</v>
      </c>
      <c r="C114" s="143" t="s">
        <v>413</v>
      </c>
      <c r="D114" s="144">
        <v>0.4</v>
      </c>
      <c r="E114" s="145"/>
      <c r="F114" s="146"/>
      <c r="G114" s="146"/>
      <c r="H114" s="162"/>
      <c r="I114" s="149"/>
      <c r="J114" s="149"/>
      <c r="K114" s="149"/>
      <c r="L114" s="149"/>
      <c r="M114" s="149"/>
      <c r="N114" s="149"/>
      <c r="O114" s="149"/>
      <c r="P114" s="149"/>
      <c r="Q114" s="149"/>
      <c r="R114" s="156"/>
      <c r="S114" s="156"/>
      <c r="T114" s="152"/>
      <c r="U114" s="153"/>
      <c r="V114" s="154" t="e">
        <f t="shared" si="1"/>
        <v>#DIV/0!</v>
      </c>
      <c r="W114" s="154" t="e">
        <f t="shared" si="2"/>
        <v>#DIV/0!</v>
      </c>
      <c r="X114" s="155">
        <v>140</v>
      </c>
      <c r="Y114" s="146">
        <v>15</v>
      </c>
      <c r="Z114" s="146">
        <v>15</v>
      </c>
      <c r="AA114" s="162">
        <v>87.78464</v>
      </c>
      <c r="AB114" s="149">
        <v>64.37672</v>
      </c>
      <c r="AC114" s="149">
        <v>14.5376</v>
      </c>
      <c r="AD114" s="149">
        <f>26.25579+17.50386</f>
        <v>43.75965</v>
      </c>
      <c r="AE114" s="149">
        <v>12.03022</v>
      </c>
      <c r="AF114" s="149">
        <v>0</v>
      </c>
      <c r="AG114" s="149">
        <v>0</v>
      </c>
      <c r="AH114" s="149">
        <v>5.00258</v>
      </c>
      <c r="AI114" s="149">
        <v>103.84</v>
      </c>
      <c r="AJ114" s="149">
        <v>8.75193</v>
      </c>
      <c r="AK114" s="150" t="s">
        <v>119</v>
      </c>
      <c r="AL114" s="151" t="s">
        <v>120</v>
      </c>
      <c r="AM114" s="156"/>
      <c r="AN114" s="153">
        <v>167</v>
      </c>
      <c r="AO114" s="154">
        <f t="shared" si="4"/>
        <v>627.0331428571428</v>
      </c>
      <c r="AP114" s="154">
        <f t="shared" si="5"/>
        <v>5.852309333333333</v>
      </c>
      <c r="AQ114" s="145"/>
      <c r="AR114" s="146"/>
      <c r="AS114" s="146"/>
      <c r="AT114" s="162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56"/>
      <c r="BE114" s="156"/>
      <c r="BF114" s="156"/>
      <c r="BG114" s="153"/>
      <c r="BH114" s="154" t="e">
        <f t="shared" si="28"/>
        <v>#DIV/0!</v>
      </c>
      <c r="BI114" s="154" t="e">
        <f t="shared" si="29"/>
        <v>#DIV/0!</v>
      </c>
      <c r="BJ114" s="415">
        <f t="shared" si="24"/>
        <v>140</v>
      </c>
      <c r="BK114" s="415">
        <f t="shared" si="25"/>
        <v>15</v>
      </c>
      <c r="BL114" s="415">
        <f t="shared" si="26"/>
        <v>15</v>
      </c>
      <c r="BM114" s="415">
        <f t="shared" si="27"/>
        <v>87.78464</v>
      </c>
    </row>
    <row r="115" spans="1:65" s="129" customFormat="1" ht="18.75" outlineLevel="1">
      <c r="A115" s="141" t="s">
        <v>414</v>
      </c>
      <c r="B115" s="173" t="s">
        <v>415</v>
      </c>
      <c r="C115" s="143" t="s">
        <v>416</v>
      </c>
      <c r="D115" s="144">
        <v>0.4</v>
      </c>
      <c r="E115" s="161"/>
      <c r="F115" s="161"/>
      <c r="G115" s="161"/>
      <c r="H115" s="162"/>
      <c r="I115" s="149"/>
      <c r="J115" s="149"/>
      <c r="K115" s="149"/>
      <c r="L115" s="149"/>
      <c r="M115" s="149"/>
      <c r="N115" s="149"/>
      <c r="O115" s="149"/>
      <c r="P115" s="149"/>
      <c r="Q115" s="149"/>
      <c r="R115" s="156"/>
      <c r="S115" s="156"/>
      <c r="T115" s="152"/>
      <c r="U115" s="153"/>
      <c r="V115" s="154" t="e">
        <f t="shared" si="1"/>
        <v>#DIV/0!</v>
      </c>
      <c r="W115" s="154" t="e">
        <f t="shared" si="2"/>
        <v>#DIV/0!</v>
      </c>
      <c r="X115" s="163">
        <v>220</v>
      </c>
      <c r="Y115" s="161">
        <v>15</v>
      </c>
      <c r="Z115" s="161">
        <v>15</v>
      </c>
      <c r="AA115" s="162">
        <v>157.78385</v>
      </c>
      <c r="AB115" s="149">
        <v>100.31593</v>
      </c>
      <c r="AC115" s="149">
        <v>22.8448</v>
      </c>
      <c r="AD115" s="149">
        <f>29.86272+39.81696</f>
        <v>69.67968</v>
      </c>
      <c r="AE115" s="149">
        <v>28.41834</v>
      </c>
      <c r="AF115" s="149">
        <v>0</v>
      </c>
      <c r="AG115" s="149">
        <v>0</v>
      </c>
      <c r="AH115" s="149">
        <v>12.67325</v>
      </c>
      <c r="AI115" s="149">
        <v>103.84</v>
      </c>
      <c r="AJ115" s="149">
        <v>9.95424</v>
      </c>
      <c r="AK115" s="150" t="s">
        <v>119</v>
      </c>
      <c r="AL115" s="151" t="s">
        <v>120</v>
      </c>
      <c r="AM115" s="156"/>
      <c r="AN115" s="153">
        <v>209</v>
      </c>
      <c r="AO115" s="154">
        <f t="shared" si="4"/>
        <v>717.1993181818182</v>
      </c>
      <c r="AP115" s="154">
        <f t="shared" si="5"/>
        <v>10.518923333333333</v>
      </c>
      <c r="AQ115" s="161"/>
      <c r="AR115" s="161"/>
      <c r="AS115" s="161"/>
      <c r="AT115" s="162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56"/>
      <c r="BE115" s="156"/>
      <c r="BF115" s="156"/>
      <c r="BG115" s="153"/>
      <c r="BH115" s="154" t="e">
        <f t="shared" si="28"/>
        <v>#DIV/0!</v>
      </c>
      <c r="BI115" s="154" t="e">
        <f t="shared" si="29"/>
        <v>#DIV/0!</v>
      </c>
      <c r="BJ115" s="415">
        <f t="shared" si="24"/>
        <v>220</v>
      </c>
      <c r="BK115" s="415">
        <f t="shared" si="25"/>
        <v>15</v>
      </c>
      <c r="BL115" s="415">
        <f t="shared" si="26"/>
        <v>15</v>
      </c>
      <c r="BM115" s="415">
        <f t="shared" si="27"/>
        <v>157.78385</v>
      </c>
    </row>
    <row r="116" spans="1:65" s="129" customFormat="1" ht="18.75" outlineLevel="1">
      <c r="A116" s="141" t="s">
        <v>417</v>
      </c>
      <c r="B116" s="173" t="s">
        <v>418</v>
      </c>
      <c r="C116" s="143" t="s">
        <v>419</v>
      </c>
      <c r="D116" s="144">
        <v>0.4</v>
      </c>
      <c r="E116" s="161"/>
      <c r="F116" s="161"/>
      <c r="G116" s="161"/>
      <c r="H116" s="162"/>
      <c r="I116" s="149"/>
      <c r="J116" s="149"/>
      <c r="K116" s="149"/>
      <c r="L116" s="149"/>
      <c r="M116" s="149"/>
      <c r="N116" s="149"/>
      <c r="O116" s="149"/>
      <c r="P116" s="149"/>
      <c r="Q116" s="149"/>
      <c r="R116" s="156"/>
      <c r="S116" s="156"/>
      <c r="T116" s="152"/>
      <c r="U116" s="153"/>
      <c r="V116" s="154" t="e">
        <f t="shared" si="1"/>
        <v>#DIV/0!</v>
      </c>
      <c r="W116" s="154" t="e">
        <f t="shared" si="2"/>
        <v>#DIV/0!</v>
      </c>
      <c r="X116" s="163">
        <v>85</v>
      </c>
      <c r="Y116" s="161">
        <v>60</v>
      </c>
      <c r="Z116" s="161">
        <v>60</v>
      </c>
      <c r="AA116" s="162">
        <v>45.19843</v>
      </c>
      <c r="AB116" s="149">
        <v>33.19431</v>
      </c>
      <c r="AC116" s="149">
        <v>8.8264</v>
      </c>
      <c r="AD116" s="149">
        <v>19.45746</v>
      </c>
      <c r="AE116" s="149">
        <v>5.87951</v>
      </c>
      <c r="AF116" s="149">
        <v>0</v>
      </c>
      <c r="AG116" s="149">
        <v>0</v>
      </c>
      <c r="AH116" s="149">
        <v>2.70566</v>
      </c>
      <c r="AI116" s="149">
        <v>103.84</v>
      </c>
      <c r="AJ116" s="149">
        <v>9.72873</v>
      </c>
      <c r="AK116" s="150" t="s">
        <v>119</v>
      </c>
      <c r="AL116" s="151" t="s">
        <v>120</v>
      </c>
      <c r="AM116" s="156"/>
      <c r="AN116" s="153">
        <v>220</v>
      </c>
      <c r="AO116" s="154">
        <f t="shared" si="4"/>
        <v>531.7462352941177</v>
      </c>
      <c r="AP116" s="154">
        <f t="shared" si="5"/>
        <v>0.7533071666666667</v>
      </c>
      <c r="AQ116" s="161"/>
      <c r="AR116" s="161"/>
      <c r="AS116" s="161"/>
      <c r="AT116" s="162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56"/>
      <c r="BE116" s="156"/>
      <c r="BF116" s="156"/>
      <c r="BG116" s="153"/>
      <c r="BH116" s="154" t="e">
        <f t="shared" si="28"/>
        <v>#DIV/0!</v>
      </c>
      <c r="BI116" s="154" t="e">
        <f t="shared" si="29"/>
        <v>#DIV/0!</v>
      </c>
      <c r="BJ116" s="415">
        <f t="shared" si="24"/>
        <v>85</v>
      </c>
      <c r="BK116" s="415">
        <f t="shared" si="25"/>
        <v>60</v>
      </c>
      <c r="BL116" s="415">
        <f t="shared" si="26"/>
        <v>60</v>
      </c>
      <c r="BM116" s="415">
        <f t="shared" si="27"/>
        <v>45.19843</v>
      </c>
    </row>
    <row r="117" spans="1:65" s="129" customFormat="1" ht="18.75" outlineLevel="1">
      <c r="A117" s="141" t="s">
        <v>420</v>
      </c>
      <c r="B117" s="176" t="s">
        <v>421</v>
      </c>
      <c r="C117" s="182" t="s">
        <v>422</v>
      </c>
      <c r="D117" s="144">
        <v>0.4</v>
      </c>
      <c r="E117" s="161"/>
      <c r="F117" s="161"/>
      <c r="G117" s="161"/>
      <c r="H117" s="162"/>
      <c r="I117" s="149"/>
      <c r="J117" s="149"/>
      <c r="K117" s="149"/>
      <c r="L117" s="149"/>
      <c r="M117" s="149"/>
      <c r="N117" s="149"/>
      <c r="O117" s="149"/>
      <c r="P117" s="149"/>
      <c r="Q117" s="149"/>
      <c r="R117" s="156"/>
      <c r="S117" s="156"/>
      <c r="T117" s="152"/>
      <c r="U117" s="153"/>
      <c r="V117" s="154" t="e">
        <f t="shared" si="1"/>
        <v>#DIV/0!</v>
      </c>
      <c r="W117" s="154" t="e">
        <f t="shared" si="2"/>
        <v>#DIV/0!</v>
      </c>
      <c r="X117" s="145">
        <v>27</v>
      </c>
      <c r="Y117" s="146">
        <v>100</v>
      </c>
      <c r="Z117" s="147">
        <v>100</v>
      </c>
      <c r="AA117" s="162">
        <v>11.63</v>
      </c>
      <c r="AB117" s="149">
        <v>9.307</v>
      </c>
      <c r="AC117" s="149">
        <v>2.80368</v>
      </c>
      <c r="AD117" s="149">
        <v>6.503</v>
      </c>
      <c r="AE117" s="149">
        <v>1.107</v>
      </c>
      <c r="AF117" s="149">
        <v>0</v>
      </c>
      <c r="AG117" s="149">
        <v>0</v>
      </c>
      <c r="AH117" s="149">
        <v>0.528</v>
      </c>
      <c r="AI117" s="149">
        <v>103.84</v>
      </c>
      <c r="AJ117" s="149">
        <v>9.33328</v>
      </c>
      <c r="AK117" s="150" t="s">
        <v>119</v>
      </c>
      <c r="AL117" s="151" t="s">
        <v>120</v>
      </c>
      <c r="AM117" s="156"/>
      <c r="AN117" s="153">
        <v>275</v>
      </c>
      <c r="AO117" s="154">
        <f t="shared" si="4"/>
        <v>430.74074074074076</v>
      </c>
      <c r="AP117" s="154">
        <f t="shared" si="5"/>
        <v>0.11630000000000001</v>
      </c>
      <c r="AQ117" s="161"/>
      <c r="AR117" s="161"/>
      <c r="AS117" s="161"/>
      <c r="AT117" s="162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56"/>
      <c r="BE117" s="156"/>
      <c r="BF117" s="156"/>
      <c r="BG117" s="153"/>
      <c r="BH117" s="154" t="e">
        <f t="shared" si="28"/>
        <v>#DIV/0!</v>
      </c>
      <c r="BI117" s="154" t="e">
        <f t="shared" si="29"/>
        <v>#DIV/0!</v>
      </c>
      <c r="BJ117" s="415">
        <f t="shared" si="24"/>
        <v>27</v>
      </c>
      <c r="BK117" s="415">
        <f t="shared" si="25"/>
        <v>100</v>
      </c>
      <c r="BL117" s="415">
        <f t="shared" si="26"/>
        <v>100</v>
      </c>
      <c r="BM117" s="415">
        <f t="shared" si="27"/>
        <v>11.63</v>
      </c>
    </row>
    <row r="118" spans="1:65" s="129" customFormat="1" ht="18.75" outlineLevel="1">
      <c r="A118" s="141" t="s">
        <v>423</v>
      </c>
      <c r="B118" s="173" t="s">
        <v>424</v>
      </c>
      <c r="C118" s="143" t="s">
        <v>425</v>
      </c>
      <c r="D118" s="144">
        <v>0.4</v>
      </c>
      <c r="E118" s="161"/>
      <c r="F118" s="161"/>
      <c r="G118" s="161"/>
      <c r="H118" s="162"/>
      <c r="I118" s="149"/>
      <c r="J118" s="149"/>
      <c r="K118" s="149"/>
      <c r="L118" s="149"/>
      <c r="M118" s="149"/>
      <c r="N118" s="149"/>
      <c r="O118" s="149"/>
      <c r="P118" s="149"/>
      <c r="Q118" s="149"/>
      <c r="R118" s="156"/>
      <c r="S118" s="156"/>
      <c r="T118" s="152"/>
      <c r="U118" s="153"/>
      <c r="V118" s="154" t="e">
        <f t="shared" si="1"/>
        <v>#DIV/0!</v>
      </c>
      <c r="W118" s="154" t="e">
        <f t="shared" si="2"/>
        <v>#DIV/0!</v>
      </c>
      <c r="X118" s="163">
        <v>105</v>
      </c>
      <c r="Y118" s="161">
        <v>15</v>
      </c>
      <c r="Z118" s="161">
        <v>15</v>
      </c>
      <c r="AA118" s="162">
        <v>61.20341</v>
      </c>
      <c r="AB118" s="149">
        <v>44.86388</v>
      </c>
      <c r="AC118" s="149">
        <v>10.9032</v>
      </c>
      <c r="AD118" s="149">
        <v>27.99984</v>
      </c>
      <c r="AE118" s="149">
        <v>7.88373</v>
      </c>
      <c r="AF118" s="149">
        <v>0</v>
      </c>
      <c r="AG118" s="149">
        <v>0</v>
      </c>
      <c r="AH118" s="149">
        <v>3.70657</v>
      </c>
      <c r="AI118" s="149">
        <v>103.84</v>
      </c>
      <c r="AJ118" s="149">
        <v>9.33328</v>
      </c>
      <c r="AK118" s="150" t="s">
        <v>119</v>
      </c>
      <c r="AL118" s="151" t="s">
        <v>120</v>
      </c>
      <c r="AM118" s="156"/>
      <c r="AN118" s="153">
        <v>256</v>
      </c>
      <c r="AO118" s="154">
        <f t="shared" si="4"/>
        <v>582.889619047619</v>
      </c>
      <c r="AP118" s="154">
        <f t="shared" si="5"/>
        <v>4.080227333333333</v>
      </c>
      <c r="AQ118" s="161"/>
      <c r="AR118" s="161"/>
      <c r="AS118" s="161"/>
      <c r="AT118" s="162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56"/>
      <c r="BE118" s="156"/>
      <c r="BF118" s="156"/>
      <c r="BG118" s="153"/>
      <c r="BH118" s="154" t="e">
        <f t="shared" si="28"/>
        <v>#DIV/0!</v>
      </c>
      <c r="BI118" s="154" t="e">
        <f t="shared" si="29"/>
        <v>#DIV/0!</v>
      </c>
      <c r="BJ118" s="415">
        <f t="shared" si="24"/>
        <v>105</v>
      </c>
      <c r="BK118" s="415">
        <f t="shared" si="25"/>
        <v>15</v>
      </c>
      <c r="BL118" s="415">
        <f t="shared" si="26"/>
        <v>15</v>
      </c>
      <c r="BM118" s="415">
        <f t="shared" si="27"/>
        <v>61.20341</v>
      </c>
    </row>
    <row r="119" spans="1:65" s="129" customFormat="1" ht="18.75" outlineLevel="1">
      <c r="A119" s="141" t="s">
        <v>426</v>
      </c>
      <c r="B119" s="183" t="s">
        <v>427</v>
      </c>
      <c r="C119" s="180" t="s">
        <v>428</v>
      </c>
      <c r="D119" s="144">
        <v>0.4</v>
      </c>
      <c r="E119" s="145"/>
      <c r="F119" s="146"/>
      <c r="G119" s="165"/>
      <c r="H119" s="166"/>
      <c r="I119" s="149"/>
      <c r="J119" s="149"/>
      <c r="K119" s="149"/>
      <c r="L119" s="149"/>
      <c r="M119" s="149"/>
      <c r="N119" s="149"/>
      <c r="O119" s="149"/>
      <c r="P119" s="149"/>
      <c r="Q119" s="149"/>
      <c r="R119" s="156"/>
      <c r="S119" s="156"/>
      <c r="T119" s="152"/>
      <c r="U119" s="153"/>
      <c r="V119" s="154" t="e">
        <f t="shared" si="1"/>
        <v>#DIV/0!</v>
      </c>
      <c r="W119" s="154" t="e">
        <f t="shared" si="2"/>
        <v>#DIV/0!</v>
      </c>
      <c r="X119" s="155"/>
      <c r="Y119" s="146"/>
      <c r="Z119" s="165"/>
      <c r="AA119" s="166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56"/>
      <c r="AL119" s="156"/>
      <c r="AM119" s="156"/>
      <c r="AN119" s="153"/>
      <c r="AO119" s="154" t="e">
        <f t="shared" si="4"/>
        <v>#DIV/0!</v>
      </c>
      <c r="AP119" s="154" t="e">
        <f t="shared" si="5"/>
        <v>#DIV/0!</v>
      </c>
      <c r="AQ119" s="145">
        <v>22</v>
      </c>
      <c r="AR119" s="146">
        <v>15</v>
      </c>
      <c r="AS119" s="147">
        <v>15</v>
      </c>
      <c r="AT119" s="166">
        <v>34.99897</v>
      </c>
      <c r="AU119" s="149">
        <v>23.77281</v>
      </c>
      <c r="AV119" s="149">
        <v>2.28448</v>
      </c>
      <c r="AW119" s="149">
        <v>18.66658</v>
      </c>
      <c r="AX119" s="149">
        <v>5.42872</v>
      </c>
      <c r="AY119" s="149">
        <v>0</v>
      </c>
      <c r="AZ119" s="149">
        <v>0</v>
      </c>
      <c r="BA119" s="149">
        <v>2.4805</v>
      </c>
      <c r="BB119" s="149">
        <v>103.84</v>
      </c>
      <c r="BC119" s="149">
        <v>9.33329</v>
      </c>
      <c r="BD119" s="150" t="s">
        <v>119</v>
      </c>
      <c r="BE119" s="151" t="s">
        <v>120</v>
      </c>
      <c r="BF119" s="156"/>
      <c r="BG119" s="153">
        <v>7</v>
      </c>
      <c r="BH119" s="154">
        <f t="shared" si="28"/>
        <v>1590.8622727272727</v>
      </c>
      <c r="BI119" s="154">
        <f t="shared" si="29"/>
        <v>2.3332646666666665</v>
      </c>
      <c r="BJ119" s="415">
        <f t="shared" si="24"/>
        <v>22</v>
      </c>
      <c r="BK119" s="415">
        <f t="shared" si="25"/>
        <v>15</v>
      </c>
      <c r="BL119" s="415">
        <f t="shared" si="26"/>
        <v>15</v>
      </c>
      <c r="BM119" s="415">
        <f t="shared" si="27"/>
        <v>34.99897</v>
      </c>
    </row>
    <row r="120" spans="1:65" s="129" customFormat="1" ht="18.75" outlineLevel="1">
      <c r="A120" s="141" t="s">
        <v>429</v>
      </c>
      <c r="B120" s="177" t="s">
        <v>430</v>
      </c>
      <c r="C120" s="180" t="s">
        <v>431</v>
      </c>
      <c r="D120" s="144">
        <v>0.4</v>
      </c>
      <c r="E120" s="145"/>
      <c r="F120" s="146"/>
      <c r="G120" s="165"/>
      <c r="H120" s="166"/>
      <c r="I120" s="149"/>
      <c r="J120" s="149"/>
      <c r="K120" s="149"/>
      <c r="L120" s="149"/>
      <c r="M120" s="149"/>
      <c r="N120" s="149"/>
      <c r="O120" s="149"/>
      <c r="P120" s="149"/>
      <c r="Q120" s="149"/>
      <c r="R120" s="156"/>
      <c r="S120" s="156"/>
      <c r="T120" s="152"/>
      <c r="U120" s="153"/>
      <c r="V120" s="154" t="e">
        <f t="shared" si="1"/>
        <v>#DIV/0!</v>
      </c>
      <c r="W120" s="154" t="e">
        <f t="shared" si="2"/>
        <v>#DIV/0!</v>
      </c>
      <c r="X120" s="155"/>
      <c r="Y120" s="146"/>
      <c r="Z120" s="165"/>
      <c r="AA120" s="166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56"/>
      <c r="AL120" s="156"/>
      <c r="AM120" s="156"/>
      <c r="AN120" s="153"/>
      <c r="AO120" s="154" t="e">
        <f t="shared" si="4"/>
        <v>#DIV/0!</v>
      </c>
      <c r="AP120" s="154" t="e">
        <f t="shared" si="5"/>
        <v>#DIV/0!</v>
      </c>
      <c r="AQ120" s="145">
        <v>60</v>
      </c>
      <c r="AR120" s="146">
        <v>15</v>
      </c>
      <c r="AS120" s="147">
        <v>15</v>
      </c>
      <c r="AT120" s="166">
        <v>11.544</v>
      </c>
      <c r="AU120" s="149">
        <v>8.461</v>
      </c>
      <c r="AV120" s="149">
        <v>6.2304</v>
      </c>
      <c r="AW120" s="149">
        <v>0</v>
      </c>
      <c r="AX120" s="149">
        <v>1.38</v>
      </c>
      <c r="AY120" s="149">
        <v>0</v>
      </c>
      <c r="AZ120" s="149">
        <v>0</v>
      </c>
      <c r="BA120" s="149">
        <v>0.772</v>
      </c>
      <c r="BB120" s="149">
        <v>103.84</v>
      </c>
      <c r="BC120" s="149">
        <v>9.51864</v>
      </c>
      <c r="BD120" s="150" t="s">
        <v>119</v>
      </c>
      <c r="BE120" s="151" t="s">
        <v>120</v>
      </c>
      <c r="BF120" s="156"/>
      <c r="BG120" s="153">
        <v>29</v>
      </c>
      <c r="BH120" s="154">
        <f t="shared" si="28"/>
        <v>192.4</v>
      </c>
      <c r="BI120" s="154">
        <f t="shared" si="29"/>
        <v>0.7696000000000001</v>
      </c>
      <c r="BJ120" s="415">
        <f t="shared" si="24"/>
        <v>60</v>
      </c>
      <c r="BK120" s="415">
        <f t="shared" si="25"/>
        <v>15</v>
      </c>
      <c r="BL120" s="415">
        <f t="shared" si="26"/>
        <v>15</v>
      </c>
      <c r="BM120" s="415">
        <f t="shared" si="27"/>
        <v>11.544</v>
      </c>
    </row>
    <row r="121" spans="1:65" s="129" customFormat="1" ht="18.75" outlineLevel="1">
      <c r="A121" s="141" t="s">
        <v>432</v>
      </c>
      <c r="B121" s="177" t="s">
        <v>433</v>
      </c>
      <c r="C121" s="180" t="s">
        <v>434</v>
      </c>
      <c r="D121" s="144">
        <v>0.4</v>
      </c>
      <c r="E121" s="145"/>
      <c r="F121" s="146"/>
      <c r="G121" s="165"/>
      <c r="H121" s="166"/>
      <c r="I121" s="149"/>
      <c r="J121" s="149"/>
      <c r="K121" s="149"/>
      <c r="L121" s="149"/>
      <c r="M121" s="149"/>
      <c r="N121" s="149"/>
      <c r="O121" s="149"/>
      <c r="P121" s="149"/>
      <c r="Q121" s="149"/>
      <c r="R121" s="156"/>
      <c r="S121" s="156"/>
      <c r="T121" s="152"/>
      <c r="U121" s="153"/>
      <c r="V121" s="154" t="e">
        <f t="shared" si="1"/>
        <v>#DIV/0!</v>
      </c>
      <c r="W121" s="154" t="e">
        <f t="shared" si="2"/>
        <v>#DIV/0!</v>
      </c>
      <c r="X121" s="155"/>
      <c r="Y121" s="146"/>
      <c r="Z121" s="165"/>
      <c r="AA121" s="166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56"/>
      <c r="AL121" s="156"/>
      <c r="AM121" s="156"/>
      <c r="AN121" s="153"/>
      <c r="AO121" s="154" t="e">
        <f t="shared" si="4"/>
        <v>#DIV/0!</v>
      </c>
      <c r="AP121" s="154" t="e">
        <f t="shared" si="5"/>
        <v>#DIV/0!</v>
      </c>
      <c r="AQ121" s="145">
        <v>220</v>
      </c>
      <c r="AR121" s="146">
        <v>15</v>
      </c>
      <c r="AS121" s="147">
        <v>15</v>
      </c>
      <c r="AT121" s="166">
        <v>267.10718</v>
      </c>
      <c r="AU121" s="149">
        <v>195.27784</v>
      </c>
      <c r="AV121" s="149">
        <v>22.8448</v>
      </c>
      <c r="AW121" s="149">
        <f>49.00955+36.01644+58.81146</f>
        <v>143.83745</v>
      </c>
      <c r="AX121" s="149">
        <v>33.49023</v>
      </c>
      <c r="AY121" s="149">
        <v>0</v>
      </c>
      <c r="AZ121" s="149">
        <v>0</v>
      </c>
      <c r="BA121" s="149">
        <v>16.94553</v>
      </c>
      <c r="BB121" s="149">
        <v>103.84</v>
      </c>
      <c r="BC121" s="149">
        <v>9.80191</v>
      </c>
      <c r="BD121" s="150" t="s">
        <v>119</v>
      </c>
      <c r="BE121" s="151" t="s">
        <v>120</v>
      </c>
      <c r="BF121" s="156"/>
      <c r="BG121" s="153">
        <v>58</v>
      </c>
      <c r="BH121" s="154">
        <f t="shared" si="28"/>
        <v>1214.1235454545456</v>
      </c>
      <c r="BI121" s="154">
        <f t="shared" si="29"/>
        <v>17.807145333333334</v>
      </c>
      <c r="BJ121" s="415">
        <f t="shared" si="24"/>
        <v>220</v>
      </c>
      <c r="BK121" s="415">
        <f t="shared" si="25"/>
        <v>15</v>
      </c>
      <c r="BL121" s="415">
        <f t="shared" si="26"/>
        <v>15</v>
      </c>
      <c r="BM121" s="415">
        <f t="shared" si="27"/>
        <v>267.10718</v>
      </c>
    </row>
    <row r="122" spans="1:65" s="129" customFormat="1" ht="18.75" outlineLevel="1">
      <c r="A122" s="141" t="s">
        <v>435</v>
      </c>
      <c r="B122" s="177" t="s">
        <v>436</v>
      </c>
      <c r="C122" s="180" t="s">
        <v>437</v>
      </c>
      <c r="D122" s="144">
        <v>0.4</v>
      </c>
      <c r="E122" s="145"/>
      <c r="F122" s="146"/>
      <c r="G122" s="165"/>
      <c r="H122" s="166"/>
      <c r="I122" s="149"/>
      <c r="J122" s="149"/>
      <c r="K122" s="149"/>
      <c r="L122" s="149"/>
      <c r="M122" s="149"/>
      <c r="N122" s="149"/>
      <c r="O122" s="149"/>
      <c r="P122" s="149"/>
      <c r="Q122" s="149"/>
      <c r="R122" s="156"/>
      <c r="S122" s="156"/>
      <c r="T122" s="152"/>
      <c r="U122" s="153"/>
      <c r="V122" s="154" t="e">
        <f t="shared" si="1"/>
        <v>#DIV/0!</v>
      </c>
      <c r="W122" s="154" t="e">
        <f t="shared" si="2"/>
        <v>#DIV/0!</v>
      </c>
      <c r="X122" s="155"/>
      <c r="Y122" s="146"/>
      <c r="Z122" s="165"/>
      <c r="AA122" s="166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56"/>
      <c r="AL122" s="156"/>
      <c r="AM122" s="156"/>
      <c r="AN122" s="153"/>
      <c r="AO122" s="154" t="e">
        <f t="shared" si="4"/>
        <v>#DIV/0!</v>
      </c>
      <c r="AP122" s="154" t="e">
        <f t="shared" si="5"/>
        <v>#DIV/0!</v>
      </c>
      <c r="AQ122" s="145">
        <v>27</v>
      </c>
      <c r="AR122" s="146">
        <v>15</v>
      </c>
      <c r="AS122" s="147">
        <v>15</v>
      </c>
      <c r="AT122" s="166">
        <v>5.436</v>
      </c>
      <c r="AU122" s="149">
        <v>3.896</v>
      </c>
      <c r="AV122" s="149">
        <v>2.80368</v>
      </c>
      <c r="AW122" s="149">
        <v>0</v>
      </c>
      <c r="AX122" s="149">
        <v>0.691</v>
      </c>
      <c r="AY122" s="149">
        <v>0</v>
      </c>
      <c r="AZ122" s="149">
        <v>0</v>
      </c>
      <c r="BA122" s="149">
        <v>0.393</v>
      </c>
      <c r="BB122" s="149">
        <v>103.84</v>
      </c>
      <c r="BC122" s="149">
        <v>8.97358</v>
      </c>
      <c r="BD122" s="150" t="s">
        <v>119</v>
      </c>
      <c r="BE122" s="151" t="s">
        <v>120</v>
      </c>
      <c r="BF122" s="156"/>
      <c r="BG122" s="153">
        <v>91</v>
      </c>
      <c r="BH122" s="154">
        <f t="shared" si="28"/>
        <v>201.33333333333334</v>
      </c>
      <c r="BI122" s="154">
        <f t="shared" si="29"/>
        <v>0.3624</v>
      </c>
      <c r="BJ122" s="415">
        <f t="shared" si="24"/>
        <v>27</v>
      </c>
      <c r="BK122" s="415">
        <f t="shared" si="25"/>
        <v>15</v>
      </c>
      <c r="BL122" s="415">
        <f t="shared" si="26"/>
        <v>15</v>
      </c>
      <c r="BM122" s="415">
        <f t="shared" si="27"/>
        <v>5.436</v>
      </c>
    </row>
    <row r="123" spans="1:65" s="129" customFormat="1" ht="18.75" outlineLevel="1">
      <c r="A123" s="141" t="s">
        <v>438</v>
      </c>
      <c r="B123" s="177" t="s">
        <v>439</v>
      </c>
      <c r="C123" s="180" t="s">
        <v>440</v>
      </c>
      <c r="D123" s="144">
        <v>0.4</v>
      </c>
      <c r="E123" s="145"/>
      <c r="F123" s="146"/>
      <c r="G123" s="165"/>
      <c r="H123" s="166"/>
      <c r="I123" s="149"/>
      <c r="J123" s="149"/>
      <c r="K123" s="149"/>
      <c r="L123" s="149"/>
      <c r="M123" s="149"/>
      <c r="N123" s="149"/>
      <c r="O123" s="149"/>
      <c r="P123" s="149"/>
      <c r="Q123" s="149"/>
      <c r="R123" s="156"/>
      <c r="S123" s="156"/>
      <c r="T123" s="152"/>
      <c r="U123" s="153"/>
      <c r="V123" s="154" t="e">
        <f t="shared" si="1"/>
        <v>#DIV/0!</v>
      </c>
      <c r="W123" s="154" t="e">
        <f t="shared" si="2"/>
        <v>#DIV/0!</v>
      </c>
      <c r="X123" s="155"/>
      <c r="Y123" s="146"/>
      <c r="Z123" s="165"/>
      <c r="AA123" s="166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56"/>
      <c r="AL123" s="156"/>
      <c r="AM123" s="156"/>
      <c r="AN123" s="153"/>
      <c r="AO123" s="154" t="e">
        <f t="shared" si="4"/>
        <v>#DIV/0!</v>
      </c>
      <c r="AP123" s="154" t="e">
        <f t="shared" si="5"/>
        <v>#DIV/0!</v>
      </c>
      <c r="AQ123" s="145">
        <v>170</v>
      </c>
      <c r="AR123" s="146">
        <v>50</v>
      </c>
      <c r="AS123" s="147">
        <v>50</v>
      </c>
      <c r="AT123" s="166">
        <v>186.93022</v>
      </c>
      <c r="AU123" s="149">
        <v>122.2181</v>
      </c>
      <c r="AV123" s="149">
        <v>17.6528</v>
      </c>
      <c r="AW123" s="149">
        <f>44.8679+17.94716+26.92074</f>
        <v>89.7358</v>
      </c>
      <c r="AX123" s="149">
        <v>30.2114</v>
      </c>
      <c r="AY123" s="149">
        <v>0</v>
      </c>
      <c r="AZ123" s="149">
        <v>0</v>
      </c>
      <c r="BA123" s="149">
        <v>15.29058</v>
      </c>
      <c r="BB123" s="149">
        <v>103.84</v>
      </c>
      <c r="BC123" s="149">
        <v>8.97358</v>
      </c>
      <c r="BD123" s="150" t="s">
        <v>119</v>
      </c>
      <c r="BE123" s="151" t="s">
        <v>120</v>
      </c>
      <c r="BF123" s="156"/>
      <c r="BG123" s="153">
        <v>108</v>
      </c>
      <c r="BH123" s="154">
        <f t="shared" si="28"/>
        <v>1099.5895294117645</v>
      </c>
      <c r="BI123" s="154">
        <f t="shared" si="29"/>
        <v>3.7386044</v>
      </c>
      <c r="BJ123" s="415">
        <f t="shared" si="24"/>
        <v>170</v>
      </c>
      <c r="BK123" s="415">
        <f t="shared" si="25"/>
        <v>50</v>
      </c>
      <c r="BL123" s="415">
        <f t="shared" si="26"/>
        <v>50</v>
      </c>
      <c r="BM123" s="415">
        <f t="shared" si="27"/>
        <v>186.93022</v>
      </c>
    </row>
    <row r="124" spans="1:65" s="129" customFormat="1" ht="18.75" outlineLevel="1">
      <c r="A124" s="141" t="s">
        <v>441</v>
      </c>
      <c r="B124" s="177" t="s">
        <v>442</v>
      </c>
      <c r="C124" s="180" t="s">
        <v>443</v>
      </c>
      <c r="D124" s="144">
        <v>0.4</v>
      </c>
      <c r="E124" s="145"/>
      <c r="F124" s="146"/>
      <c r="G124" s="165"/>
      <c r="H124" s="166"/>
      <c r="I124" s="149"/>
      <c r="J124" s="149"/>
      <c r="K124" s="149"/>
      <c r="L124" s="149"/>
      <c r="M124" s="149"/>
      <c r="N124" s="149"/>
      <c r="O124" s="149"/>
      <c r="P124" s="149"/>
      <c r="Q124" s="149"/>
      <c r="R124" s="156"/>
      <c r="S124" s="156"/>
      <c r="T124" s="152"/>
      <c r="U124" s="153"/>
      <c r="V124" s="154" t="e">
        <f t="shared" si="1"/>
        <v>#DIV/0!</v>
      </c>
      <c r="W124" s="154" t="e">
        <f t="shared" si="2"/>
        <v>#DIV/0!</v>
      </c>
      <c r="X124" s="155"/>
      <c r="Y124" s="146"/>
      <c r="Z124" s="165"/>
      <c r="AA124" s="166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56"/>
      <c r="AL124" s="156"/>
      <c r="AM124" s="156"/>
      <c r="AN124" s="153"/>
      <c r="AO124" s="154" t="e">
        <f t="shared" si="4"/>
        <v>#DIV/0!</v>
      </c>
      <c r="AP124" s="154" t="e">
        <f t="shared" si="5"/>
        <v>#DIV/0!</v>
      </c>
      <c r="AQ124" s="145">
        <v>100</v>
      </c>
      <c r="AR124" s="146">
        <v>15</v>
      </c>
      <c r="AS124" s="147">
        <v>15</v>
      </c>
      <c r="AT124" s="166">
        <v>79.63137</v>
      </c>
      <c r="AU124" s="149">
        <v>52.36236</v>
      </c>
      <c r="AV124" s="149">
        <v>10.384</v>
      </c>
      <c r="AW124" s="149">
        <v>35.89432</v>
      </c>
      <c r="AX124" s="149">
        <v>12.44357</v>
      </c>
      <c r="AY124" s="149">
        <v>0</v>
      </c>
      <c r="AZ124" s="149">
        <v>0</v>
      </c>
      <c r="BA124" s="149">
        <v>6.56945</v>
      </c>
      <c r="BB124" s="149">
        <v>103.84</v>
      </c>
      <c r="BC124" s="149">
        <v>8.97358</v>
      </c>
      <c r="BD124" s="150" t="s">
        <v>119</v>
      </c>
      <c r="BE124" s="151" t="s">
        <v>120</v>
      </c>
      <c r="BF124" s="156"/>
      <c r="BG124" s="153">
        <v>129</v>
      </c>
      <c r="BH124" s="154">
        <f t="shared" si="28"/>
        <v>796.3137</v>
      </c>
      <c r="BI124" s="154">
        <f t="shared" si="29"/>
        <v>5.308758</v>
      </c>
      <c r="BJ124" s="415">
        <f t="shared" si="24"/>
        <v>100</v>
      </c>
      <c r="BK124" s="415">
        <f t="shared" si="25"/>
        <v>15</v>
      </c>
      <c r="BL124" s="415">
        <f t="shared" si="26"/>
        <v>15</v>
      </c>
      <c r="BM124" s="415">
        <f t="shared" si="27"/>
        <v>79.63137</v>
      </c>
    </row>
    <row r="125" spans="1:65" s="129" customFormat="1" ht="18.75" outlineLevel="1">
      <c r="A125" s="141" t="s">
        <v>444</v>
      </c>
      <c r="B125" s="177" t="s">
        <v>445</v>
      </c>
      <c r="C125" s="184" t="s">
        <v>446</v>
      </c>
      <c r="D125" s="144">
        <v>0.4</v>
      </c>
      <c r="E125" s="145"/>
      <c r="F125" s="146"/>
      <c r="G125" s="165"/>
      <c r="H125" s="166"/>
      <c r="I125" s="149"/>
      <c r="J125" s="149"/>
      <c r="K125" s="149"/>
      <c r="L125" s="149"/>
      <c r="M125" s="149"/>
      <c r="N125" s="149"/>
      <c r="O125" s="149"/>
      <c r="P125" s="149"/>
      <c r="Q125" s="149"/>
      <c r="R125" s="156"/>
      <c r="S125" s="156"/>
      <c r="T125" s="152"/>
      <c r="U125" s="153"/>
      <c r="V125" s="154" t="e">
        <f t="shared" si="1"/>
        <v>#DIV/0!</v>
      </c>
      <c r="W125" s="154" t="e">
        <f t="shared" si="2"/>
        <v>#DIV/0!</v>
      </c>
      <c r="X125" s="155"/>
      <c r="Y125" s="146"/>
      <c r="Z125" s="165"/>
      <c r="AA125" s="166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56"/>
      <c r="AL125" s="156"/>
      <c r="AM125" s="156"/>
      <c r="AN125" s="153"/>
      <c r="AO125" s="154" t="e">
        <f t="shared" si="4"/>
        <v>#DIV/0!</v>
      </c>
      <c r="AP125" s="154" t="e">
        <f t="shared" si="5"/>
        <v>#DIV/0!</v>
      </c>
      <c r="AQ125" s="145">
        <v>30</v>
      </c>
      <c r="AR125" s="146">
        <v>15</v>
      </c>
      <c r="AS125" s="147">
        <v>15</v>
      </c>
      <c r="AT125" s="166">
        <v>18.5223</v>
      </c>
      <c r="AU125" s="149">
        <v>13.32241</v>
      </c>
      <c r="AV125" s="149">
        <v>3.1152</v>
      </c>
      <c r="AW125" s="149">
        <v>9.33328</v>
      </c>
      <c r="AX125" s="149">
        <v>2.51289</v>
      </c>
      <c r="AY125" s="149">
        <v>0</v>
      </c>
      <c r="AZ125" s="149">
        <v>0</v>
      </c>
      <c r="BA125" s="149">
        <v>1.17471</v>
      </c>
      <c r="BB125" s="149">
        <v>103.84</v>
      </c>
      <c r="BC125" s="149">
        <v>9.33328</v>
      </c>
      <c r="BD125" s="150" t="s">
        <v>119</v>
      </c>
      <c r="BE125" s="151" t="s">
        <v>120</v>
      </c>
      <c r="BF125" s="156"/>
      <c r="BG125" s="153">
        <v>152</v>
      </c>
      <c r="BH125" s="154">
        <f t="shared" si="28"/>
        <v>617.41</v>
      </c>
      <c r="BI125" s="154">
        <f t="shared" si="29"/>
        <v>1.23482</v>
      </c>
      <c r="BJ125" s="415">
        <f t="shared" si="24"/>
        <v>30</v>
      </c>
      <c r="BK125" s="415">
        <f t="shared" si="25"/>
        <v>15</v>
      </c>
      <c r="BL125" s="415">
        <f t="shared" si="26"/>
        <v>15</v>
      </c>
      <c r="BM125" s="415">
        <f t="shared" si="27"/>
        <v>18.5223</v>
      </c>
    </row>
    <row r="126" spans="1:65" s="129" customFormat="1" ht="18.75" outlineLevel="1">
      <c r="A126" s="141" t="s">
        <v>447</v>
      </c>
      <c r="B126" s="177" t="s">
        <v>448</v>
      </c>
      <c r="C126" s="184" t="s">
        <v>449</v>
      </c>
      <c r="D126" s="144">
        <v>0.4</v>
      </c>
      <c r="E126" s="145"/>
      <c r="F126" s="146"/>
      <c r="G126" s="165"/>
      <c r="H126" s="166"/>
      <c r="I126" s="149"/>
      <c r="J126" s="149"/>
      <c r="K126" s="149"/>
      <c r="L126" s="149"/>
      <c r="M126" s="149"/>
      <c r="N126" s="149"/>
      <c r="O126" s="149"/>
      <c r="P126" s="149"/>
      <c r="Q126" s="149"/>
      <c r="R126" s="156"/>
      <c r="S126" s="156"/>
      <c r="T126" s="152"/>
      <c r="U126" s="153"/>
      <c r="V126" s="154" t="e">
        <f t="shared" si="1"/>
        <v>#DIV/0!</v>
      </c>
      <c r="W126" s="154" t="e">
        <f t="shared" si="2"/>
        <v>#DIV/0!</v>
      </c>
      <c r="X126" s="155"/>
      <c r="Y126" s="146"/>
      <c r="Z126" s="165"/>
      <c r="AA126" s="166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56"/>
      <c r="AL126" s="156"/>
      <c r="AM126" s="156"/>
      <c r="AN126" s="153"/>
      <c r="AO126" s="154" t="e">
        <f t="shared" si="4"/>
        <v>#DIV/0!</v>
      </c>
      <c r="AP126" s="154" t="e">
        <f t="shared" si="5"/>
        <v>#DIV/0!</v>
      </c>
      <c r="AQ126" s="145">
        <v>25</v>
      </c>
      <c r="AR126" s="146">
        <v>15</v>
      </c>
      <c r="AS126" s="147">
        <v>15</v>
      </c>
      <c r="AT126" s="166">
        <v>4.626</v>
      </c>
      <c r="AU126" s="149">
        <v>3.393</v>
      </c>
      <c r="AV126" s="149">
        <v>2.596</v>
      </c>
      <c r="AW126" s="149">
        <v>0.797</v>
      </c>
      <c r="AX126" s="149">
        <v>0.575</v>
      </c>
      <c r="AY126" s="149">
        <v>0</v>
      </c>
      <c r="AZ126" s="149">
        <v>0</v>
      </c>
      <c r="BA126" s="149">
        <v>0.304</v>
      </c>
      <c r="BB126" s="149">
        <v>103.84</v>
      </c>
      <c r="BC126" s="149">
        <v>9.33329</v>
      </c>
      <c r="BD126" s="150" t="s">
        <v>119</v>
      </c>
      <c r="BE126" s="151" t="s">
        <v>120</v>
      </c>
      <c r="BF126" s="156"/>
      <c r="BG126" s="153">
        <v>157</v>
      </c>
      <c r="BH126" s="154">
        <f t="shared" si="28"/>
        <v>185.04000000000002</v>
      </c>
      <c r="BI126" s="154">
        <f t="shared" si="29"/>
        <v>0.3084</v>
      </c>
      <c r="BJ126" s="415">
        <f t="shared" si="24"/>
        <v>25</v>
      </c>
      <c r="BK126" s="415">
        <f t="shared" si="25"/>
        <v>15</v>
      </c>
      <c r="BL126" s="415">
        <f t="shared" si="26"/>
        <v>15</v>
      </c>
      <c r="BM126" s="415">
        <f t="shared" si="27"/>
        <v>4.626</v>
      </c>
    </row>
    <row r="127" spans="1:65" s="129" customFormat="1" ht="18.75" outlineLevel="1">
      <c r="A127" s="141" t="s">
        <v>450</v>
      </c>
      <c r="B127" s="177" t="s">
        <v>451</v>
      </c>
      <c r="C127" s="184" t="s">
        <v>452</v>
      </c>
      <c r="D127" s="144">
        <v>0.4</v>
      </c>
      <c r="E127" s="145"/>
      <c r="F127" s="146"/>
      <c r="G127" s="165"/>
      <c r="H127" s="166"/>
      <c r="I127" s="149"/>
      <c r="J127" s="149"/>
      <c r="K127" s="149"/>
      <c r="L127" s="149"/>
      <c r="M127" s="149"/>
      <c r="N127" s="149"/>
      <c r="O127" s="149"/>
      <c r="P127" s="149"/>
      <c r="Q127" s="149"/>
      <c r="R127" s="156"/>
      <c r="S127" s="156"/>
      <c r="T127" s="152"/>
      <c r="U127" s="153"/>
      <c r="V127" s="154" t="e">
        <f t="shared" si="1"/>
        <v>#DIV/0!</v>
      </c>
      <c r="W127" s="154" t="e">
        <f t="shared" si="2"/>
        <v>#DIV/0!</v>
      </c>
      <c r="X127" s="155"/>
      <c r="Y127" s="146"/>
      <c r="Z127" s="165"/>
      <c r="AA127" s="166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56"/>
      <c r="AL127" s="156"/>
      <c r="AM127" s="156"/>
      <c r="AN127" s="153"/>
      <c r="AO127" s="154" t="e">
        <f t="shared" si="4"/>
        <v>#DIV/0!</v>
      </c>
      <c r="AP127" s="154" t="e">
        <f t="shared" si="5"/>
        <v>#DIV/0!</v>
      </c>
      <c r="AQ127" s="145">
        <v>48</v>
      </c>
      <c r="AR127" s="146">
        <v>15</v>
      </c>
      <c r="AS127" s="147">
        <v>15</v>
      </c>
      <c r="AT127" s="166">
        <v>39.77081</v>
      </c>
      <c r="AU127" s="149">
        <v>29.96289</v>
      </c>
      <c r="AV127" s="149">
        <v>4.98432</v>
      </c>
      <c r="AW127" s="149">
        <v>19.0373</v>
      </c>
      <c r="AX127" s="149">
        <v>4.74972</v>
      </c>
      <c r="AY127" s="149">
        <v>0</v>
      </c>
      <c r="AZ127" s="149">
        <v>0</v>
      </c>
      <c r="BA127" s="149">
        <v>2.26349</v>
      </c>
      <c r="BB127" s="149">
        <v>103.84</v>
      </c>
      <c r="BC127" s="149">
        <v>9.51865</v>
      </c>
      <c r="BD127" s="150" t="s">
        <v>119</v>
      </c>
      <c r="BE127" s="151" t="s">
        <v>120</v>
      </c>
      <c r="BF127" s="156"/>
      <c r="BG127" s="153">
        <v>164</v>
      </c>
      <c r="BH127" s="154">
        <f t="shared" si="28"/>
        <v>828.5585416666667</v>
      </c>
      <c r="BI127" s="154">
        <f t="shared" si="29"/>
        <v>2.651387333333333</v>
      </c>
      <c r="BJ127" s="415">
        <f t="shared" si="24"/>
        <v>48</v>
      </c>
      <c r="BK127" s="415">
        <f t="shared" si="25"/>
        <v>15</v>
      </c>
      <c r="BL127" s="415">
        <f t="shared" si="26"/>
        <v>15</v>
      </c>
      <c r="BM127" s="415">
        <f t="shared" si="27"/>
        <v>39.77081</v>
      </c>
    </row>
    <row r="128" spans="1:65" s="129" customFormat="1" ht="18.75" outlineLevel="1">
      <c r="A128" s="141" t="s">
        <v>453</v>
      </c>
      <c r="B128" s="177" t="s">
        <v>454</v>
      </c>
      <c r="C128" s="184" t="s">
        <v>455</v>
      </c>
      <c r="D128" s="144">
        <v>0.4</v>
      </c>
      <c r="E128" s="145"/>
      <c r="F128" s="146"/>
      <c r="G128" s="165"/>
      <c r="H128" s="166"/>
      <c r="I128" s="149"/>
      <c r="J128" s="149"/>
      <c r="K128" s="149"/>
      <c r="L128" s="149"/>
      <c r="M128" s="149"/>
      <c r="N128" s="149"/>
      <c r="O128" s="149"/>
      <c r="P128" s="149"/>
      <c r="Q128" s="149"/>
      <c r="R128" s="156"/>
      <c r="S128" s="156"/>
      <c r="T128" s="152"/>
      <c r="U128" s="153"/>
      <c r="V128" s="154" t="e">
        <f t="shared" si="1"/>
        <v>#DIV/0!</v>
      </c>
      <c r="W128" s="154" t="e">
        <f t="shared" si="2"/>
        <v>#DIV/0!</v>
      </c>
      <c r="X128" s="155"/>
      <c r="Y128" s="146"/>
      <c r="Z128" s="165"/>
      <c r="AA128" s="166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56"/>
      <c r="AL128" s="156"/>
      <c r="AM128" s="156"/>
      <c r="AN128" s="153"/>
      <c r="AO128" s="154" t="e">
        <f t="shared" si="4"/>
        <v>#DIV/0!</v>
      </c>
      <c r="AP128" s="154" t="e">
        <f t="shared" si="5"/>
        <v>#DIV/0!</v>
      </c>
      <c r="AQ128" s="145">
        <v>100</v>
      </c>
      <c r="AR128" s="146">
        <v>15</v>
      </c>
      <c r="AS128" s="147">
        <v>15</v>
      </c>
      <c r="AT128" s="166">
        <v>17.47</v>
      </c>
      <c r="AU128" s="149">
        <v>12.538</v>
      </c>
      <c r="AV128" s="149">
        <v>10.384</v>
      </c>
      <c r="AW128" s="149">
        <v>2.154</v>
      </c>
      <c r="AX128" s="149">
        <v>2.3</v>
      </c>
      <c r="AY128" s="149">
        <v>0</v>
      </c>
      <c r="AZ128" s="149">
        <v>0</v>
      </c>
      <c r="BA128" s="149">
        <v>1.216</v>
      </c>
      <c r="BB128" s="149">
        <v>103.84</v>
      </c>
      <c r="BC128" s="149">
        <v>9.51864</v>
      </c>
      <c r="BD128" s="150" t="s">
        <v>119</v>
      </c>
      <c r="BE128" s="151" t="s">
        <v>120</v>
      </c>
      <c r="BF128" s="156"/>
      <c r="BG128" s="153">
        <v>169</v>
      </c>
      <c r="BH128" s="154">
        <f t="shared" si="28"/>
        <v>174.7</v>
      </c>
      <c r="BI128" s="154">
        <f t="shared" si="29"/>
        <v>1.1646666666666665</v>
      </c>
      <c r="BJ128" s="415">
        <f t="shared" si="24"/>
        <v>100</v>
      </c>
      <c r="BK128" s="415">
        <f t="shared" si="25"/>
        <v>15</v>
      </c>
      <c r="BL128" s="415">
        <f t="shared" si="26"/>
        <v>15</v>
      </c>
      <c r="BM128" s="415">
        <f t="shared" si="27"/>
        <v>17.47</v>
      </c>
    </row>
    <row r="129" spans="1:65" s="129" customFormat="1" ht="18.75" outlineLevel="1">
      <c r="A129" s="141" t="s">
        <v>456</v>
      </c>
      <c r="B129" s="177" t="s">
        <v>457</v>
      </c>
      <c r="C129" s="184" t="s">
        <v>458</v>
      </c>
      <c r="D129" s="144">
        <v>0.4</v>
      </c>
      <c r="E129" s="145"/>
      <c r="F129" s="146"/>
      <c r="G129" s="165"/>
      <c r="H129" s="166"/>
      <c r="I129" s="149"/>
      <c r="J129" s="149"/>
      <c r="K129" s="149"/>
      <c r="L129" s="149"/>
      <c r="M129" s="149"/>
      <c r="N129" s="149"/>
      <c r="O129" s="149"/>
      <c r="P129" s="149"/>
      <c r="Q129" s="149"/>
      <c r="R129" s="156"/>
      <c r="S129" s="156"/>
      <c r="T129" s="152"/>
      <c r="U129" s="153"/>
      <c r="V129" s="154" t="e">
        <f t="shared" si="1"/>
        <v>#DIV/0!</v>
      </c>
      <c r="W129" s="154" t="e">
        <f t="shared" si="2"/>
        <v>#DIV/0!</v>
      </c>
      <c r="X129" s="155"/>
      <c r="Y129" s="146"/>
      <c r="Z129" s="165"/>
      <c r="AA129" s="166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56"/>
      <c r="AL129" s="156"/>
      <c r="AM129" s="156"/>
      <c r="AN129" s="153"/>
      <c r="AO129" s="154" t="e">
        <f t="shared" si="4"/>
        <v>#DIV/0!</v>
      </c>
      <c r="AP129" s="154" t="e">
        <f t="shared" si="5"/>
        <v>#DIV/0!</v>
      </c>
      <c r="AQ129" s="145">
        <v>210</v>
      </c>
      <c r="AR129" s="146">
        <v>15</v>
      </c>
      <c r="AS129" s="147">
        <v>15</v>
      </c>
      <c r="AT129" s="166">
        <v>59.54319</v>
      </c>
      <c r="AU129" s="149">
        <v>44.55314</v>
      </c>
      <c r="AV129" s="149">
        <v>21.8064</v>
      </c>
      <c r="AW129" s="149">
        <v>8.95347</v>
      </c>
      <c r="AX129" s="149">
        <v>6.81749</v>
      </c>
      <c r="AY129" s="149">
        <v>0</v>
      </c>
      <c r="AZ129" s="149">
        <v>0</v>
      </c>
      <c r="BA129" s="149">
        <v>3.72765</v>
      </c>
      <c r="BB129" s="149">
        <v>103.84</v>
      </c>
      <c r="BC129" s="149">
        <v>8.95347</v>
      </c>
      <c r="BD129" s="150" t="s">
        <v>119</v>
      </c>
      <c r="BE129" s="151" t="s">
        <v>120</v>
      </c>
      <c r="BF129" s="156"/>
      <c r="BG129" s="153">
        <v>219</v>
      </c>
      <c r="BH129" s="154">
        <f t="shared" si="28"/>
        <v>283.539</v>
      </c>
      <c r="BI129" s="154">
        <f t="shared" si="29"/>
        <v>3.9695460000000002</v>
      </c>
      <c r="BJ129" s="415">
        <f t="shared" si="24"/>
        <v>210</v>
      </c>
      <c r="BK129" s="415">
        <f t="shared" si="25"/>
        <v>15</v>
      </c>
      <c r="BL129" s="415">
        <f t="shared" si="26"/>
        <v>15</v>
      </c>
      <c r="BM129" s="415">
        <f t="shared" si="27"/>
        <v>59.54319</v>
      </c>
    </row>
    <row r="130" spans="1:65" s="129" customFormat="1" ht="18.75" outlineLevel="1">
      <c r="A130" s="141" t="s">
        <v>459</v>
      </c>
      <c r="B130" s="177" t="s">
        <v>460</v>
      </c>
      <c r="C130" s="184" t="s">
        <v>461</v>
      </c>
      <c r="D130" s="144">
        <v>0.4</v>
      </c>
      <c r="E130" s="145"/>
      <c r="F130" s="146"/>
      <c r="G130" s="165"/>
      <c r="H130" s="166"/>
      <c r="I130" s="149"/>
      <c r="J130" s="149"/>
      <c r="K130" s="149"/>
      <c r="L130" s="149"/>
      <c r="M130" s="149"/>
      <c r="N130" s="149"/>
      <c r="O130" s="149"/>
      <c r="P130" s="149"/>
      <c r="Q130" s="149"/>
      <c r="R130" s="156"/>
      <c r="S130" s="156"/>
      <c r="T130" s="152"/>
      <c r="U130" s="153"/>
      <c r="V130" s="154" t="e">
        <f t="shared" si="1"/>
        <v>#DIV/0!</v>
      </c>
      <c r="W130" s="154" t="e">
        <f t="shared" si="2"/>
        <v>#DIV/0!</v>
      </c>
      <c r="X130" s="155"/>
      <c r="Y130" s="146"/>
      <c r="Z130" s="165"/>
      <c r="AA130" s="166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56"/>
      <c r="AL130" s="156"/>
      <c r="AM130" s="156"/>
      <c r="AN130" s="153"/>
      <c r="AO130" s="154" t="e">
        <f t="shared" si="4"/>
        <v>#DIV/0!</v>
      </c>
      <c r="AP130" s="154" t="e">
        <f t="shared" si="5"/>
        <v>#DIV/0!</v>
      </c>
      <c r="AQ130" s="145">
        <v>233</v>
      </c>
      <c r="AR130" s="146">
        <v>15</v>
      </c>
      <c r="AS130" s="147">
        <v>15</v>
      </c>
      <c r="AT130" s="166">
        <v>138.12552</v>
      </c>
      <c r="AU130" s="149">
        <v>97.45306</v>
      </c>
      <c r="AV130" s="149">
        <v>24.19472</v>
      </c>
      <c r="AW130" s="149">
        <f>26.9988+35.9984</f>
        <v>62.99719999999999</v>
      </c>
      <c r="AX130" s="149">
        <v>18.95774</v>
      </c>
      <c r="AY130" s="149">
        <v>0</v>
      </c>
      <c r="AZ130" s="149">
        <v>0</v>
      </c>
      <c r="BA130" s="149">
        <v>9.68597</v>
      </c>
      <c r="BB130" s="149">
        <v>103.84</v>
      </c>
      <c r="BC130" s="149">
        <v>8.9996</v>
      </c>
      <c r="BD130" s="150" t="s">
        <v>119</v>
      </c>
      <c r="BE130" s="151" t="s">
        <v>120</v>
      </c>
      <c r="BF130" s="156"/>
      <c r="BG130" s="153">
        <v>227</v>
      </c>
      <c r="BH130" s="154">
        <f t="shared" si="28"/>
        <v>592.8133905579399</v>
      </c>
      <c r="BI130" s="154">
        <f t="shared" si="29"/>
        <v>9.208368</v>
      </c>
      <c r="BJ130" s="415">
        <f t="shared" si="24"/>
        <v>233</v>
      </c>
      <c r="BK130" s="415">
        <f t="shared" si="25"/>
        <v>15</v>
      </c>
      <c r="BL130" s="415">
        <f t="shared" si="26"/>
        <v>15</v>
      </c>
      <c r="BM130" s="415">
        <f t="shared" si="27"/>
        <v>138.12552</v>
      </c>
    </row>
    <row r="131" spans="1:65" s="129" customFormat="1" ht="18.75" outlineLevel="1">
      <c r="A131" s="141" t="s">
        <v>462</v>
      </c>
      <c r="B131" s="177" t="s">
        <v>463</v>
      </c>
      <c r="C131" s="184" t="s">
        <v>464</v>
      </c>
      <c r="D131" s="144">
        <v>0.4</v>
      </c>
      <c r="E131" s="145"/>
      <c r="F131" s="146"/>
      <c r="G131" s="165"/>
      <c r="H131" s="166"/>
      <c r="I131" s="149"/>
      <c r="J131" s="149"/>
      <c r="K131" s="149"/>
      <c r="L131" s="149"/>
      <c r="M131" s="149"/>
      <c r="N131" s="149"/>
      <c r="O131" s="149"/>
      <c r="P131" s="149"/>
      <c r="Q131" s="149"/>
      <c r="R131" s="156"/>
      <c r="S131" s="156"/>
      <c r="T131" s="152"/>
      <c r="U131" s="153"/>
      <c r="V131" s="154" t="e">
        <f t="shared" si="1"/>
        <v>#DIV/0!</v>
      </c>
      <c r="W131" s="154" t="e">
        <f t="shared" si="2"/>
        <v>#DIV/0!</v>
      </c>
      <c r="X131" s="155"/>
      <c r="Y131" s="146"/>
      <c r="Z131" s="165"/>
      <c r="AA131" s="166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56"/>
      <c r="AL131" s="156"/>
      <c r="AM131" s="156"/>
      <c r="AN131" s="153"/>
      <c r="AO131" s="154" t="e">
        <f t="shared" si="4"/>
        <v>#DIV/0!</v>
      </c>
      <c r="AP131" s="154" t="e">
        <f t="shared" si="5"/>
        <v>#DIV/0!</v>
      </c>
      <c r="AQ131" s="145">
        <v>140</v>
      </c>
      <c r="AR131" s="146">
        <v>15</v>
      </c>
      <c r="AS131" s="147">
        <v>15</v>
      </c>
      <c r="AT131" s="166">
        <v>94.51093</v>
      </c>
      <c r="AU131" s="149">
        <v>64.22303</v>
      </c>
      <c r="AV131" s="149">
        <v>14.5376</v>
      </c>
      <c r="AW131" s="149">
        <f>8.97358+35.89432</f>
        <v>44.8679</v>
      </c>
      <c r="AX131" s="149">
        <v>14.14836</v>
      </c>
      <c r="AY131" s="149">
        <v>0</v>
      </c>
      <c r="AZ131" s="149">
        <v>0</v>
      </c>
      <c r="BA131" s="149">
        <v>7.19429</v>
      </c>
      <c r="BB131" s="149">
        <v>103.84</v>
      </c>
      <c r="BC131" s="149">
        <v>8.97358</v>
      </c>
      <c r="BD131" s="150" t="s">
        <v>119</v>
      </c>
      <c r="BE131" s="151" t="s">
        <v>120</v>
      </c>
      <c r="BF131" s="156"/>
      <c r="BG131" s="153">
        <v>281</v>
      </c>
      <c r="BH131" s="154">
        <f t="shared" si="28"/>
        <v>675.0780714285714</v>
      </c>
      <c r="BI131" s="154">
        <f t="shared" si="29"/>
        <v>6.300728666666667</v>
      </c>
      <c r="BJ131" s="415">
        <f t="shared" si="24"/>
        <v>140</v>
      </c>
      <c r="BK131" s="415">
        <f t="shared" si="25"/>
        <v>15</v>
      </c>
      <c r="BL131" s="415">
        <f t="shared" si="26"/>
        <v>15</v>
      </c>
      <c r="BM131" s="415">
        <f t="shared" si="27"/>
        <v>94.51093</v>
      </c>
    </row>
    <row r="132" spans="1:65" s="129" customFormat="1" ht="18.75" outlineLevel="1">
      <c r="A132" s="141" t="s">
        <v>465</v>
      </c>
      <c r="B132" s="177" t="s">
        <v>466</v>
      </c>
      <c r="C132" s="184" t="s">
        <v>467</v>
      </c>
      <c r="D132" s="144">
        <v>0.4</v>
      </c>
      <c r="E132" s="145"/>
      <c r="F132" s="146"/>
      <c r="G132" s="165"/>
      <c r="H132" s="166"/>
      <c r="I132" s="149"/>
      <c r="J132" s="149"/>
      <c r="K132" s="149"/>
      <c r="L132" s="149"/>
      <c r="M132" s="149"/>
      <c r="N132" s="149"/>
      <c r="O132" s="149"/>
      <c r="P132" s="149"/>
      <c r="Q132" s="149"/>
      <c r="R132" s="156"/>
      <c r="S132" s="156"/>
      <c r="T132" s="152"/>
      <c r="U132" s="153"/>
      <c r="V132" s="154" t="e">
        <f t="shared" si="1"/>
        <v>#DIV/0!</v>
      </c>
      <c r="W132" s="154" t="e">
        <f t="shared" si="2"/>
        <v>#DIV/0!</v>
      </c>
      <c r="X132" s="155"/>
      <c r="Y132" s="146"/>
      <c r="Z132" s="165"/>
      <c r="AA132" s="166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56"/>
      <c r="AL132" s="156"/>
      <c r="AM132" s="156"/>
      <c r="AN132" s="153"/>
      <c r="AO132" s="154" t="e">
        <f t="shared" si="4"/>
        <v>#DIV/0!</v>
      </c>
      <c r="AP132" s="154" t="e">
        <f t="shared" si="5"/>
        <v>#DIV/0!</v>
      </c>
      <c r="AQ132" s="145">
        <v>36</v>
      </c>
      <c r="AR132" s="146">
        <v>15</v>
      </c>
      <c r="AS132" s="147">
        <v>15</v>
      </c>
      <c r="AT132" s="166">
        <v>22.14434</v>
      </c>
      <c r="AU132" s="149">
        <v>15.83583</v>
      </c>
      <c r="AV132" s="149">
        <v>3.73824</v>
      </c>
      <c r="AW132" s="149">
        <v>8.97359</v>
      </c>
      <c r="AX132" s="149">
        <v>2.87385</v>
      </c>
      <c r="AY132" s="149">
        <v>0</v>
      </c>
      <c r="AZ132" s="149">
        <v>0</v>
      </c>
      <c r="BA132" s="149">
        <v>1.52885</v>
      </c>
      <c r="BB132" s="149">
        <v>103.84</v>
      </c>
      <c r="BC132" s="149">
        <v>8.97359</v>
      </c>
      <c r="BD132" s="150" t="s">
        <v>119</v>
      </c>
      <c r="BE132" s="151" t="s">
        <v>120</v>
      </c>
      <c r="BF132" s="156"/>
      <c r="BG132" s="153">
        <v>289</v>
      </c>
      <c r="BH132" s="154">
        <f t="shared" si="28"/>
        <v>615.1205555555556</v>
      </c>
      <c r="BI132" s="154">
        <f t="shared" si="29"/>
        <v>1.4762893333333333</v>
      </c>
      <c r="BJ132" s="415">
        <f t="shared" si="24"/>
        <v>36</v>
      </c>
      <c r="BK132" s="415">
        <f t="shared" si="25"/>
        <v>15</v>
      </c>
      <c r="BL132" s="415">
        <f t="shared" si="26"/>
        <v>15</v>
      </c>
      <c r="BM132" s="415">
        <f t="shared" si="27"/>
        <v>22.14434</v>
      </c>
    </row>
    <row r="133" spans="1:65" s="129" customFormat="1" ht="14.25">
      <c r="A133" s="141"/>
      <c r="B133" s="179"/>
      <c r="C133" s="180"/>
      <c r="D133" s="144"/>
      <c r="E133" s="145"/>
      <c r="F133" s="146"/>
      <c r="G133" s="165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56"/>
      <c r="S133" s="156"/>
      <c r="T133" s="152"/>
      <c r="U133" s="153"/>
      <c r="V133" s="154" t="e">
        <f t="shared" si="1"/>
        <v>#DIV/0!</v>
      </c>
      <c r="W133" s="154" t="e">
        <f t="shared" si="2"/>
        <v>#DIV/0!</v>
      </c>
      <c r="X133" s="155"/>
      <c r="Y133" s="146"/>
      <c r="Z133" s="165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56"/>
      <c r="AL133" s="156"/>
      <c r="AM133" s="156"/>
      <c r="AN133" s="153"/>
      <c r="AO133" s="154" t="e">
        <f t="shared" si="4"/>
        <v>#DIV/0!</v>
      </c>
      <c r="AP133" s="154" t="e">
        <f t="shared" si="5"/>
        <v>#DIV/0!</v>
      </c>
      <c r="AQ133" s="145"/>
      <c r="AR133" s="146"/>
      <c r="AS133" s="147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56"/>
      <c r="BE133" s="156"/>
      <c r="BF133" s="156"/>
      <c r="BG133" s="153"/>
      <c r="BH133" s="154" t="e">
        <f t="shared" si="28"/>
        <v>#DIV/0!</v>
      </c>
      <c r="BI133" s="154" t="e">
        <f t="shared" si="29"/>
        <v>#DIV/0!</v>
      </c>
      <c r="BJ133" s="415">
        <f t="shared" si="24"/>
        <v>0</v>
      </c>
      <c r="BK133" s="415">
        <f t="shared" si="25"/>
        <v>0</v>
      </c>
      <c r="BL133" s="415">
        <f t="shared" si="26"/>
        <v>0</v>
      </c>
      <c r="BM133" s="415">
        <f t="shared" si="27"/>
        <v>0</v>
      </c>
    </row>
    <row r="134" spans="1:65" s="129" customFormat="1" ht="24.75" customHeight="1">
      <c r="A134" s="130" t="s">
        <v>468</v>
      </c>
      <c r="B134" s="131" t="s">
        <v>469</v>
      </c>
      <c r="C134" s="132"/>
      <c r="D134" s="133">
        <v>0.4</v>
      </c>
      <c r="E134" s="134">
        <f aca="true" t="shared" si="30" ref="E134:Q134">SUM(E135:E161)</f>
        <v>1142</v>
      </c>
      <c r="F134" s="134">
        <f t="shared" si="30"/>
        <v>120</v>
      </c>
      <c r="G134" s="134">
        <f>SUM(G135:G161)</f>
        <v>120</v>
      </c>
      <c r="H134" s="135">
        <f t="shared" si="30"/>
        <v>749.28375</v>
      </c>
      <c r="I134" s="135">
        <f t="shared" si="30"/>
        <v>561.05113</v>
      </c>
      <c r="J134" s="135">
        <f t="shared" si="30"/>
        <v>140.01309999999998</v>
      </c>
      <c r="K134" s="135">
        <f t="shared" si="30"/>
        <v>343.9855</v>
      </c>
      <c r="L134" s="135">
        <f t="shared" si="30"/>
        <v>97.04781</v>
      </c>
      <c r="M134" s="135">
        <f t="shared" si="30"/>
        <v>0</v>
      </c>
      <c r="N134" s="135">
        <f t="shared" si="30"/>
        <v>0</v>
      </c>
      <c r="O134" s="135">
        <f t="shared" si="30"/>
        <v>40.259100000000004</v>
      </c>
      <c r="P134" s="135">
        <f t="shared" si="30"/>
        <v>953.9875800000002</v>
      </c>
      <c r="Q134" s="135">
        <f t="shared" si="30"/>
        <v>66.19711000000001</v>
      </c>
      <c r="R134" s="136"/>
      <c r="S134" s="136"/>
      <c r="T134" s="137"/>
      <c r="U134" s="138"/>
      <c r="V134" s="139">
        <f t="shared" si="1"/>
        <v>656.1153677758319</v>
      </c>
      <c r="W134" s="139">
        <f t="shared" si="2"/>
        <v>6.244031250000001</v>
      </c>
      <c r="X134" s="140">
        <f aca="true" t="shared" si="31" ref="X134:AJ134">SUM(X135:X161)</f>
        <v>1480</v>
      </c>
      <c r="Y134" s="134">
        <f t="shared" si="31"/>
        <v>105</v>
      </c>
      <c r="Z134" s="134">
        <f t="shared" si="31"/>
        <v>105</v>
      </c>
      <c r="AA134" s="135">
        <f t="shared" si="31"/>
        <v>1077.24179</v>
      </c>
      <c r="AB134" s="135">
        <f t="shared" si="31"/>
        <v>803.2621899999999</v>
      </c>
      <c r="AC134" s="135">
        <f t="shared" si="31"/>
        <v>195.18365</v>
      </c>
      <c r="AD134" s="135">
        <f>SUM(AE135:AE161)</f>
        <v>135.8607</v>
      </c>
      <c r="AE134" s="135">
        <f t="shared" si="31"/>
        <v>135.8607</v>
      </c>
      <c r="AF134" s="135">
        <f t="shared" si="31"/>
        <v>0</v>
      </c>
      <c r="AG134" s="135">
        <f>SUM(AE135:AE161)</f>
        <v>135.8607</v>
      </c>
      <c r="AH134" s="135">
        <f t="shared" si="31"/>
        <v>59.813289999999995</v>
      </c>
      <c r="AI134" s="135">
        <f t="shared" si="31"/>
        <v>923.17</v>
      </c>
      <c r="AJ134" s="135">
        <f t="shared" si="31"/>
        <v>63.97595</v>
      </c>
      <c r="AK134" s="136"/>
      <c r="AL134" s="136"/>
      <c r="AM134" s="136"/>
      <c r="AN134" s="138"/>
      <c r="AO134" s="139">
        <f t="shared" si="4"/>
        <v>727.8660743243244</v>
      </c>
      <c r="AP134" s="139">
        <f t="shared" si="5"/>
        <v>10.25944561904762</v>
      </c>
      <c r="AQ134" s="134">
        <f aca="true" t="shared" si="32" ref="AQ134:BC134">SUM(AQ135:AQ161)</f>
        <v>2030</v>
      </c>
      <c r="AR134" s="134">
        <f t="shared" si="32"/>
        <v>294</v>
      </c>
      <c r="AS134" s="134">
        <f t="shared" si="32"/>
        <v>294</v>
      </c>
      <c r="AT134" s="135">
        <f t="shared" si="32"/>
        <v>1580.6219600000002</v>
      </c>
      <c r="AU134" s="135">
        <f t="shared" si="32"/>
        <v>1118.77214</v>
      </c>
      <c r="AV134" s="135">
        <f t="shared" si="32"/>
        <v>267.7164</v>
      </c>
      <c r="AW134" s="135">
        <f>SUM(AX135:AX161)</f>
        <v>214.53213</v>
      </c>
      <c r="AX134" s="135">
        <f t="shared" si="32"/>
        <v>214.53213</v>
      </c>
      <c r="AY134" s="135">
        <f t="shared" si="32"/>
        <v>0</v>
      </c>
      <c r="AZ134" s="135">
        <f t="shared" si="32"/>
        <v>0</v>
      </c>
      <c r="BA134" s="135">
        <f t="shared" si="32"/>
        <v>109.78728</v>
      </c>
      <c r="BB134" s="135">
        <f t="shared" si="32"/>
        <v>1450.6800000000003</v>
      </c>
      <c r="BC134" s="135">
        <f t="shared" si="32"/>
        <v>101.68531000000002</v>
      </c>
      <c r="BD134" s="136"/>
      <c r="BE134" s="136"/>
      <c r="BF134" s="136"/>
      <c r="BG134" s="138"/>
      <c r="BH134" s="139">
        <f t="shared" si="28"/>
        <v>778.6315073891626</v>
      </c>
      <c r="BI134" s="139">
        <f t="shared" si="29"/>
        <v>5.376265170068028</v>
      </c>
      <c r="BJ134" s="415">
        <f t="shared" si="24"/>
        <v>4652</v>
      </c>
      <c r="BK134" s="415">
        <f t="shared" si="25"/>
        <v>519</v>
      </c>
      <c r="BL134" s="415">
        <f t="shared" si="26"/>
        <v>519</v>
      </c>
      <c r="BM134" s="415">
        <f t="shared" si="27"/>
        <v>3407.1475</v>
      </c>
    </row>
    <row r="135" spans="1:65" s="129" customFormat="1" ht="18.75" outlineLevel="1">
      <c r="A135" s="141" t="s">
        <v>470</v>
      </c>
      <c r="B135" s="142" t="s">
        <v>471</v>
      </c>
      <c r="C135" s="158" t="s">
        <v>472</v>
      </c>
      <c r="D135" s="144">
        <v>0.4</v>
      </c>
      <c r="E135" s="145">
        <v>125</v>
      </c>
      <c r="F135" s="146">
        <v>15</v>
      </c>
      <c r="G135" s="146">
        <v>15</v>
      </c>
      <c r="H135" s="148">
        <v>65.9993</v>
      </c>
      <c r="I135" s="149">
        <v>46.94394</v>
      </c>
      <c r="J135" s="149">
        <v>10.34985</v>
      </c>
      <c r="K135" s="149">
        <v>15.04068</v>
      </c>
      <c r="L135" s="149">
        <v>9.9023</v>
      </c>
      <c r="M135" s="149">
        <v>0</v>
      </c>
      <c r="N135" s="149">
        <v>0</v>
      </c>
      <c r="O135" s="149">
        <v>4.05229</v>
      </c>
      <c r="P135" s="149">
        <v>82.7988</v>
      </c>
      <c r="Q135" s="149">
        <v>7.52</v>
      </c>
      <c r="R135" s="150" t="s">
        <v>119</v>
      </c>
      <c r="S135" s="151" t="s">
        <v>120</v>
      </c>
      <c r="T135" s="152"/>
      <c r="U135" s="153">
        <v>37</v>
      </c>
      <c r="V135" s="154">
        <f t="shared" si="1"/>
        <v>527.9944</v>
      </c>
      <c r="W135" s="154">
        <f t="shared" si="2"/>
        <v>4.399953333333333</v>
      </c>
      <c r="X135" s="155"/>
      <c r="Y135" s="146"/>
      <c r="Z135" s="146"/>
      <c r="AA135" s="148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56"/>
      <c r="AL135" s="156"/>
      <c r="AM135" s="156"/>
      <c r="AN135" s="153"/>
      <c r="AO135" s="154" t="e">
        <f t="shared" si="4"/>
        <v>#DIV/0!</v>
      </c>
      <c r="AP135" s="154" t="e">
        <f t="shared" si="5"/>
        <v>#DIV/0!</v>
      </c>
      <c r="AQ135" s="145"/>
      <c r="AR135" s="146"/>
      <c r="AS135" s="146"/>
      <c r="AT135" s="148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56"/>
      <c r="BE135" s="156"/>
      <c r="BF135" s="156"/>
      <c r="BG135" s="153"/>
      <c r="BH135" s="154" t="e">
        <f t="shared" si="28"/>
        <v>#DIV/0!</v>
      </c>
      <c r="BI135" s="154" t="e">
        <f t="shared" si="29"/>
        <v>#DIV/0!</v>
      </c>
      <c r="BJ135" s="415">
        <f t="shared" si="24"/>
        <v>125</v>
      </c>
      <c r="BK135" s="415">
        <f t="shared" si="25"/>
        <v>15</v>
      </c>
      <c r="BL135" s="415">
        <f t="shared" si="26"/>
        <v>15</v>
      </c>
      <c r="BM135" s="415">
        <f t="shared" si="27"/>
        <v>65.9993</v>
      </c>
    </row>
    <row r="136" spans="1:65" s="129" customFormat="1" ht="18.75" outlineLevel="1">
      <c r="A136" s="141" t="s">
        <v>473</v>
      </c>
      <c r="B136" s="142" t="s">
        <v>474</v>
      </c>
      <c r="C136" s="158" t="s">
        <v>475</v>
      </c>
      <c r="D136" s="144">
        <v>0.4</v>
      </c>
      <c r="E136" s="145">
        <v>82</v>
      </c>
      <c r="F136" s="146">
        <v>15</v>
      </c>
      <c r="G136" s="146">
        <v>15</v>
      </c>
      <c r="H136" s="148">
        <v>38.44028</v>
      </c>
      <c r="I136" s="149">
        <v>28.40891</v>
      </c>
      <c r="J136" s="149">
        <v>6.7895</v>
      </c>
      <c r="K136" s="149">
        <v>14.5322</v>
      </c>
      <c r="L136" s="149">
        <v>5.07744</v>
      </c>
      <c r="M136" s="149">
        <v>0</v>
      </c>
      <c r="N136" s="149">
        <v>0</v>
      </c>
      <c r="O136" s="149">
        <v>2.19172</v>
      </c>
      <c r="P136" s="149">
        <v>82.79878</v>
      </c>
      <c r="Q136" s="149">
        <v>7.2661</v>
      </c>
      <c r="R136" s="150" t="s">
        <v>119</v>
      </c>
      <c r="S136" s="151" t="s">
        <v>120</v>
      </c>
      <c r="T136" s="152"/>
      <c r="U136" s="153">
        <v>68</v>
      </c>
      <c r="V136" s="154">
        <f t="shared" si="1"/>
        <v>468.7839024390244</v>
      </c>
      <c r="W136" s="154">
        <f t="shared" si="2"/>
        <v>2.5626853333333335</v>
      </c>
      <c r="X136" s="155"/>
      <c r="Y136" s="146"/>
      <c r="Z136" s="146"/>
      <c r="AA136" s="148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56"/>
      <c r="AL136" s="156"/>
      <c r="AM136" s="156"/>
      <c r="AN136" s="153"/>
      <c r="AO136" s="154" t="e">
        <f t="shared" si="4"/>
        <v>#DIV/0!</v>
      </c>
      <c r="AP136" s="154" t="e">
        <f t="shared" si="5"/>
        <v>#DIV/0!</v>
      </c>
      <c r="AQ136" s="145"/>
      <c r="AR136" s="146"/>
      <c r="AS136" s="146"/>
      <c r="AT136" s="148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56"/>
      <c r="BE136" s="156"/>
      <c r="BF136" s="156"/>
      <c r="BG136" s="153"/>
      <c r="BH136" s="154" t="e">
        <f t="shared" si="28"/>
        <v>#DIV/0!</v>
      </c>
      <c r="BI136" s="154" t="e">
        <f t="shared" si="29"/>
        <v>#DIV/0!</v>
      </c>
      <c r="BJ136" s="415">
        <f t="shared" si="24"/>
        <v>82</v>
      </c>
      <c r="BK136" s="415">
        <f t="shared" si="25"/>
        <v>15</v>
      </c>
      <c r="BL136" s="415">
        <f t="shared" si="26"/>
        <v>15</v>
      </c>
      <c r="BM136" s="415">
        <f t="shared" si="27"/>
        <v>38.44028</v>
      </c>
    </row>
    <row r="137" spans="1:65" s="129" customFormat="1" ht="18.75" outlineLevel="1">
      <c r="A137" s="141" t="s">
        <v>476</v>
      </c>
      <c r="B137" s="142" t="s">
        <v>162</v>
      </c>
      <c r="C137" s="158" t="s">
        <v>163</v>
      </c>
      <c r="D137" s="144">
        <v>0.4</v>
      </c>
      <c r="E137" s="145">
        <v>190</v>
      </c>
      <c r="F137" s="146">
        <v>15</v>
      </c>
      <c r="G137" s="146">
        <v>15</v>
      </c>
      <c r="H137" s="171">
        <v>68.694</v>
      </c>
      <c r="I137" s="172">
        <v>53.922</v>
      </c>
      <c r="J137" s="172">
        <v>24.9717</v>
      </c>
      <c r="K137" s="172">
        <v>28.95</v>
      </c>
      <c r="L137" s="172">
        <v>7.417</v>
      </c>
      <c r="M137" s="172">
        <v>0</v>
      </c>
      <c r="N137" s="172">
        <v>0</v>
      </c>
      <c r="O137" s="172">
        <v>3.313</v>
      </c>
      <c r="P137" s="172">
        <v>131.43</v>
      </c>
      <c r="Q137" s="172">
        <v>7.69812</v>
      </c>
      <c r="R137" s="150" t="s">
        <v>119</v>
      </c>
      <c r="S137" s="151" t="s">
        <v>120</v>
      </c>
      <c r="T137" s="152"/>
      <c r="U137" s="153">
        <v>81</v>
      </c>
      <c r="V137" s="154">
        <f t="shared" si="1"/>
        <v>361.5473684210527</v>
      </c>
      <c r="W137" s="154">
        <f t="shared" si="2"/>
        <v>4.5796</v>
      </c>
      <c r="X137" s="155"/>
      <c r="Y137" s="146"/>
      <c r="Z137" s="146"/>
      <c r="AA137" s="185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56"/>
      <c r="AL137" s="156"/>
      <c r="AM137" s="156"/>
      <c r="AN137" s="153"/>
      <c r="AO137" s="154" t="e">
        <f t="shared" si="4"/>
        <v>#DIV/0!</v>
      </c>
      <c r="AP137" s="154" t="e">
        <f t="shared" si="5"/>
        <v>#DIV/0!</v>
      </c>
      <c r="AQ137" s="145"/>
      <c r="AR137" s="146"/>
      <c r="AS137" s="146"/>
      <c r="AT137" s="185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56"/>
      <c r="BE137" s="156"/>
      <c r="BF137" s="156"/>
      <c r="BG137" s="153"/>
      <c r="BH137" s="154" t="e">
        <f t="shared" si="28"/>
        <v>#DIV/0!</v>
      </c>
      <c r="BI137" s="154" t="e">
        <f t="shared" si="29"/>
        <v>#DIV/0!</v>
      </c>
      <c r="BJ137" s="415">
        <f t="shared" si="24"/>
        <v>190</v>
      </c>
      <c r="BK137" s="415">
        <f t="shared" si="25"/>
        <v>15</v>
      </c>
      <c r="BL137" s="415">
        <f t="shared" si="26"/>
        <v>15</v>
      </c>
      <c r="BM137" s="415">
        <f t="shared" si="27"/>
        <v>68.694</v>
      </c>
    </row>
    <row r="138" spans="1:65" s="129" customFormat="1" ht="18.75" outlineLevel="1">
      <c r="A138" s="141" t="s">
        <v>477</v>
      </c>
      <c r="B138" s="142" t="s">
        <v>478</v>
      </c>
      <c r="C138" s="158" t="s">
        <v>479</v>
      </c>
      <c r="D138" s="144">
        <v>0.4</v>
      </c>
      <c r="E138" s="145">
        <v>70</v>
      </c>
      <c r="F138" s="146">
        <v>15</v>
      </c>
      <c r="G138" s="146">
        <v>15</v>
      </c>
      <c r="H138" s="148">
        <v>65.0047</v>
      </c>
      <c r="I138" s="149">
        <v>48.27333</v>
      </c>
      <c r="J138" s="149">
        <v>9.1868</v>
      </c>
      <c r="K138" s="149">
        <f>15.80154+15.80154</f>
        <v>31.60308</v>
      </c>
      <c r="L138" s="149">
        <v>8.57654</v>
      </c>
      <c r="M138" s="149">
        <v>0</v>
      </c>
      <c r="N138" s="149">
        <v>0</v>
      </c>
      <c r="O138" s="149">
        <v>3.56739</v>
      </c>
      <c r="P138" s="149">
        <v>131.24</v>
      </c>
      <c r="Q138" s="149">
        <v>7.90077</v>
      </c>
      <c r="R138" s="150" t="s">
        <v>119</v>
      </c>
      <c r="S138" s="151" t="s">
        <v>120</v>
      </c>
      <c r="T138" s="152"/>
      <c r="U138" s="153">
        <v>123</v>
      </c>
      <c r="V138" s="154">
        <f t="shared" si="1"/>
        <v>928.6385714285714</v>
      </c>
      <c r="W138" s="154">
        <f t="shared" si="2"/>
        <v>4.333646666666667</v>
      </c>
      <c r="X138" s="155"/>
      <c r="Y138" s="146"/>
      <c r="Z138" s="146"/>
      <c r="AA138" s="148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56"/>
      <c r="AL138" s="156"/>
      <c r="AM138" s="156"/>
      <c r="AN138" s="153"/>
      <c r="AO138" s="154" t="e">
        <f t="shared" si="4"/>
        <v>#DIV/0!</v>
      </c>
      <c r="AP138" s="154" t="e">
        <f t="shared" si="5"/>
        <v>#DIV/0!</v>
      </c>
      <c r="AQ138" s="145"/>
      <c r="AR138" s="146"/>
      <c r="AS138" s="146"/>
      <c r="AT138" s="148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56"/>
      <c r="BE138" s="156"/>
      <c r="BF138" s="156"/>
      <c r="BG138" s="153"/>
      <c r="BH138" s="154" t="e">
        <f t="shared" si="28"/>
        <v>#DIV/0!</v>
      </c>
      <c r="BI138" s="154" t="e">
        <f t="shared" si="29"/>
        <v>#DIV/0!</v>
      </c>
      <c r="BJ138" s="415">
        <f t="shared" si="24"/>
        <v>70</v>
      </c>
      <c r="BK138" s="415">
        <f t="shared" si="25"/>
        <v>15</v>
      </c>
      <c r="BL138" s="415">
        <f t="shared" si="26"/>
        <v>15</v>
      </c>
      <c r="BM138" s="415">
        <f t="shared" si="27"/>
        <v>65.0047</v>
      </c>
    </row>
    <row r="139" spans="1:65" s="129" customFormat="1" ht="18.75" outlineLevel="1">
      <c r="A139" s="141" t="s">
        <v>480</v>
      </c>
      <c r="B139" s="187" t="s">
        <v>481</v>
      </c>
      <c r="C139" s="158" t="s">
        <v>482</v>
      </c>
      <c r="D139" s="144">
        <v>0.4</v>
      </c>
      <c r="E139" s="145">
        <v>140</v>
      </c>
      <c r="F139" s="146">
        <v>15</v>
      </c>
      <c r="G139" s="146">
        <v>15</v>
      </c>
      <c r="H139" s="148">
        <v>93.3672</v>
      </c>
      <c r="I139" s="149">
        <v>70.31703</v>
      </c>
      <c r="J139" s="149">
        <v>18.4002</v>
      </c>
      <c r="K139" s="149">
        <f>26.48661+17.65774</f>
        <v>44.14435</v>
      </c>
      <c r="L139" s="149">
        <v>11.71813</v>
      </c>
      <c r="M139" s="149">
        <v>0</v>
      </c>
      <c r="N139" s="149">
        <v>0</v>
      </c>
      <c r="O139" s="149">
        <v>4.98668</v>
      </c>
      <c r="P139" s="149">
        <v>131.43</v>
      </c>
      <c r="Q139" s="149">
        <v>8.82887</v>
      </c>
      <c r="R139" s="150" t="s">
        <v>119</v>
      </c>
      <c r="S139" s="151" t="s">
        <v>120</v>
      </c>
      <c r="T139" s="152"/>
      <c r="U139" s="153">
        <v>169</v>
      </c>
      <c r="V139" s="154">
        <f t="shared" si="1"/>
        <v>666.9085714285713</v>
      </c>
      <c r="W139" s="154">
        <f t="shared" si="2"/>
        <v>6.22448</v>
      </c>
      <c r="X139" s="155"/>
      <c r="Y139" s="146"/>
      <c r="Z139" s="146"/>
      <c r="AA139" s="148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56"/>
      <c r="AL139" s="156"/>
      <c r="AM139" s="156"/>
      <c r="AN139" s="153"/>
      <c r="AO139" s="154" t="e">
        <f t="shared" si="4"/>
        <v>#DIV/0!</v>
      </c>
      <c r="AP139" s="154" t="e">
        <f t="shared" si="5"/>
        <v>#DIV/0!</v>
      </c>
      <c r="AQ139" s="145"/>
      <c r="AR139" s="146"/>
      <c r="AS139" s="146"/>
      <c r="AT139" s="148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56"/>
      <c r="BE139" s="156"/>
      <c r="BF139" s="156"/>
      <c r="BG139" s="153"/>
      <c r="BH139" s="154" t="e">
        <f t="shared" si="28"/>
        <v>#DIV/0!</v>
      </c>
      <c r="BI139" s="154" t="e">
        <f t="shared" si="29"/>
        <v>#DIV/0!</v>
      </c>
      <c r="BJ139" s="415">
        <f t="shared" si="24"/>
        <v>140</v>
      </c>
      <c r="BK139" s="415">
        <f t="shared" si="25"/>
        <v>15</v>
      </c>
      <c r="BL139" s="415">
        <f t="shared" si="26"/>
        <v>15</v>
      </c>
      <c r="BM139" s="415">
        <f t="shared" si="27"/>
        <v>93.3672</v>
      </c>
    </row>
    <row r="140" spans="1:65" s="129" customFormat="1" ht="18.75" outlineLevel="1">
      <c r="A140" s="141" t="s">
        <v>483</v>
      </c>
      <c r="B140" s="142" t="s">
        <v>484</v>
      </c>
      <c r="C140" s="158" t="s">
        <v>485</v>
      </c>
      <c r="D140" s="144">
        <v>0.4</v>
      </c>
      <c r="E140" s="145">
        <v>250</v>
      </c>
      <c r="F140" s="146">
        <v>15</v>
      </c>
      <c r="G140" s="146">
        <v>15</v>
      </c>
      <c r="H140" s="148">
        <v>176.63399</v>
      </c>
      <c r="I140" s="149">
        <v>133.8513</v>
      </c>
      <c r="J140" s="149">
        <v>32.8575</v>
      </c>
      <c r="K140" s="149">
        <f>9.41676+75.33408</f>
        <v>84.75084</v>
      </c>
      <c r="L140" s="149">
        <v>22.2012</v>
      </c>
      <c r="M140" s="149">
        <v>0</v>
      </c>
      <c r="N140" s="149">
        <v>0</v>
      </c>
      <c r="O140" s="149">
        <v>9.1006</v>
      </c>
      <c r="P140" s="149">
        <v>131.43</v>
      </c>
      <c r="Q140" s="149">
        <v>9.41676</v>
      </c>
      <c r="R140" s="150" t="s">
        <v>119</v>
      </c>
      <c r="S140" s="151" t="s">
        <v>120</v>
      </c>
      <c r="T140" s="152"/>
      <c r="U140" s="153">
        <v>301</v>
      </c>
      <c r="V140" s="154">
        <f t="shared" si="1"/>
        <v>706.53596</v>
      </c>
      <c r="W140" s="154">
        <f t="shared" si="2"/>
        <v>11.775599333333334</v>
      </c>
      <c r="X140" s="155"/>
      <c r="Y140" s="146"/>
      <c r="Z140" s="146"/>
      <c r="AA140" s="148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56"/>
      <c r="AL140" s="156"/>
      <c r="AM140" s="156"/>
      <c r="AN140" s="153"/>
      <c r="AO140" s="154" t="e">
        <f t="shared" si="4"/>
        <v>#DIV/0!</v>
      </c>
      <c r="AP140" s="154" t="e">
        <f t="shared" si="5"/>
        <v>#DIV/0!</v>
      </c>
      <c r="AQ140" s="145"/>
      <c r="AR140" s="146"/>
      <c r="AS140" s="146"/>
      <c r="AT140" s="148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56"/>
      <c r="BE140" s="156"/>
      <c r="BF140" s="156"/>
      <c r="BG140" s="153"/>
      <c r="BH140" s="154" t="e">
        <f t="shared" si="28"/>
        <v>#DIV/0!</v>
      </c>
      <c r="BI140" s="154" t="e">
        <f t="shared" si="29"/>
        <v>#DIV/0!</v>
      </c>
      <c r="BJ140" s="415">
        <f t="shared" si="24"/>
        <v>250</v>
      </c>
      <c r="BK140" s="415">
        <f t="shared" si="25"/>
        <v>15</v>
      </c>
      <c r="BL140" s="415">
        <f t="shared" si="26"/>
        <v>15</v>
      </c>
      <c r="BM140" s="415">
        <f t="shared" si="27"/>
        <v>176.63399</v>
      </c>
    </row>
    <row r="141" spans="1:65" s="129" customFormat="1" ht="18.75" outlineLevel="1">
      <c r="A141" s="141" t="s">
        <v>486</v>
      </c>
      <c r="B141" s="142" t="s">
        <v>487</v>
      </c>
      <c r="C141" s="158" t="s">
        <v>488</v>
      </c>
      <c r="D141" s="144">
        <v>0.4</v>
      </c>
      <c r="E141" s="145">
        <v>210</v>
      </c>
      <c r="F141" s="146">
        <v>15</v>
      </c>
      <c r="G141" s="146">
        <v>15</v>
      </c>
      <c r="H141" s="148">
        <v>188.35902</v>
      </c>
      <c r="I141" s="149">
        <v>140.19453</v>
      </c>
      <c r="J141" s="149">
        <v>27.6003</v>
      </c>
      <c r="K141" s="149">
        <f>18.06622+54.19866+27.09933</f>
        <v>99.36421</v>
      </c>
      <c r="L141" s="149">
        <v>25.14671</v>
      </c>
      <c r="M141" s="149">
        <v>0</v>
      </c>
      <c r="N141" s="149">
        <v>0</v>
      </c>
      <c r="O141" s="149">
        <v>10.12424</v>
      </c>
      <c r="P141" s="149">
        <v>131.43</v>
      </c>
      <c r="Q141" s="149">
        <v>9.03311</v>
      </c>
      <c r="R141" s="150" t="s">
        <v>119</v>
      </c>
      <c r="S141" s="151" t="s">
        <v>120</v>
      </c>
      <c r="T141" s="152"/>
      <c r="U141" s="153">
        <v>285</v>
      </c>
      <c r="V141" s="154">
        <f t="shared" si="1"/>
        <v>896.9477142857141</v>
      </c>
      <c r="W141" s="154">
        <f t="shared" si="2"/>
        <v>12.557267999999999</v>
      </c>
      <c r="X141" s="155"/>
      <c r="Y141" s="146"/>
      <c r="Z141" s="146"/>
      <c r="AA141" s="148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56"/>
      <c r="AL141" s="156"/>
      <c r="AM141" s="156"/>
      <c r="AN141" s="153"/>
      <c r="AO141" s="154" t="e">
        <f t="shared" si="4"/>
        <v>#DIV/0!</v>
      </c>
      <c r="AP141" s="154" t="e">
        <f t="shared" si="5"/>
        <v>#DIV/0!</v>
      </c>
      <c r="AQ141" s="145"/>
      <c r="AR141" s="146"/>
      <c r="AS141" s="146"/>
      <c r="AT141" s="148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56"/>
      <c r="BE141" s="156"/>
      <c r="BF141" s="156"/>
      <c r="BG141" s="153"/>
      <c r="BH141" s="154" t="e">
        <f t="shared" si="28"/>
        <v>#DIV/0!</v>
      </c>
      <c r="BI141" s="154" t="e">
        <f t="shared" si="29"/>
        <v>#DIV/0!</v>
      </c>
      <c r="BJ141" s="415">
        <f t="shared" si="24"/>
        <v>210</v>
      </c>
      <c r="BK141" s="415">
        <f t="shared" si="25"/>
        <v>15</v>
      </c>
      <c r="BL141" s="415">
        <f t="shared" si="26"/>
        <v>15</v>
      </c>
      <c r="BM141" s="415">
        <f t="shared" si="27"/>
        <v>188.35902</v>
      </c>
    </row>
    <row r="142" spans="1:65" s="129" customFormat="1" ht="18.75" outlineLevel="1">
      <c r="A142" s="141" t="s">
        <v>489</v>
      </c>
      <c r="B142" s="142" t="s">
        <v>490</v>
      </c>
      <c r="C142" s="158" t="s">
        <v>491</v>
      </c>
      <c r="D142" s="144">
        <v>0.4</v>
      </c>
      <c r="E142" s="145">
        <v>75</v>
      </c>
      <c r="F142" s="146">
        <v>15</v>
      </c>
      <c r="G142" s="146">
        <v>15</v>
      </c>
      <c r="H142" s="148">
        <v>52.78526</v>
      </c>
      <c r="I142" s="149">
        <v>39.14009</v>
      </c>
      <c r="J142" s="149">
        <v>9.85725</v>
      </c>
      <c r="K142" s="149">
        <f>8.53338+17.06676</f>
        <v>25.600139999999996</v>
      </c>
      <c r="L142" s="149">
        <v>7.00849</v>
      </c>
      <c r="M142" s="149">
        <v>0</v>
      </c>
      <c r="N142" s="149">
        <v>0</v>
      </c>
      <c r="O142" s="149">
        <v>2.92318</v>
      </c>
      <c r="P142" s="149">
        <v>131.43</v>
      </c>
      <c r="Q142" s="149">
        <v>8.53338</v>
      </c>
      <c r="R142" s="150" t="s">
        <v>119</v>
      </c>
      <c r="S142" s="151" t="s">
        <v>120</v>
      </c>
      <c r="T142" s="152"/>
      <c r="U142" s="153">
        <v>257</v>
      </c>
      <c r="V142" s="154">
        <f t="shared" si="1"/>
        <v>703.8034666666667</v>
      </c>
      <c r="W142" s="154">
        <f t="shared" si="2"/>
        <v>3.519017333333333</v>
      </c>
      <c r="X142" s="155"/>
      <c r="Y142" s="146"/>
      <c r="Z142" s="146"/>
      <c r="AA142" s="148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56"/>
      <c r="AL142" s="156"/>
      <c r="AM142" s="156"/>
      <c r="AN142" s="153"/>
      <c r="AO142" s="154" t="e">
        <f t="shared" si="4"/>
        <v>#DIV/0!</v>
      </c>
      <c r="AP142" s="154" t="e">
        <f t="shared" si="5"/>
        <v>#DIV/0!</v>
      </c>
      <c r="AQ142" s="145"/>
      <c r="AR142" s="146"/>
      <c r="AS142" s="146"/>
      <c r="AT142" s="148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56"/>
      <c r="BE142" s="156"/>
      <c r="BF142" s="156"/>
      <c r="BG142" s="153"/>
      <c r="BH142" s="154" t="e">
        <f t="shared" si="28"/>
        <v>#DIV/0!</v>
      </c>
      <c r="BI142" s="154" t="e">
        <f t="shared" si="29"/>
        <v>#DIV/0!</v>
      </c>
      <c r="BJ142" s="415">
        <f t="shared" si="24"/>
        <v>75</v>
      </c>
      <c r="BK142" s="415">
        <f t="shared" si="25"/>
        <v>15</v>
      </c>
      <c r="BL142" s="415">
        <f t="shared" si="26"/>
        <v>15</v>
      </c>
      <c r="BM142" s="415">
        <f t="shared" si="27"/>
        <v>52.78526</v>
      </c>
    </row>
    <row r="143" spans="1:65" s="129" customFormat="1" ht="18.75" outlineLevel="1">
      <c r="A143" s="141" t="s">
        <v>492</v>
      </c>
      <c r="B143" s="173" t="s">
        <v>493</v>
      </c>
      <c r="C143" s="158" t="s">
        <v>494</v>
      </c>
      <c r="D143" s="144">
        <v>0.4</v>
      </c>
      <c r="E143" s="145"/>
      <c r="F143" s="146"/>
      <c r="G143" s="146"/>
      <c r="H143" s="162"/>
      <c r="I143" s="149"/>
      <c r="J143" s="149"/>
      <c r="K143" s="149"/>
      <c r="L143" s="149"/>
      <c r="M143" s="149"/>
      <c r="N143" s="149"/>
      <c r="O143" s="149"/>
      <c r="P143" s="149"/>
      <c r="Q143" s="149"/>
      <c r="R143" s="156"/>
      <c r="S143" s="156"/>
      <c r="T143" s="152"/>
      <c r="U143" s="153"/>
      <c r="V143" s="154" t="e">
        <f t="shared" si="1"/>
        <v>#DIV/0!</v>
      </c>
      <c r="W143" s="154" t="e">
        <f t="shared" si="2"/>
        <v>#DIV/0!</v>
      </c>
      <c r="X143" s="155">
        <v>100</v>
      </c>
      <c r="Y143" s="146">
        <v>15</v>
      </c>
      <c r="Z143" s="146">
        <v>15</v>
      </c>
      <c r="AA143" s="162">
        <v>88.92802</v>
      </c>
      <c r="AB143" s="149">
        <v>67.26808</v>
      </c>
      <c r="AC143" s="149">
        <v>13.188</v>
      </c>
      <c r="AD143" s="149">
        <f>26.25579+17.50386</f>
        <v>43.75965</v>
      </c>
      <c r="AE143" s="149">
        <v>11.17359</v>
      </c>
      <c r="AF143" s="149">
        <v>0</v>
      </c>
      <c r="AG143" s="149">
        <v>0</v>
      </c>
      <c r="AH143" s="149">
        <v>4.58721</v>
      </c>
      <c r="AI143" s="149">
        <v>131.88</v>
      </c>
      <c r="AJ143" s="149">
        <v>8.75193</v>
      </c>
      <c r="AK143" s="150" t="s">
        <v>119</v>
      </c>
      <c r="AL143" s="151" t="s">
        <v>120</v>
      </c>
      <c r="AM143" s="156"/>
      <c r="AN143" s="153">
        <v>5</v>
      </c>
      <c r="AO143" s="154">
        <f t="shared" si="4"/>
        <v>889.2802</v>
      </c>
      <c r="AP143" s="154">
        <f t="shared" si="5"/>
        <v>5.928534666666667</v>
      </c>
      <c r="AQ143" s="145"/>
      <c r="AR143" s="146"/>
      <c r="AS143" s="146"/>
      <c r="AT143" s="162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56"/>
      <c r="BE143" s="156"/>
      <c r="BF143" s="156"/>
      <c r="BG143" s="153"/>
      <c r="BH143" s="154" t="e">
        <f t="shared" si="28"/>
        <v>#DIV/0!</v>
      </c>
      <c r="BI143" s="154" t="e">
        <f t="shared" si="29"/>
        <v>#DIV/0!</v>
      </c>
      <c r="BJ143" s="415">
        <f t="shared" si="24"/>
        <v>100</v>
      </c>
      <c r="BK143" s="415">
        <f t="shared" si="25"/>
        <v>15</v>
      </c>
      <c r="BL143" s="415">
        <f t="shared" si="26"/>
        <v>15</v>
      </c>
      <c r="BM143" s="415">
        <f t="shared" si="27"/>
        <v>88.92802</v>
      </c>
    </row>
    <row r="144" spans="1:65" s="129" customFormat="1" ht="18.75" outlineLevel="1">
      <c r="A144" s="141" t="s">
        <v>495</v>
      </c>
      <c r="B144" s="173" t="s">
        <v>496</v>
      </c>
      <c r="C144" s="158" t="s">
        <v>497</v>
      </c>
      <c r="D144" s="144">
        <v>0.4</v>
      </c>
      <c r="E144" s="145"/>
      <c r="F144" s="146"/>
      <c r="G144" s="146"/>
      <c r="H144" s="162"/>
      <c r="I144" s="149"/>
      <c r="J144" s="149"/>
      <c r="K144" s="149"/>
      <c r="L144" s="149"/>
      <c r="M144" s="149"/>
      <c r="N144" s="149"/>
      <c r="O144" s="149"/>
      <c r="P144" s="149"/>
      <c r="Q144" s="149"/>
      <c r="R144" s="156"/>
      <c r="S144" s="156"/>
      <c r="T144" s="152"/>
      <c r="U144" s="153"/>
      <c r="V144" s="154" t="e">
        <f t="shared" si="1"/>
        <v>#DIV/0!</v>
      </c>
      <c r="W144" s="154" t="e">
        <f t="shared" si="2"/>
        <v>#DIV/0!</v>
      </c>
      <c r="X144" s="155">
        <v>125</v>
      </c>
      <c r="Y144" s="146">
        <v>15</v>
      </c>
      <c r="Z144" s="146">
        <v>15</v>
      </c>
      <c r="AA144" s="162">
        <v>104.74926</v>
      </c>
      <c r="AB144" s="149">
        <v>78.19707</v>
      </c>
      <c r="AC144" s="149">
        <v>16.48625</v>
      </c>
      <c r="AD144" s="149">
        <f>17.4078+34.8156</f>
        <v>52.223400000000005</v>
      </c>
      <c r="AE144" s="149">
        <v>13.76713</v>
      </c>
      <c r="AF144" s="149">
        <v>0</v>
      </c>
      <c r="AG144" s="149">
        <v>0</v>
      </c>
      <c r="AH144" s="149">
        <v>5.62885</v>
      </c>
      <c r="AI144" s="149">
        <v>131.89</v>
      </c>
      <c r="AJ144" s="149">
        <v>8.7039</v>
      </c>
      <c r="AK144" s="150" t="s">
        <v>119</v>
      </c>
      <c r="AL144" s="151" t="s">
        <v>120</v>
      </c>
      <c r="AM144" s="156"/>
      <c r="AN144" s="153">
        <v>10</v>
      </c>
      <c r="AO144" s="154">
        <f t="shared" si="4"/>
        <v>837.99408</v>
      </c>
      <c r="AP144" s="154">
        <f t="shared" si="5"/>
        <v>6.983284</v>
      </c>
      <c r="AQ144" s="145"/>
      <c r="AR144" s="146"/>
      <c r="AS144" s="146"/>
      <c r="AT144" s="162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56"/>
      <c r="BE144" s="156"/>
      <c r="BF144" s="156"/>
      <c r="BG144" s="153"/>
      <c r="BH144" s="154" t="e">
        <f t="shared" si="28"/>
        <v>#DIV/0!</v>
      </c>
      <c r="BI144" s="154" t="e">
        <f t="shared" si="29"/>
        <v>#DIV/0!</v>
      </c>
      <c r="BJ144" s="415">
        <f t="shared" si="24"/>
        <v>125</v>
      </c>
      <c r="BK144" s="415">
        <f t="shared" si="25"/>
        <v>15</v>
      </c>
      <c r="BL144" s="415">
        <f t="shared" si="26"/>
        <v>15</v>
      </c>
      <c r="BM144" s="415">
        <f t="shared" si="27"/>
        <v>104.74926</v>
      </c>
    </row>
    <row r="145" spans="1:65" s="129" customFormat="1" ht="18.75" outlineLevel="1">
      <c r="A145" s="141" t="s">
        <v>498</v>
      </c>
      <c r="B145" s="173" t="s">
        <v>499</v>
      </c>
      <c r="C145" s="158" t="s">
        <v>500</v>
      </c>
      <c r="D145" s="144">
        <v>0.4</v>
      </c>
      <c r="E145" s="161"/>
      <c r="F145" s="161"/>
      <c r="G145" s="161"/>
      <c r="H145" s="188"/>
      <c r="I145" s="186"/>
      <c r="J145" s="186"/>
      <c r="K145" s="186"/>
      <c r="L145" s="186"/>
      <c r="M145" s="186"/>
      <c r="N145" s="186"/>
      <c r="O145" s="186"/>
      <c r="P145" s="186"/>
      <c r="Q145" s="186"/>
      <c r="R145" s="156"/>
      <c r="S145" s="156"/>
      <c r="T145" s="152"/>
      <c r="U145" s="153"/>
      <c r="V145" s="154" t="e">
        <f t="shared" si="1"/>
        <v>#DIV/0!</v>
      </c>
      <c r="W145" s="154" t="e">
        <f t="shared" si="2"/>
        <v>#DIV/0!</v>
      </c>
      <c r="X145" s="163">
        <v>260</v>
      </c>
      <c r="Y145" s="161">
        <v>15</v>
      </c>
      <c r="Z145" s="161">
        <v>15</v>
      </c>
      <c r="AA145" s="189">
        <v>273.754</v>
      </c>
      <c r="AB145" s="172">
        <v>203.131</v>
      </c>
      <c r="AC145" s="172">
        <v>34.2888</v>
      </c>
      <c r="AD145" s="172">
        <v>168.842</v>
      </c>
      <c r="AE145" s="172">
        <v>34.792</v>
      </c>
      <c r="AF145" s="172">
        <v>0</v>
      </c>
      <c r="AG145" s="172">
        <v>0</v>
      </c>
      <c r="AH145" s="172">
        <v>15.008</v>
      </c>
      <c r="AI145" s="172">
        <v>131.88</v>
      </c>
      <c r="AJ145" s="172">
        <v>9.72873</v>
      </c>
      <c r="AK145" s="150" t="s">
        <v>119</v>
      </c>
      <c r="AL145" s="151" t="s">
        <v>120</v>
      </c>
      <c r="AM145" s="156"/>
      <c r="AN145" s="153">
        <v>103</v>
      </c>
      <c r="AO145" s="154">
        <f t="shared" si="4"/>
        <v>1052.9</v>
      </c>
      <c r="AP145" s="154">
        <f t="shared" si="5"/>
        <v>18.25026666666667</v>
      </c>
      <c r="AQ145" s="161"/>
      <c r="AR145" s="161"/>
      <c r="AS145" s="161"/>
      <c r="AT145" s="188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56"/>
      <c r="BE145" s="156"/>
      <c r="BF145" s="156"/>
      <c r="BG145" s="153"/>
      <c r="BH145" s="154" t="e">
        <f t="shared" si="28"/>
        <v>#DIV/0!</v>
      </c>
      <c r="BI145" s="154" t="e">
        <f t="shared" si="29"/>
        <v>#DIV/0!</v>
      </c>
      <c r="BJ145" s="415">
        <f t="shared" si="24"/>
        <v>260</v>
      </c>
      <c r="BK145" s="415">
        <f t="shared" si="25"/>
        <v>15</v>
      </c>
      <c r="BL145" s="415">
        <f t="shared" si="26"/>
        <v>15</v>
      </c>
      <c r="BM145" s="415">
        <f t="shared" si="27"/>
        <v>273.754</v>
      </c>
    </row>
    <row r="146" spans="1:65" s="129" customFormat="1" ht="18.75" outlineLevel="1">
      <c r="A146" s="141" t="s">
        <v>501</v>
      </c>
      <c r="B146" s="173" t="s">
        <v>502</v>
      </c>
      <c r="C146" s="158" t="s">
        <v>503</v>
      </c>
      <c r="D146" s="144">
        <v>0.4</v>
      </c>
      <c r="E146" s="161"/>
      <c r="F146" s="161"/>
      <c r="G146" s="161"/>
      <c r="H146" s="162"/>
      <c r="I146" s="149"/>
      <c r="J146" s="149"/>
      <c r="K146" s="149"/>
      <c r="L146" s="149"/>
      <c r="M146" s="149"/>
      <c r="N146" s="149"/>
      <c r="O146" s="149"/>
      <c r="P146" s="149"/>
      <c r="Q146" s="149"/>
      <c r="R146" s="156"/>
      <c r="S146" s="156"/>
      <c r="T146" s="152"/>
      <c r="U146" s="153"/>
      <c r="V146" s="154" t="e">
        <f t="shared" si="1"/>
        <v>#DIV/0!</v>
      </c>
      <c r="W146" s="154" t="e">
        <f t="shared" si="2"/>
        <v>#DIV/0!</v>
      </c>
      <c r="X146" s="163">
        <v>290</v>
      </c>
      <c r="Y146" s="161">
        <v>15</v>
      </c>
      <c r="Z146" s="161">
        <v>15</v>
      </c>
      <c r="AA146" s="162">
        <v>228.25066</v>
      </c>
      <c r="AB146" s="149">
        <v>171.65724</v>
      </c>
      <c r="AC146" s="149">
        <v>38.2452</v>
      </c>
      <c r="AD146" s="149">
        <f>29.86272+19.90848+59.72544</f>
        <v>109.49664</v>
      </c>
      <c r="AE146" s="149">
        <v>27.73585</v>
      </c>
      <c r="AF146" s="149">
        <v>0</v>
      </c>
      <c r="AG146" s="149">
        <v>0</v>
      </c>
      <c r="AH146" s="149">
        <v>12.55942</v>
      </c>
      <c r="AI146" s="149">
        <v>131.88</v>
      </c>
      <c r="AJ146" s="149">
        <v>9.95424</v>
      </c>
      <c r="AK146" s="150" t="s">
        <v>119</v>
      </c>
      <c r="AL146" s="151" t="s">
        <v>120</v>
      </c>
      <c r="AM146" s="156"/>
      <c r="AN146" s="153">
        <v>106</v>
      </c>
      <c r="AO146" s="154">
        <f t="shared" si="4"/>
        <v>787.0712413793104</v>
      </c>
      <c r="AP146" s="154">
        <f t="shared" si="5"/>
        <v>15.216710666666668</v>
      </c>
      <c r="AQ146" s="161"/>
      <c r="AR146" s="161"/>
      <c r="AS146" s="161"/>
      <c r="AT146" s="162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56"/>
      <c r="BE146" s="156"/>
      <c r="BF146" s="156"/>
      <c r="BG146" s="153"/>
      <c r="BH146" s="154" t="e">
        <f t="shared" si="28"/>
        <v>#DIV/0!</v>
      </c>
      <c r="BI146" s="154" t="e">
        <f t="shared" si="29"/>
        <v>#DIV/0!</v>
      </c>
      <c r="BJ146" s="415">
        <f t="shared" si="24"/>
        <v>290</v>
      </c>
      <c r="BK146" s="415">
        <f t="shared" si="25"/>
        <v>15</v>
      </c>
      <c r="BL146" s="415">
        <f t="shared" si="26"/>
        <v>15</v>
      </c>
      <c r="BM146" s="415">
        <f t="shared" si="27"/>
        <v>228.25066</v>
      </c>
    </row>
    <row r="147" spans="1:65" s="129" customFormat="1" ht="18.75" outlineLevel="1">
      <c r="A147" s="141" t="s">
        <v>504</v>
      </c>
      <c r="B147" s="173" t="s">
        <v>418</v>
      </c>
      <c r="C147" s="158" t="s">
        <v>505</v>
      </c>
      <c r="D147" s="144">
        <v>0.4</v>
      </c>
      <c r="E147" s="161"/>
      <c r="F147" s="161"/>
      <c r="G147" s="161"/>
      <c r="H147" s="162"/>
      <c r="I147" s="149"/>
      <c r="J147" s="149"/>
      <c r="K147" s="149"/>
      <c r="L147" s="149"/>
      <c r="M147" s="149"/>
      <c r="N147" s="149"/>
      <c r="O147" s="149"/>
      <c r="P147" s="149"/>
      <c r="Q147" s="149"/>
      <c r="R147" s="156"/>
      <c r="S147" s="156"/>
      <c r="T147" s="152"/>
      <c r="U147" s="153"/>
      <c r="V147" s="154" t="e">
        <f t="shared" si="1"/>
        <v>#DIV/0!</v>
      </c>
      <c r="W147" s="154" t="e">
        <f t="shared" si="2"/>
        <v>#DIV/0!</v>
      </c>
      <c r="X147" s="163">
        <v>260</v>
      </c>
      <c r="Y147" s="161">
        <v>15</v>
      </c>
      <c r="Z147" s="161">
        <v>15</v>
      </c>
      <c r="AA147" s="162">
        <v>79.26901</v>
      </c>
      <c r="AB147" s="149">
        <v>59.00456</v>
      </c>
      <c r="AC147" s="149">
        <v>34.2888</v>
      </c>
      <c r="AD147" s="149">
        <v>18.66658</v>
      </c>
      <c r="AE147" s="149">
        <v>9.62675</v>
      </c>
      <c r="AF147" s="149">
        <v>0</v>
      </c>
      <c r="AG147" s="149">
        <v>0</v>
      </c>
      <c r="AH147" s="149">
        <v>4.78183</v>
      </c>
      <c r="AI147" s="149">
        <v>131.88</v>
      </c>
      <c r="AJ147" s="149">
        <v>9.33329</v>
      </c>
      <c r="AK147" s="150" t="s">
        <v>119</v>
      </c>
      <c r="AL147" s="151" t="s">
        <v>120</v>
      </c>
      <c r="AM147" s="156"/>
      <c r="AN147" s="153">
        <v>130</v>
      </c>
      <c r="AO147" s="154">
        <f t="shared" si="4"/>
        <v>304.8808076923077</v>
      </c>
      <c r="AP147" s="154">
        <f t="shared" si="5"/>
        <v>5.284600666666666</v>
      </c>
      <c r="AQ147" s="161"/>
      <c r="AR147" s="161"/>
      <c r="AS147" s="161"/>
      <c r="AT147" s="162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56"/>
      <c r="BE147" s="156"/>
      <c r="BF147" s="156"/>
      <c r="BG147" s="153"/>
      <c r="BH147" s="154" t="e">
        <f t="shared" si="28"/>
        <v>#DIV/0!</v>
      </c>
      <c r="BI147" s="154" t="e">
        <f t="shared" si="29"/>
        <v>#DIV/0!</v>
      </c>
      <c r="BJ147" s="415">
        <f t="shared" si="24"/>
        <v>260</v>
      </c>
      <c r="BK147" s="415">
        <f t="shared" si="25"/>
        <v>15</v>
      </c>
      <c r="BL147" s="415">
        <f t="shared" si="26"/>
        <v>15</v>
      </c>
      <c r="BM147" s="415">
        <f t="shared" si="27"/>
        <v>79.26901</v>
      </c>
    </row>
    <row r="148" spans="1:65" s="129" customFormat="1" ht="18.75" outlineLevel="1">
      <c r="A148" s="141" t="s">
        <v>506</v>
      </c>
      <c r="B148" s="173" t="s">
        <v>507</v>
      </c>
      <c r="C148" s="158" t="s">
        <v>508</v>
      </c>
      <c r="D148" s="144">
        <v>0.4</v>
      </c>
      <c r="E148" s="161"/>
      <c r="F148" s="161"/>
      <c r="G148" s="161"/>
      <c r="H148" s="162"/>
      <c r="I148" s="149"/>
      <c r="J148" s="149"/>
      <c r="K148" s="149"/>
      <c r="L148" s="149"/>
      <c r="M148" s="149"/>
      <c r="N148" s="149"/>
      <c r="O148" s="149"/>
      <c r="P148" s="149"/>
      <c r="Q148" s="149"/>
      <c r="R148" s="156"/>
      <c r="S148" s="156"/>
      <c r="T148" s="152"/>
      <c r="U148" s="153"/>
      <c r="V148" s="154" t="e">
        <f t="shared" si="1"/>
        <v>#DIV/0!</v>
      </c>
      <c r="W148" s="154" t="e">
        <f t="shared" si="2"/>
        <v>#DIV/0!</v>
      </c>
      <c r="X148" s="163">
        <v>210</v>
      </c>
      <c r="Y148" s="161">
        <v>15</v>
      </c>
      <c r="Z148" s="161">
        <v>15</v>
      </c>
      <c r="AA148" s="162">
        <v>133.07084</v>
      </c>
      <c r="AB148" s="149">
        <v>99.85815</v>
      </c>
      <c r="AC148" s="149">
        <v>27.6948</v>
      </c>
      <c r="AD148" s="149">
        <f>43.75965+17.50386</f>
        <v>61.26351</v>
      </c>
      <c r="AE148" s="149">
        <v>17.00482</v>
      </c>
      <c r="AF148" s="149">
        <v>0</v>
      </c>
      <c r="AG148" s="149">
        <v>0</v>
      </c>
      <c r="AH148" s="149">
        <v>7.12648</v>
      </c>
      <c r="AI148" s="149">
        <v>131.88</v>
      </c>
      <c r="AJ148" s="149">
        <v>8.75193</v>
      </c>
      <c r="AK148" s="150" t="s">
        <v>119</v>
      </c>
      <c r="AL148" s="151" t="s">
        <v>120</v>
      </c>
      <c r="AM148" s="156"/>
      <c r="AN148" s="153">
        <v>171</v>
      </c>
      <c r="AO148" s="154">
        <f t="shared" si="4"/>
        <v>633.6706666666668</v>
      </c>
      <c r="AP148" s="154">
        <f t="shared" si="5"/>
        <v>8.871389333333333</v>
      </c>
      <c r="AQ148" s="161"/>
      <c r="AR148" s="161"/>
      <c r="AS148" s="161"/>
      <c r="AT148" s="162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56"/>
      <c r="BE148" s="156"/>
      <c r="BF148" s="156"/>
      <c r="BG148" s="153"/>
      <c r="BH148" s="154" t="e">
        <f t="shared" si="28"/>
        <v>#DIV/0!</v>
      </c>
      <c r="BI148" s="154" t="e">
        <f t="shared" si="29"/>
        <v>#DIV/0!</v>
      </c>
      <c r="BJ148" s="415">
        <f t="shared" si="24"/>
        <v>210</v>
      </c>
      <c r="BK148" s="415">
        <f t="shared" si="25"/>
        <v>15</v>
      </c>
      <c r="BL148" s="415">
        <f t="shared" si="26"/>
        <v>15</v>
      </c>
      <c r="BM148" s="415">
        <f t="shared" si="27"/>
        <v>133.07084</v>
      </c>
    </row>
    <row r="149" spans="1:65" s="129" customFormat="1" ht="18.75" outlineLevel="1">
      <c r="A149" s="141" t="s">
        <v>509</v>
      </c>
      <c r="B149" s="173" t="s">
        <v>510</v>
      </c>
      <c r="C149" s="190" t="s">
        <v>511</v>
      </c>
      <c r="D149" s="144">
        <v>0.4</v>
      </c>
      <c r="E149" s="161"/>
      <c r="F149" s="161"/>
      <c r="G149" s="161"/>
      <c r="H149" s="162"/>
      <c r="I149" s="149"/>
      <c r="J149" s="149"/>
      <c r="K149" s="149"/>
      <c r="L149" s="149"/>
      <c r="M149" s="149"/>
      <c r="N149" s="149"/>
      <c r="O149" s="149"/>
      <c r="P149" s="149"/>
      <c r="Q149" s="149"/>
      <c r="R149" s="156"/>
      <c r="S149" s="156"/>
      <c r="T149" s="152"/>
      <c r="U149" s="153"/>
      <c r="V149" s="154" t="e">
        <f t="shared" si="1"/>
        <v>#DIV/0!</v>
      </c>
      <c r="W149" s="154" t="e">
        <f t="shared" si="2"/>
        <v>#DIV/0!</v>
      </c>
      <c r="X149" s="163">
        <v>235</v>
      </c>
      <c r="Y149" s="161">
        <v>15</v>
      </c>
      <c r="Z149" s="161">
        <v>15</v>
      </c>
      <c r="AA149" s="162">
        <v>169.22</v>
      </c>
      <c r="AB149" s="149">
        <v>124.14609</v>
      </c>
      <c r="AC149" s="149">
        <v>30.9918</v>
      </c>
      <c r="AD149" s="149">
        <f>43.75965+35.00772</f>
        <v>78.76737</v>
      </c>
      <c r="AE149" s="149">
        <v>21.76056</v>
      </c>
      <c r="AF149" s="149">
        <v>0</v>
      </c>
      <c r="AG149" s="149">
        <v>0</v>
      </c>
      <c r="AH149" s="149">
        <v>10.1215</v>
      </c>
      <c r="AI149" s="149">
        <v>131.88</v>
      </c>
      <c r="AJ149" s="149">
        <v>8.75193</v>
      </c>
      <c r="AK149" s="150" t="s">
        <v>119</v>
      </c>
      <c r="AL149" s="151" t="s">
        <v>120</v>
      </c>
      <c r="AM149" s="156"/>
      <c r="AN149" s="153">
        <v>163</v>
      </c>
      <c r="AO149" s="154">
        <f t="shared" si="4"/>
        <v>720.0851063829788</v>
      </c>
      <c r="AP149" s="154">
        <f t="shared" si="5"/>
        <v>11.281333333333333</v>
      </c>
      <c r="AQ149" s="161"/>
      <c r="AR149" s="161"/>
      <c r="AS149" s="161"/>
      <c r="AT149" s="162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56"/>
      <c r="BE149" s="156"/>
      <c r="BF149" s="156"/>
      <c r="BG149" s="153"/>
      <c r="BH149" s="154" t="e">
        <f t="shared" si="28"/>
        <v>#DIV/0!</v>
      </c>
      <c r="BI149" s="154" t="e">
        <f t="shared" si="29"/>
        <v>#DIV/0!</v>
      </c>
      <c r="BJ149" s="415">
        <f t="shared" si="24"/>
        <v>235</v>
      </c>
      <c r="BK149" s="415">
        <f t="shared" si="25"/>
        <v>15</v>
      </c>
      <c r="BL149" s="415">
        <f t="shared" si="26"/>
        <v>15</v>
      </c>
      <c r="BM149" s="415">
        <f t="shared" si="27"/>
        <v>169.22</v>
      </c>
    </row>
    <row r="150" spans="1:65" s="129" customFormat="1" ht="18.75" outlineLevel="1">
      <c r="A150" s="141" t="s">
        <v>512</v>
      </c>
      <c r="B150" s="177" t="s">
        <v>513</v>
      </c>
      <c r="C150" s="158" t="s">
        <v>514</v>
      </c>
      <c r="D150" s="144">
        <v>0.4</v>
      </c>
      <c r="E150" s="145"/>
      <c r="F150" s="146"/>
      <c r="G150" s="165"/>
      <c r="H150" s="166"/>
      <c r="I150" s="149"/>
      <c r="J150" s="149"/>
      <c r="K150" s="149"/>
      <c r="L150" s="149"/>
      <c r="M150" s="149"/>
      <c r="N150" s="149"/>
      <c r="O150" s="149"/>
      <c r="P150" s="149"/>
      <c r="Q150" s="149"/>
      <c r="R150" s="156"/>
      <c r="S150" s="156"/>
      <c r="T150" s="152"/>
      <c r="U150" s="153"/>
      <c r="V150" s="154" t="e">
        <f t="shared" si="1"/>
        <v>#DIV/0!</v>
      </c>
      <c r="W150" s="154" t="e">
        <f t="shared" si="2"/>
        <v>#DIV/0!</v>
      </c>
      <c r="X150" s="155"/>
      <c r="Y150" s="146"/>
      <c r="Z150" s="165"/>
      <c r="AA150" s="166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56"/>
      <c r="AL150" s="156"/>
      <c r="AM150" s="156"/>
      <c r="AN150" s="153"/>
      <c r="AO150" s="154" t="e">
        <f t="shared" si="4"/>
        <v>#DIV/0!</v>
      </c>
      <c r="AP150" s="154" t="e">
        <f t="shared" si="5"/>
        <v>#DIV/0!</v>
      </c>
      <c r="AQ150" s="145">
        <v>180</v>
      </c>
      <c r="AR150" s="146">
        <v>15</v>
      </c>
      <c r="AS150" s="147">
        <v>15</v>
      </c>
      <c r="AT150" s="166">
        <v>43.509</v>
      </c>
      <c r="AU150" s="149">
        <v>32.411</v>
      </c>
      <c r="AV150" s="149">
        <v>23.7384</v>
      </c>
      <c r="AW150" s="149">
        <v>0</v>
      </c>
      <c r="AX150" s="149">
        <v>4.969</v>
      </c>
      <c r="AY150" s="149">
        <v>0</v>
      </c>
      <c r="AZ150" s="149">
        <v>0</v>
      </c>
      <c r="BA150" s="149">
        <v>2.782</v>
      </c>
      <c r="BB150" s="149">
        <v>131.88</v>
      </c>
      <c r="BC150" s="149">
        <v>9.51864</v>
      </c>
      <c r="BD150" s="150" t="s">
        <v>119</v>
      </c>
      <c r="BE150" s="151" t="s">
        <v>120</v>
      </c>
      <c r="BF150" s="156"/>
      <c r="BG150" s="153">
        <v>25</v>
      </c>
      <c r="BH150" s="154">
        <f t="shared" si="28"/>
        <v>241.71666666666667</v>
      </c>
      <c r="BI150" s="154">
        <f t="shared" si="29"/>
        <v>2.9006</v>
      </c>
      <c r="BJ150" s="415">
        <f t="shared" si="24"/>
        <v>180</v>
      </c>
      <c r="BK150" s="415">
        <f t="shared" si="25"/>
        <v>15</v>
      </c>
      <c r="BL150" s="415">
        <f t="shared" si="26"/>
        <v>15</v>
      </c>
      <c r="BM150" s="415">
        <f t="shared" si="27"/>
        <v>43.509</v>
      </c>
    </row>
    <row r="151" spans="1:65" s="129" customFormat="1" ht="18.75" outlineLevel="1">
      <c r="A151" s="141" t="s">
        <v>515</v>
      </c>
      <c r="B151" s="177" t="s">
        <v>516</v>
      </c>
      <c r="C151" s="158" t="s">
        <v>517</v>
      </c>
      <c r="D151" s="144">
        <v>0.4</v>
      </c>
      <c r="E151" s="145"/>
      <c r="F151" s="146"/>
      <c r="G151" s="165"/>
      <c r="H151" s="166"/>
      <c r="I151" s="149"/>
      <c r="J151" s="149"/>
      <c r="K151" s="149"/>
      <c r="L151" s="149"/>
      <c r="M151" s="149"/>
      <c r="N151" s="149"/>
      <c r="O151" s="149"/>
      <c r="P151" s="149"/>
      <c r="Q151" s="149"/>
      <c r="R151" s="156"/>
      <c r="S151" s="156"/>
      <c r="T151" s="152"/>
      <c r="U151" s="153"/>
      <c r="V151" s="154" t="e">
        <f t="shared" si="1"/>
        <v>#DIV/0!</v>
      </c>
      <c r="W151" s="154" t="e">
        <f t="shared" si="2"/>
        <v>#DIV/0!</v>
      </c>
      <c r="X151" s="155"/>
      <c r="Y151" s="146"/>
      <c r="Z151" s="165"/>
      <c r="AA151" s="166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56"/>
      <c r="AL151" s="156"/>
      <c r="AM151" s="156"/>
      <c r="AN151" s="153"/>
      <c r="AO151" s="154" t="e">
        <f t="shared" si="4"/>
        <v>#DIV/0!</v>
      </c>
      <c r="AP151" s="154" t="e">
        <f t="shared" si="5"/>
        <v>#DIV/0!</v>
      </c>
      <c r="AQ151" s="145">
        <v>230</v>
      </c>
      <c r="AR151" s="146">
        <v>15</v>
      </c>
      <c r="AS151" s="147">
        <v>15</v>
      </c>
      <c r="AT151" s="166">
        <v>221.82091</v>
      </c>
      <c r="AU151" s="149">
        <v>153.81593</v>
      </c>
      <c r="AV151" s="149">
        <v>30.3324</v>
      </c>
      <c r="AW151" s="149">
        <f>49.75735+53.72082</f>
        <v>103.47817</v>
      </c>
      <c r="AX151" s="149">
        <v>31.78968</v>
      </c>
      <c r="AY151" s="149">
        <v>0</v>
      </c>
      <c r="AZ151" s="149">
        <v>0</v>
      </c>
      <c r="BA151" s="149">
        <v>16.07152</v>
      </c>
      <c r="BB151" s="149">
        <v>131.88</v>
      </c>
      <c r="BC151" s="149">
        <v>9.95347</v>
      </c>
      <c r="BD151" s="150" t="s">
        <v>119</v>
      </c>
      <c r="BE151" s="151" t="s">
        <v>120</v>
      </c>
      <c r="BF151" s="156"/>
      <c r="BG151" s="153">
        <v>54</v>
      </c>
      <c r="BH151" s="154">
        <f t="shared" si="28"/>
        <v>964.4387391304348</v>
      </c>
      <c r="BI151" s="154">
        <f t="shared" si="29"/>
        <v>14.788060666666667</v>
      </c>
      <c r="BJ151" s="415">
        <f t="shared" si="24"/>
        <v>230</v>
      </c>
      <c r="BK151" s="415">
        <f t="shared" si="25"/>
        <v>15</v>
      </c>
      <c r="BL151" s="415">
        <f t="shared" si="26"/>
        <v>15</v>
      </c>
      <c r="BM151" s="415">
        <f t="shared" si="27"/>
        <v>221.82091</v>
      </c>
    </row>
    <row r="152" spans="1:65" s="129" customFormat="1" ht="18.75" outlineLevel="1">
      <c r="A152" s="141" t="s">
        <v>518</v>
      </c>
      <c r="B152" s="177" t="s">
        <v>300</v>
      </c>
      <c r="C152" s="158" t="s">
        <v>301</v>
      </c>
      <c r="D152" s="144">
        <v>0.4</v>
      </c>
      <c r="E152" s="145"/>
      <c r="F152" s="146"/>
      <c r="G152" s="165"/>
      <c r="H152" s="166"/>
      <c r="I152" s="149"/>
      <c r="J152" s="149"/>
      <c r="K152" s="149"/>
      <c r="L152" s="149"/>
      <c r="M152" s="149"/>
      <c r="N152" s="149"/>
      <c r="O152" s="149"/>
      <c r="P152" s="149"/>
      <c r="Q152" s="149"/>
      <c r="R152" s="156"/>
      <c r="S152" s="156"/>
      <c r="T152" s="152"/>
      <c r="U152" s="153"/>
      <c r="V152" s="154" t="e">
        <f t="shared" si="1"/>
        <v>#DIV/0!</v>
      </c>
      <c r="W152" s="154" t="e">
        <f t="shared" si="2"/>
        <v>#DIV/0!</v>
      </c>
      <c r="X152" s="155"/>
      <c r="Y152" s="146"/>
      <c r="Z152" s="165"/>
      <c r="AA152" s="166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56"/>
      <c r="AL152" s="156"/>
      <c r="AM152" s="156"/>
      <c r="AN152" s="153"/>
      <c r="AO152" s="154" t="e">
        <f t="shared" si="4"/>
        <v>#DIV/0!</v>
      </c>
      <c r="AP152" s="154" t="e">
        <f t="shared" si="5"/>
        <v>#DIV/0!</v>
      </c>
      <c r="AQ152" s="145">
        <v>150</v>
      </c>
      <c r="AR152" s="146">
        <v>9</v>
      </c>
      <c r="AS152" s="147">
        <v>9</v>
      </c>
      <c r="AT152" s="166">
        <v>185.687</v>
      </c>
      <c r="AU152" s="149">
        <v>129.135</v>
      </c>
      <c r="AV152" s="149">
        <v>19.782</v>
      </c>
      <c r="AW152" s="149">
        <f>80.81487+17.95886</f>
        <v>98.77373</v>
      </c>
      <c r="AX152" s="149">
        <v>26.159</v>
      </c>
      <c r="AY152" s="149">
        <v>0</v>
      </c>
      <c r="AZ152" s="149">
        <v>0</v>
      </c>
      <c r="BA152" s="149">
        <v>13.443</v>
      </c>
      <c r="BB152" s="149">
        <v>131.88</v>
      </c>
      <c r="BC152" s="149">
        <v>8.97943</v>
      </c>
      <c r="BD152" s="150" t="s">
        <v>119</v>
      </c>
      <c r="BE152" s="151" t="s">
        <v>120</v>
      </c>
      <c r="BF152" s="156"/>
      <c r="BG152" s="153">
        <v>78</v>
      </c>
      <c r="BH152" s="154">
        <f t="shared" si="28"/>
        <v>1237.9133333333334</v>
      </c>
      <c r="BI152" s="154">
        <f t="shared" si="29"/>
        <v>20.63188888888889</v>
      </c>
      <c r="BJ152" s="415">
        <f t="shared" si="24"/>
        <v>150</v>
      </c>
      <c r="BK152" s="415">
        <f t="shared" si="25"/>
        <v>9</v>
      </c>
      <c r="BL152" s="415">
        <f t="shared" si="26"/>
        <v>9</v>
      </c>
      <c r="BM152" s="415">
        <f t="shared" si="27"/>
        <v>185.687</v>
      </c>
    </row>
    <row r="153" spans="1:65" s="129" customFormat="1" ht="18.75" outlineLevel="1">
      <c r="A153" s="141" t="s">
        <v>519</v>
      </c>
      <c r="B153" s="177" t="s">
        <v>520</v>
      </c>
      <c r="C153" s="158" t="s">
        <v>521</v>
      </c>
      <c r="D153" s="144">
        <v>0.4</v>
      </c>
      <c r="E153" s="145"/>
      <c r="F153" s="146"/>
      <c r="G153" s="165"/>
      <c r="H153" s="166"/>
      <c r="I153" s="149"/>
      <c r="J153" s="149"/>
      <c r="K153" s="149"/>
      <c r="L153" s="149"/>
      <c r="M153" s="149"/>
      <c r="N153" s="149"/>
      <c r="O153" s="149"/>
      <c r="P153" s="149"/>
      <c r="Q153" s="149"/>
      <c r="R153" s="156"/>
      <c r="S153" s="156"/>
      <c r="T153" s="152"/>
      <c r="U153" s="153"/>
      <c r="V153" s="154" t="e">
        <f t="shared" si="1"/>
        <v>#DIV/0!</v>
      </c>
      <c r="W153" s="154" t="e">
        <f t="shared" si="2"/>
        <v>#DIV/0!</v>
      </c>
      <c r="X153" s="155"/>
      <c r="Y153" s="146"/>
      <c r="Z153" s="165"/>
      <c r="AA153" s="166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56"/>
      <c r="AL153" s="156"/>
      <c r="AM153" s="156"/>
      <c r="AN153" s="153"/>
      <c r="AO153" s="154" t="e">
        <f t="shared" si="4"/>
        <v>#DIV/0!</v>
      </c>
      <c r="AP153" s="154" t="e">
        <f t="shared" si="5"/>
        <v>#DIV/0!</v>
      </c>
      <c r="AQ153" s="145">
        <v>210</v>
      </c>
      <c r="AR153" s="146">
        <v>40</v>
      </c>
      <c r="AS153" s="147">
        <v>40</v>
      </c>
      <c r="AT153" s="166">
        <v>183.17455</v>
      </c>
      <c r="AU153" s="149">
        <v>127.61879</v>
      </c>
      <c r="AV153" s="149">
        <v>27.6948</v>
      </c>
      <c r="AW153" s="149">
        <v>35.89728</v>
      </c>
      <c r="AX153" s="149">
        <v>25.70317</v>
      </c>
      <c r="AY153" s="149">
        <v>0</v>
      </c>
      <c r="AZ153" s="149">
        <v>0</v>
      </c>
      <c r="BA153" s="149">
        <v>13.2364</v>
      </c>
      <c r="BB153" s="149">
        <v>131.88</v>
      </c>
      <c r="BC153" s="149">
        <v>8.97432</v>
      </c>
      <c r="BD153" s="150" t="s">
        <v>119</v>
      </c>
      <c r="BE153" s="151" t="s">
        <v>120</v>
      </c>
      <c r="BF153" s="156"/>
      <c r="BG153" s="153">
        <v>104</v>
      </c>
      <c r="BH153" s="154">
        <f t="shared" si="28"/>
        <v>872.259761904762</v>
      </c>
      <c r="BI153" s="154">
        <f t="shared" si="29"/>
        <v>4.579363750000001</v>
      </c>
      <c r="BJ153" s="415">
        <f t="shared" si="24"/>
        <v>210</v>
      </c>
      <c r="BK153" s="415">
        <f t="shared" si="25"/>
        <v>40</v>
      </c>
      <c r="BL153" s="415">
        <f t="shared" si="26"/>
        <v>40</v>
      </c>
      <c r="BM153" s="415">
        <f t="shared" si="27"/>
        <v>183.17455</v>
      </c>
    </row>
    <row r="154" spans="1:65" s="129" customFormat="1" ht="18.75" outlineLevel="1">
      <c r="A154" s="141" t="s">
        <v>522</v>
      </c>
      <c r="B154" s="177" t="s">
        <v>523</v>
      </c>
      <c r="C154" s="158" t="s">
        <v>524</v>
      </c>
      <c r="D154" s="144">
        <v>0.4</v>
      </c>
      <c r="E154" s="145"/>
      <c r="F154" s="146"/>
      <c r="G154" s="165"/>
      <c r="H154" s="166"/>
      <c r="I154" s="149"/>
      <c r="J154" s="149"/>
      <c r="K154" s="149"/>
      <c r="L154" s="149"/>
      <c r="M154" s="149"/>
      <c r="N154" s="149"/>
      <c r="O154" s="149"/>
      <c r="P154" s="149"/>
      <c r="Q154" s="149"/>
      <c r="R154" s="156"/>
      <c r="S154" s="156"/>
      <c r="T154" s="152"/>
      <c r="U154" s="153"/>
      <c r="V154" s="154" t="e">
        <f t="shared" si="1"/>
        <v>#DIV/0!</v>
      </c>
      <c r="W154" s="154" t="e">
        <f t="shared" si="2"/>
        <v>#DIV/0!</v>
      </c>
      <c r="X154" s="155"/>
      <c r="Y154" s="146"/>
      <c r="Z154" s="165"/>
      <c r="AA154" s="166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56"/>
      <c r="AL154" s="156"/>
      <c r="AM154" s="156"/>
      <c r="AN154" s="153"/>
      <c r="AO154" s="154" t="e">
        <f t="shared" si="4"/>
        <v>#DIV/0!</v>
      </c>
      <c r="AP154" s="154" t="e">
        <f t="shared" si="5"/>
        <v>#DIV/0!</v>
      </c>
      <c r="AQ154" s="145">
        <v>210</v>
      </c>
      <c r="AR154" s="146">
        <v>40</v>
      </c>
      <c r="AS154" s="147">
        <v>40</v>
      </c>
      <c r="AT154" s="166">
        <v>62.06584</v>
      </c>
      <c r="AU154" s="149">
        <v>47.98774</v>
      </c>
      <c r="AV154" s="149">
        <v>27.6948</v>
      </c>
      <c r="AW154" s="149">
        <v>9.51864</v>
      </c>
      <c r="AX154" s="149">
        <v>6.65377</v>
      </c>
      <c r="AY154" s="149">
        <v>0</v>
      </c>
      <c r="AZ154" s="149">
        <v>0</v>
      </c>
      <c r="BA154" s="149">
        <v>3.36388</v>
      </c>
      <c r="BB154" s="149">
        <v>131.88</v>
      </c>
      <c r="BC154" s="149">
        <v>9.51864</v>
      </c>
      <c r="BD154" s="150" t="s">
        <v>119</v>
      </c>
      <c r="BE154" s="151" t="s">
        <v>120</v>
      </c>
      <c r="BF154" s="156"/>
      <c r="BG154" s="153">
        <v>176</v>
      </c>
      <c r="BH154" s="154">
        <f t="shared" si="28"/>
        <v>295.55161904761906</v>
      </c>
      <c r="BI154" s="154">
        <f t="shared" si="29"/>
        <v>1.551646</v>
      </c>
      <c r="BJ154" s="415">
        <f t="shared" si="24"/>
        <v>210</v>
      </c>
      <c r="BK154" s="415">
        <f t="shared" si="25"/>
        <v>40</v>
      </c>
      <c r="BL154" s="415">
        <f t="shared" si="26"/>
        <v>40</v>
      </c>
      <c r="BM154" s="415">
        <f t="shared" si="27"/>
        <v>62.06584</v>
      </c>
    </row>
    <row r="155" spans="1:65" s="129" customFormat="1" ht="18.75" outlineLevel="1">
      <c r="A155" s="141" t="s">
        <v>525</v>
      </c>
      <c r="B155" s="177" t="s">
        <v>526</v>
      </c>
      <c r="C155" s="158" t="s">
        <v>527</v>
      </c>
      <c r="D155" s="144">
        <v>0.4</v>
      </c>
      <c r="E155" s="145"/>
      <c r="F155" s="146"/>
      <c r="G155" s="165"/>
      <c r="H155" s="166"/>
      <c r="I155" s="149"/>
      <c r="J155" s="149"/>
      <c r="K155" s="149"/>
      <c r="L155" s="149"/>
      <c r="M155" s="149"/>
      <c r="N155" s="149"/>
      <c r="O155" s="149"/>
      <c r="P155" s="149"/>
      <c r="Q155" s="149"/>
      <c r="R155" s="156"/>
      <c r="S155" s="156"/>
      <c r="T155" s="152"/>
      <c r="U155" s="153"/>
      <c r="V155" s="154" t="e">
        <f t="shared" si="1"/>
        <v>#DIV/0!</v>
      </c>
      <c r="W155" s="154" t="e">
        <f t="shared" si="2"/>
        <v>#DIV/0!</v>
      </c>
      <c r="X155" s="155"/>
      <c r="Y155" s="146"/>
      <c r="Z155" s="165"/>
      <c r="AA155" s="166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56"/>
      <c r="AL155" s="156"/>
      <c r="AM155" s="156"/>
      <c r="AN155" s="153"/>
      <c r="AO155" s="154" t="e">
        <f t="shared" si="4"/>
        <v>#DIV/0!</v>
      </c>
      <c r="AP155" s="154" t="e">
        <f t="shared" si="5"/>
        <v>#DIV/0!</v>
      </c>
      <c r="AQ155" s="145">
        <v>115</v>
      </c>
      <c r="AR155" s="146">
        <v>15</v>
      </c>
      <c r="AS155" s="147">
        <v>15</v>
      </c>
      <c r="AT155" s="166">
        <v>38.37834</v>
      </c>
      <c r="AU155" s="149">
        <v>28.98596</v>
      </c>
      <c r="AV155" s="149">
        <v>15.1662</v>
      </c>
      <c r="AW155" s="149">
        <v>9.50235</v>
      </c>
      <c r="AX155" s="149">
        <v>4.4683</v>
      </c>
      <c r="AY155" s="149">
        <v>0</v>
      </c>
      <c r="AZ155" s="149">
        <v>0</v>
      </c>
      <c r="BA155" s="149">
        <v>2.20849</v>
      </c>
      <c r="BB155" s="149">
        <v>131.88</v>
      </c>
      <c r="BC155" s="149">
        <v>9.50235</v>
      </c>
      <c r="BD155" s="150" t="s">
        <v>119</v>
      </c>
      <c r="BE155" s="151" t="s">
        <v>120</v>
      </c>
      <c r="BF155" s="156"/>
      <c r="BG155" s="153">
        <v>196</v>
      </c>
      <c r="BH155" s="154">
        <f t="shared" si="28"/>
        <v>333.7246956521739</v>
      </c>
      <c r="BI155" s="154">
        <f t="shared" si="29"/>
        <v>2.5585560000000003</v>
      </c>
      <c r="BJ155" s="415">
        <f t="shared" si="24"/>
        <v>115</v>
      </c>
      <c r="BK155" s="415">
        <f t="shared" si="25"/>
        <v>15</v>
      </c>
      <c r="BL155" s="415">
        <f t="shared" si="26"/>
        <v>15</v>
      </c>
      <c r="BM155" s="415">
        <f t="shared" si="27"/>
        <v>38.37834</v>
      </c>
    </row>
    <row r="156" spans="1:65" s="129" customFormat="1" ht="18.75" outlineLevel="1">
      <c r="A156" s="141" t="s">
        <v>528</v>
      </c>
      <c r="B156" s="177" t="s">
        <v>529</v>
      </c>
      <c r="C156" s="158" t="s">
        <v>530</v>
      </c>
      <c r="D156" s="144">
        <v>0.4</v>
      </c>
      <c r="E156" s="145"/>
      <c r="F156" s="146"/>
      <c r="G156" s="165"/>
      <c r="H156" s="166"/>
      <c r="I156" s="149"/>
      <c r="J156" s="149"/>
      <c r="K156" s="149"/>
      <c r="L156" s="149"/>
      <c r="M156" s="149"/>
      <c r="N156" s="149"/>
      <c r="O156" s="149"/>
      <c r="P156" s="149"/>
      <c r="Q156" s="149"/>
      <c r="R156" s="156"/>
      <c r="S156" s="156"/>
      <c r="T156" s="152"/>
      <c r="U156" s="153"/>
      <c r="V156" s="154" t="e">
        <f t="shared" si="1"/>
        <v>#DIV/0!</v>
      </c>
      <c r="W156" s="154" t="e">
        <f t="shared" si="2"/>
        <v>#DIV/0!</v>
      </c>
      <c r="X156" s="155"/>
      <c r="Y156" s="146"/>
      <c r="Z156" s="165"/>
      <c r="AA156" s="166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56"/>
      <c r="AL156" s="156"/>
      <c r="AM156" s="156"/>
      <c r="AN156" s="153"/>
      <c r="AO156" s="154" t="e">
        <f t="shared" si="4"/>
        <v>#DIV/0!</v>
      </c>
      <c r="AP156" s="154" t="e">
        <f t="shared" si="5"/>
        <v>#DIV/0!</v>
      </c>
      <c r="AQ156" s="145">
        <v>120</v>
      </c>
      <c r="AR156" s="146">
        <v>15</v>
      </c>
      <c r="AS156" s="147">
        <v>15</v>
      </c>
      <c r="AT156" s="166">
        <v>79.26361</v>
      </c>
      <c r="AU156" s="149">
        <v>57.25305</v>
      </c>
      <c r="AV156" s="149">
        <v>15.8256</v>
      </c>
      <c r="AW156" s="149">
        <v>37.20764</v>
      </c>
      <c r="AX156" s="149">
        <v>10.09912</v>
      </c>
      <c r="AY156" s="149">
        <v>0</v>
      </c>
      <c r="AZ156" s="149">
        <v>0</v>
      </c>
      <c r="BA156" s="149">
        <v>5.28971</v>
      </c>
      <c r="BB156" s="149">
        <v>131.88</v>
      </c>
      <c r="BC156" s="149">
        <v>9.30191</v>
      </c>
      <c r="BD156" s="150" t="s">
        <v>119</v>
      </c>
      <c r="BE156" s="151" t="s">
        <v>120</v>
      </c>
      <c r="BF156" s="156"/>
      <c r="BG156" s="153">
        <v>210</v>
      </c>
      <c r="BH156" s="154">
        <f t="shared" si="28"/>
        <v>660.5300833333333</v>
      </c>
      <c r="BI156" s="154">
        <f t="shared" si="29"/>
        <v>5.284240666666666</v>
      </c>
      <c r="BJ156" s="415">
        <f t="shared" si="24"/>
        <v>120</v>
      </c>
      <c r="BK156" s="415">
        <f t="shared" si="25"/>
        <v>15</v>
      </c>
      <c r="BL156" s="415">
        <f t="shared" si="26"/>
        <v>15</v>
      </c>
      <c r="BM156" s="415">
        <f t="shared" si="27"/>
        <v>79.26361</v>
      </c>
    </row>
    <row r="157" spans="1:65" s="129" customFormat="1" ht="18.75" outlineLevel="1">
      <c r="A157" s="141" t="s">
        <v>531</v>
      </c>
      <c r="B157" s="177" t="s">
        <v>532</v>
      </c>
      <c r="C157" s="158" t="s">
        <v>533</v>
      </c>
      <c r="D157" s="144">
        <v>0.4</v>
      </c>
      <c r="E157" s="145"/>
      <c r="F157" s="146"/>
      <c r="G157" s="165"/>
      <c r="H157" s="166"/>
      <c r="I157" s="149"/>
      <c r="J157" s="149"/>
      <c r="K157" s="149"/>
      <c r="L157" s="149"/>
      <c r="M157" s="149"/>
      <c r="N157" s="149"/>
      <c r="O157" s="149"/>
      <c r="P157" s="149"/>
      <c r="Q157" s="149"/>
      <c r="R157" s="156"/>
      <c r="S157" s="156"/>
      <c r="T157" s="152"/>
      <c r="U157" s="153"/>
      <c r="V157" s="154" t="e">
        <f t="shared" si="1"/>
        <v>#DIV/0!</v>
      </c>
      <c r="W157" s="154" t="e">
        <f t="shared" si="2"/>
        <v>#DIV/0!</v>
      </c>
      <c r="X157" s="155"/>
      <c r="Y157" s="146"/>
      <c r="Z157" s="165"/>
      <c r="AA157" s="166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56"/>
      <c r="AL157" s="156"/>
      <c r="AM157" s="156"/>
      <c r="AN157" s="153"/>
      <c r="AO157" s="154" t="e">
        <f t="shared" si="4"/>
        <v>#DIV/0!</v>
      </c>
      <c r="AP157" s="154" t="e">
        <f t="shared" si="5"/>
        <v>#DIV/0!</v>
      </c>
      <c r="AQ157" s="145">
        <v>250</v>
      </c>
      <c r="AR157" s="146">
        <v>50</v>
      </c>
      <c r="AS157" s="147">
        <v>50</v>
      </c>
      <c r="AT157" s="166">
        <v>380.45969</v>
      </c>
      <c r="AU157" s="149">
        <v>269.40224</v>
      </c>
      <c r="AV157" s="149">
        <v>32.97</v>
      </c>
      <c r="AW157" s="149">
        <f>72.03288+144.06576</f>
        <v>216.09864000000002</v>
      </c>
      <c r="AX157" s="149">
        <v>52.32905</v>
      </c>
      <c r="AY157" s="149">
        <v>0</v>
      </c>
      <c r="AZ157" s="149">
        <v>0</v>
      </c>
      <c r="BA157" s="149">
        <v>25.94452</v>
      </c>
      <c r="BB157" s="149">
        <v>131.88</v>
      </c>
      <c r="BC157" s="149">
        <v>9.00411</v>
      </c>
      <c r="BD157" s="150" t="s">
        <v>119</v>
      </c>
      <c r="BE157" s="151" t="s">
        <v>120</v>
      </c>
      <c r="BF157" s="156"/>
      <c r="BG157" s="153">
        <v>231</v>
      </c>
      <c r="BH157" s="154">
        <f t="shared" si="28"/>
        <v>1521.83876</v>
      </c>
      <c r="BI157" s="154">
        <f t="shared" si="29"/>
        <v>7.609193800000001</v>
      </c>
      <c r="BJ157" s="415">
        <f t="shared" si="24"/>
        <v>250</v>
      </c>
      <c r="BK157" s="415">
        <f t="shared" si="25"/>
        <v>50</v>
      </c>
      <c r="BL157" s="415">
        <f t="shared" si="26"/>
        <v>50</v>
      </c>
      <c r="BM157" s="415">
        <f t="shared" si="27"/>
        <v>380.45969</v>
      </c>
    </row>
    <row r="158" spans="1:65" s="129" customFormat="1" ht="18.75" outlineLevel="1">
      <c r="A158" s="141" t="s">
        <v>534</v>
      </c>
      <c r="B158" s="177" t="s">
        <v>535</v>
      </c>
      <c r="C158" s="158" t="s">
        <v>536</v>
      </c>
      <c r="D158" s="144">
        <v>0.4</v>
      </c>
      <c r="E158" s="145"/>
      <c r="F158" s="146"/>
      <c r="G158" s="165"/>
      <c r="H158" s="166"/>
      <c r="I158" s="149"/>
      <c r="J158" s="149"/>
      <c r="K158" s="149"/>
      <c r="L158" s="149"/>
      <c r="M158" s="149"/>
      <c r="N158" s="149"/>
      <c r="O158" s="149"/>
      <c r="P158" s="149"/>
      <c r="Q158" s="149"/>
      <c r="R158" s="156"/>
      <c r="S158" s="156"/>
      <c r="T158" s="152"/>
      <c r="U158" s="153"/>
      <c r="V158" s="154" t="e">
        <f t="shared" si="1"/>
        <v>#DIV/0!</v>
      </c>
      <c r="W158" s="154" t="e">
        <f t="shared" si="2"/>
        <v>#DIV/0!</v>
      </c>
      <c r="X158" s="155"/>
      <c r="Y158" s="146"/>
      <c r="Z158" s="165"/>
      <c r="AA158" s="166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56"/>
      <c r="AL158" s="156"/>
      <c r="AM158" s="156"/>
      <c r="AN158" s="153"/>
      <c r="AO158" s="154" t="e">
        <f t="shared" si="4"/>
        <v>#DIV/0!</v>
      </c>
      <c r="AP158" s="154" t="e">
        <f t="shared" si="5"/>
        <v>#DIV/0!</v>
      </c>
      <c r="AQ158" s="145">
        <v>125</v>
      </c>
      <c r="AR158" s="146">
        <v>50</v>
      </c>
      <c r="AS158" s="147">
        <v>50</v>
      </c>
      <c r="AT158" s="166">
        <v>81.39706</v>
      </c>
      <c r="AU158" s="149">
        <v>57.24689</v>
      </c>
      <c r="AV158" s="149">
        <v>16.485</v>
      </c>
      <c r="AW158" s="149">
        <v>35.91772</v>
      </c>
      <c r="AX158" s="149">
        <v>11.00929</v>
      </c>
      <c r="AY158" s="149">
        <v>0</v>
      </c>
      <c r="AZ158" s="149">
        <v>0</v>
      </c>
      <c r="BA158" s="149">
        <v>5.83868</v>
      </c>
      <c r="BB158" s="149">
        <v>131.88</v>
      </c>
      <c r="BC158" s="149">
        <v>8.97943</v>
      </c>
      <c r="BD158" s="150" t="s">
        <v>119</v>
      </c>
      <c r="BE158" s="151" t="s">
        <v>120</v>
      </c>
      <c r="BF158" s="156"/>
      <c r="BG158" s="153">
        <v>251</v>
      </c>
      <c r="BH158" s="154">
        <f t="shared" si="28"/>
        <v>651.17648</v>
      </c>
      <c r="BI158" s="154">
        <f t="shared" si="29"/>
        <v>1.6279412</v>
      </c>
      <c r="BJ158" s="415">
        <f t="shared" si="24"/>
        <v>125</v>
      </c>
      <c r="BK158" s="415">
        <f t="shared" si="25"/>
        <v>50</v>
      </c>
      <c r="BL158" s="415">
        <f t="shared" si="26"/>
        <v>50</v>
      </c>
      <c r="BM158" s="415">
        <f t="shared" si="27"/>
        <v>81.39706</v>
      </c>
    </row>
    <row r="159" spans="1:65" s="129" customFormat="1" ht="18.75" outlineLevel="1">
      <c r="A159" s="141" t="s">
        <v>537</v>
      </c>
      <c r="B159" s="177" t="s">
        <v>538</v>
      </c>
      <c r="C159" s="158" t="s">
        <v>539</v>
      </c>
      <c r="D159" s="144">
        <v>0.4</v>
      </c>
      <c r="E159" s="145"/>
      <c r="F159" s="146"/>
      <c r="G159" s="165"/>
      <c r="H159" s="166"/>
      <c r="I159" s="149"/>
      <c r="J159" s="149"/>
      <c r="K159" s="149"/>
      <c r="L159" s="149"/>
      <c r="M159" s="149"/>
      <c r="N159" s="149"/>
      <c r="O159" s="149"/>
      <c r="P159" s="149"/>
      <c r="Q159" s="149"/>
      <c r="R159" s="156"/>
      <c r="S159" s="156"/>
      <c r="T159" s="152"/>
      <c r="U159" s="153"/>
      <c r="V159" s="154" t="e">
        <f t="shared" si="1"/>
        <v>#DIV/0!</v>
      </c>
      <c r="W159" s="154" t="e">
        <f t="shared" si="2"/>
        <v>#DIV/0!</v>
      </c>
      <c r="X159" s="155"/>
      <c r="Y159" s="146"/>
      <c r="Z159" s="165"/>
      <c r="AA159" s="166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56"/>
      <c r="AL159" s="156"/>
      <c r="AM159" s="156"/>
      <c r="AN159" s="153"/>
      <c r="AO159" s="154" t="e">
        <f t="shared" si="4"/>
        <v>#DIV/0!</v>
      </c>
      <c r="AP159" s="154" t="e">
        <f t="shared" si="5"/>
        <v>#DIV/0!</v>
      </c>
      <c r="AQ159" s="145">
        <v>240</v>
      </c>
      <c r="AR159" s="146">
        <v>30</v>
      </c>
      <c r="AS159" s="147">
        <v>30</v>
      </c>
      <c r="AT159" s="166">
        <v>178.372</v>
      </c>
      <c r="AU159" s="149">
        <v>125.36</v>
      </c>
      <c r="AV159" s="149">
        <v>31.6512</v>
      </c>
      <c r="AW159" s="149">
        <f>44.89715+35.91772</f>
        <v>80.81487000000001</v>
      </c>
      <c r="AX159" s="149">
        <v>24.518</v>
      </c>
      <c r="AY159" s="149">
        <v>0</v>
      </c>
      <c r="AZ159" s="149">
        <v>0</v>
      </c>
      <c r="BA159" s="149">
        <v>12.669</v>
      </c>
      <c r="BB159" s="149">
        <v>131.88</v>
      </c>
      <c r="BC159" s="149">
        <v>8.97943</v>
      </c>
      <c r="BD159" s="150" t="s">
        <v>119</v>
      </c>
      <c r="BE159" s="151" t="s">
        <v>120</v>
      </c>
      <c r="BF159" s="156"/>
      <c r="BG159" s="153">
        <v>255</v>
      </c>
      <c r="BH159" s="154">
        <f t="shared" si="28"/>
        <v>743.2166666666667</v>
      </c>
      <c r="BI159" s="154">
        <f t="shared" si="29"/>
        <v>5.945733333333334</v>
      </c>
      <c r="BJ159" s="415">
        <f t="shared" si="24"/>
        <v>240</v>
      </c>
      <c r="BK159" s="415">
        <f t="shared" si="25"/>
        <v>30</v>
      </c>
      <c r="BL159" s="415">
        <f t="shared" si="26"/>
        <v>30</v>
      </c>
      <c r="BM159" s="415">
        <f t="shared" si="27"/>
        <v>178.372</v>
      </c>
    </row>
    <row r="160" spans="1:65" s="129" customFormat="1" ht="18.75" outlineLevel="1">
      <c r="A160" s="141" t="s">
        <v>540</v>
      </c>
      <c r="B160" s="177" t="s">
        <v>541</v>
      </c>
      <c r="C160" s="178" t="s">
        <v>542</v>
      </c>
      <c r="D160" s="144">
        <v>0.4</v>
      </c>
      <c r="E160" s="145"/>
      <c r="F160" s="146"/>
      <c r="G160" s="165"/>
      <c r="H160" s="166"/>
      <c r="I160" s="149"/>
      <c r="J160" s="149"/>
      <c r="K160" s="149"/>
      <c r="L160" s="149"/>
      <c r="M160" s="149"/>
      <c r="N160" s="149"/>
      <c r="O160" s="149"/>
      <c r="P160" s="149"/>
      <c r="Q160" s="149"/>
      <c r="R160" s="156"/>
      <c r="S160" s="156"/>
      <c r="T160" s="152"/>
      <c r="U160" s="153"/>
      <c r="V160" s="154" t="e">
        <f t="shared" si="1"/>
        <v>#DIV/0!</v>
      </c>
      <c r="W160" s="154" t="e">
        <f t="shared" si="2"/>
        <v>#DIV/0!</v>
      </c>
      <c r="X160" s="155"/>
      <c r="Y160" s="146"/>
      <c r="Z160" s="165"/>
      <c r="AA160" s="166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56"/>
      <c r="AL160" s="156"/>
      <c r="AM160" s="156"/>
      <c r="AN160" s="153"/>
      <c r="AO160" s="154" t="e">
        <f t="shared" si="4"/>
        <v>#DIV/0!</v>
      </c>
      <c r="AP160" s="154" t="e">
        <f t="shared" si="5"/>
        <v>#DIV/0!</v>
      </c>
      <c r="AQ160" s="145">
        <v>200</v>
      </c>
      <c r="AR160" s="146">
        <v>15</v>
      </c>
      <c r="AS160" s="147">
        <v>15</v>
      </c>
      <c r="AT160" s="166">
        <v>126.49396</v>
      </c>
      <c r="AU160" s="149">
        <v>89.55554</v>
      </c>
      <c r="AV160" s="149">
        <v>26.376</v>
      </c>
      <c r="AW160" s="149">
        <v>53.84148</v>
      </c>
      <c r="AX160" s="149">
        <v>16.83375</v>
      </c>
      <c r="AY160" s="149">
        <v>0</v>
      </c>
      <c r="AZ160" s="149">
        <v>0</v>
      </c>
      <c r="BA160" s="149">
        <v>8.94008</v>
      </c>
      <c r="BB160" s="149">
        <v>131.88</v>
      </c>
      <c r="BC160" s="149">
        <v>8.97358</v>
      </c>
      <c r="BD160" s="150" t="s">
        <v>119</v>
      </c>
      <c r="BE160" s="151" t="s">
        <v>120</v>
      </c>
      <c r="BF160" s="156"/>
      <c r="BG160" s="153">
        <v>308</v>
      </c>
      <c r="BH160" s="154">
        <f t="shared" si="28"/>
        <v>632.4698</v>
      </c>
      <c r="BI160" s="154">
        <f t="shared" si="29"/>
        <v>8.432930666666667</v>
      </c>
      <c r="BJ160" s="415">
        <f t="shared" si="24"/>
        <v>200</v>
      </c>
      <c r="BK160" s="415">
        <f t="shared" si="25"/>
        <v>15</v>
      </c>
      <c r="BL160" s="415">
        <f t="shared" si="26"/>
        <v>15</v>
      </c>
      <c r="BM160" s="415">
        <f t="shared" si="27"/>
        <v>126.49396</v>
      </c>
    </row>
    <row r="161" spans="1:65" s="129" customFormat="1" ht="14.25">
      <c r="A161" s="141"/>
      <c r="B161" s="179"/>
      <c r="C161" s="158"/>
      <c r="D161" s="144"/>
      <c r="E161" s="145"/>
      <c r="F161" s="146"/>
      <c r="G161" s="165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56"/>
      <c r="S161" s="156"/>
      <c r="T161" s="152"/>
      <c r="U161" s="153"/>
      <c r="V161" s="154" t="e">
        <f t="shared" si="1"/>
        <v>#DIV/0!</v>
      </c>
      <c r="W161" s="154" t="e">
        <f t="shared" si="2"/>
        <v>#DIV/0!</v>
      </c>
      <c r="X161" s="155"/>
      <c r="Y161" s="146"/>
      <c r="Z161" s="165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56"/>
      <c r="AL161" s="156"/>
      <c r="AM161" s="156"/>
      <c r="AN161" s="153"/>
      <c r="AO161" s="154" t="e">
        <f t="shared" si="4"/>
        <v>#DIV/0!</v>
      </c>
      <c r="AP161" s="154" t="e">
        <f t="shared" si="5"/>
        <v>#DIV/0!</v>
      </c>
      <c r="AQ161" s="145"/>
      <c r="AR161" s="146"/>
      <c r="AS161" s="147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56"/>
      <c r="BE161" s="156"/>
      <c r="BF161" s="156"/>
      <c r="BG161" s="153"/>
      <c r="BH161" s="154" t="e">
        <f t="shared" si="28"/>
        <v>#DIV/0!</v>
      </c>
      <c r="BI161" s="154" t="e">
        <f t="shared" si="29"/>
        <v>#DIV/0!</v>
      </c>
      <c r="BJ161" s="415">
        <f t="shared" si="24"/>
        <v>0</v>
      </c>
      <c r="BK161" s="415">
        <f t="shared" si="25"/>
        <v>0</v>
      </c>
      <c r="BL161" s="415">
        <f t="shared" si="26"/>
        <v>0</v>
      </c>
      <c r="BM161" s="415">
        <f t="shared" si="27"/>
        <v>0</v>
      </c>
    </row>
    <row r="162" spans="1:65" s="129" customFormat="1" ht="87" customHeight="1">
      <c r="A162" s="119" t="s">
        <v>543</v>
      </c>
      <c r="B162" s="120" t="s">
        <v>544</v>
      </c>
      <c r="C162" s="121"/>
      <c r="D162" s="122"/>
      <c r="E162" s="123">
        <f aca="true" t="shared" si="33" ref="E162:Q162">E163+E198+E223+E231</f>
        <v>8091</v>
      </c>
      <c r="F162" s="123">
        <f t="shared" si="33"/>
        <v>1535</v>
      </c>
      <c r="G162" s="123">
        <f>G163+G198+G223+G231</f>
        <v>1535</v>
      </c>
      <c r="H162" s="124">
        <f t="shared" si="33"/>
        <v>9773.35413</v>
      </c>
      <c r="I162" s="124">
        <f t="shared" si="33"/>
        <v>7450.181500000001</v>
      </c>
      <c r="J162" s="124">
        <f t="shared" si="33"/>
        <v>1196.3055700000002</v>
      </c>
      <c r="K162" s="124">
        <f t="shared" si="33"/>
        <v>2475.56061</v>
      </c>
      <c r="L162" s="124">
        <f t="shared" si="33"/>
        <v>692.6419099999999</v>
      </c>
      <c r="M162" s="124">
        <f t="shared" si="33"/>
        <v>0</v>
      </c>
      <c r="N162" s="124">
        <f t="shared" si="33"/>
        <v>0</v>
      </c>
      <c r="O162" s="124">
        <f t="shared" si="33"/>
        <v>287.72115</v>
      </c>
      <c r="P162" s="124">
        <f t="shared" si="33"/>
        <v>3474.8375299999993</v>
      </c>
      <c r="Q162" s="124">
        <f t="shared" si="33"/>
        <v>230.56967999999998</v>
      </c>
      <c r="R162" s="125"/>
      <c r="S162" s="125"/>
      <c r="T162" s="126"/>
      <c r="U162" s="127"/>
      <c r="V162" s="128">
        <f t="shared" si="1"/>
        <v>1207.929073044123</v>
      </c>
      <c r="W162" s="128">
        <f t="shared" si="2"/>
        <v>6.367005947882736</v>
      </c>
      <c r="X162" s="191">
        <f aca="true" t="shared" si="34" ref="X162:AJ162">X163+X198+X223+X231</f>
        <v>5371</v>
      </c>
      <c r="Y162" s="123">
        <f t="shared" si="34"/>
        <v>1472</v>
      </c>
      <c r="Z162" s="123">
        <f t="shared" si="34"/>
        <v>1472</v>
      </c>
      <c r="AA162" s="124">
        <f t="shared" si="34"/>
        <v>4069.5724299999993</v>
      </c>
      <c r="AB162" s="124">
        <f t="shared" si="34"/>
        <v>3142.1446300000002</v>
      </c>
      <c r="AC162" s="124">
        <f t="shared" si="34"/>
        <v>924.06844</v>
      </c>
      <c r="AD162" s="124">
        <f>AE163+AE198+AE223+AE231</f>
        <v>366.47166</v>
      </c>
      <c r="AE162" s="124">
        <f t="shared" si="34"/>
        <v>366.47166</v>
      </c>
      <c r="AF162" s="124">
        <f t="shared" si="34"/>
        <v>0</v>
      </c>
      <c r="AG162" s="124">
        <f>AE163+AE198+AE223+AE231</f>
        <v>366.47166</v>
      </c>
      <c r="AH162" s="124">
        <f t="shared" si="34"/>
        <v>194.30693</v>
      </c>
      <c r="AI162" s="124">
        <f t="shared" si="34"/>
        <v>2760.6</v>
      </c>
      <c r="AJ162" s="124">
        <f t="shared" si="34"/>
        <v>215.69704000000002</v>
      </c>
      <c r="AK162" s="125"/>
      <c r="AL162" s="125"/>
      <c r="AM162" s="125"/>
      <c r="AN162" s="127"/>
      <c r="AO162" s="128">
        <f t="shared" si="4"/>
        <v>757.6936194377209</v>
      </c>
      <c r="AP162" s="128">
        <f t="shared" si="5"/>
        <v>2.7646551834239124</v>
      </c>
      <c r="AQ162" s="123">
        <f>AQ163+AQ198+AQ223+AQ231</f>
        <v>4413.333333333333</v>
      </c>
      <c r="AR162" s="123">
        <f aca="true" t="shared" si="35" ref="AR162:BC162">AR163+AR198+AR223+AR231</f>
        <v>1295</v>
      </c>
      <c r="AS162" s="123">
        <f t="shared" si="35"/>
        <v>1295</v>
      </c>
      <c r="AT162" s="124">
        <f t="shared" si="35"/>
        <v>3344.18106</v>
      </c>
      <c r="AU162" s="124">
        <f t="shared" si="35"/>
        <v>2421.27064</v>
      </c>
      <c r="AV162" s="124">
        <f t="shared" si="35"/>
        <v>650.0383800000001</v>
      </c>
      <c r="AW162" s="124">
        <f>AX163+AX198+AX223+AX231</f>
        <v>412.61447</v>
      </c>
      <c r="AX162" s="124">
        <f t="shared" si="35"/>
        <v>412.61447</v>
      </c>
      <c r="AY162" s="124">
        <f t="shared" si="35"/>
        <v>0</v>
      </c>
      <c r="AZ162" s="124">
        <f t="shared" si="35"/>
        <v>0</v>
      </c>
      <c r="BA162" s="124">
        <f t="shared" si="35"/>
        <v>230.53548999999998</v>
      </c>
      <c r="BB162" s="124">
        <f t="shared" si="35"/>
        <v>2568.65</v>
      </c>
      <c r="BC162" s="124">
        <f t="shared" si="35"/>
        <v>167.01618000000002</v>
      </c>
      <c r="BD162" s="125"/>
      <c r="BE162" s="125"/>
      <c r="BF162" s="125"/>
      <c r="BG162" s="127"/>
      <c r="BH162" s="128">
        <f t="shared" si="28"/>
        <v>757.7449531722054</v>
      </c>
      <c r="BI162" s="128">
        <f t="shared" si="29"/>
        <v>2.5823791969111967</v>
      </c>
      <c r="BJ162" s="415">
        <f t="shared" si="24"/>
        <v>17875.333333333332</v>
      </c>
      <c r="BK162" s="415">
        <f t="shared" si="25"/>
        <v>4302</v>
      </c>
      <c r="BL162" s="415">
        <f t="shared" si="26"/>
        <v>4302</v>
      </c>
      <c r="BM162" s="415">
        <f t="shared" si="27"/>
        <v>17187.10762</v>
      </c>
    </row>
    <row r="163" spans="1:65" s="129" customFormat="1" ht="24.75" customHeight="1">
      <c r="A163" s="130" t="s">
        <v>114</v>
      </c>
      <c r="B163" s="131" t="s">
        <v>545</v>
      </c>
      <c r="C163" s="132"/>
      <c r="D163" s="133">
        <v>0.4</v>
      </c>
      <c r="E163" s="134">
        <f aca="true" t="shared" si="36" ref="E163:Q163">SUM(E164:E197)</f>
        <v>3462</v>
      </c>
      <c r="F163" s="134">
        <f t="shared" si="36"/>
        <v>420</v>
      </c>
      <c r="G163" s="134">
        <f>SUM(G164:G197)</f>
        <v>420</v>
      </c>
      <c r="H163" s="135">
        <f t="shared" si="36"/>
        <v>2387.01272</v>
      </c>
      <c r="I163" s="135">
        <f t="shared" si="36"/>
        <v>1778.48019</v>
      </c>
      <c r="J163" s="135">
        <f t="shared" si="36"/>
        <v>389.2891200000001</v>
      </c>
      <c r="K163" s="135">
        <f t="shared" si="36"/>
        <v>1111.79998</v>
      </c>
      <c r="L163" s="135">
        <f t="shared" si="36"/>
        <v>308.30794999999995</v>
      </c>
      <c r="M163" s="135">
        <f t="shared" si="36"/>
        <v>0</v>
      </c>
      <c r="N163" s="135">
        <f t="shared" si="36"/>
        <v>0</v>
      </c>
      <c r="O163" s="135">
        <f t="shared" si="36"/>
        <v>129.49542</v>
      </c>
      <c r="P163" s="135">
        <f t="shared" si="36"/>
        <v>1677.0671499999996</v>
      </c>
      <c r="Q163" s="135">
        <f t="shared" si="36"/>
        <v>128.90737</v>
      </c>
      <c r="R163" s="136"/>
      <c r="S163" s="136"/>
      <c r="T163" s="137"/>
      <c r="U163" s="138"/>
      <c r="V163" s="139">
        <f t="shared" si="1"/>
        <v>689.4895205083767</v>
      </c>
      <c r="W163" s="139">
        <f t="shared" si="2"/>
        <v>5.683363619047619</v>
      </c>
      <c r="X163" s="140">
        <f aca="true" t="shared" si="37" ref="X163:AJ163">SUM(X164:X197)</f>
        <v>1204</v>
      </c>
      <c r="Y163" s="134">
        <f t="shared" si="37"/>
        <v>307</v>
      </c>
      <c r="Z163" s="134">
        <f t="shared" si="37"/>
        <v>307</v>
      </c>
      <c r="AA163" s="135">
        <f t="shared" si="37"/>
        <v>804.5661699999999</v>
      </c>
      <c r="AB163" s="135">
        <f t="shared" si="37"/>
        <v>601.33576</v>
      </c>
      <c r="AC163" s="135">
        <f t="shared" si="37"/>
        <v>140.57254</v>
      </c>
      <c r="AD163" s="135">
        <f>SUM(AE164:AE197)</f>
        <v>91.12824</v>
      </c>
      <c r="AE163" s="135">
        <f t="shared" si="37"/>
        <v>91.12824</v>
      </c>
      <c r="AF163" s="135">
        <f t="shared" si="37"/>
        <v>0</v>
      </c>
      <c r="AG163" s="135">
        <f>SUM(AE164:AE197)</f>
        <v>91.12824</v>
      </c>
      <c r="AH163" s="135">
        <f t="shared" si="37"/>
        <v>42.60136999999999</v>
      </c>
      <c r="AI163" s="135">
        <f t="shared" si="37"/>
        <v>929.15</v>
      </c>
      <c r="AJ163" s="135">
        <f t="shared" si="37"/>
        <v>73.99801000000001</v>
      </c>
      <c r="AK163" s="136"/>
      <c r="AL163" s="136"/>
      <c r="AM163" s="136"/>
      <c r="AN163" s="138"/>
      <c r="AO163" s="139">
        <f t="shared" si="4"/>
        <v>668.244327242525</v>
      </c>
      <c r="AP163" s="139">
        <f t="shared" si="5"/>
        <v>2.6207367100977197</v>
      </c>
      <c r="AQ163" s="134">
        <f aca="true" t="shared" si="38" ref="AQ163:BC163">SUM(AQ164:AQ197)</f>
        <v>2482</v>
      </c>
      <c r="AR163" s="134">
        <f t="shared" si="38"/>
        <v>295</v>
      </c>
      <c r="AS163" s="134">
        <f t="shared" si="38"/>
        <v>295</v>
      </c>
      <c r="AT163" s="135">
        <f t="shared" si="38"/>
        <v>1778.5397399999997</v>
      </c>
      <c r="AU163" s="135">
        <f t="shared" si="38"/>
        <v>1277.37957</v>
      </c>
      <c r="AV163" s="135">
        <f t="shared" si="38"/>
        <v>309.71304000000003</v>
      </c>
      <c r="AW163" s="135">
        <f>SUM(AX164:AX197)</f>
        <v>220.84305</v>
      </c>
      <c r="AX163" s="135">
        <f t="shared" si="38"/>
        <v>220.84305</v>
      </c>
      <c r="AY163" s="135">
        <f t="shared" si="38"/>
        <v>0</v>
      </c>
      <c r="AZ163" s="135">
        <f t="shared" si="38"/>
        <v>0</v>
      </c>
      <c r="BA163" s="135">
        <f t="shared" si="38"/>
        <v>131.26467</v>
      </c>
      <c r="BB163" s="135">
        <f t="shared" si="38"/>
        <v>1121.38</v>
      </c>
      <c r="BC163" s="135">
        <f t="shared" si="38"/>
        <v>83.47234999999999</v>
      </c>
      <c r="BD163" s="136"/>
      <c r="BE163" s="136"/>
      <c r="BF163" s="136"/>
      <c r="BG163" s="138"/>
      <c r="BH163" s="139">
        <f t="shared" si="28"/>
        <v>716.5752377115228</v>
      </c>
      <c r="BI163" s="139">
        <f t="shared" si="29"/>
        <v>6.028948271186439</v>
      </c>
      <c r="BJ163" s="415">
        <f aca="true" t="shared" si="39" ref="BJ163:BJ226">E163+X163+AQ163</f>
        <v>7148</v>
      </c>
      <c r="BK163" s="415">
        <f aca="true" t="shared" si="40" ref="BK163:BK226">F163+Y163+AR163</f>
        <v>1022</v>
      </c>
      <c r="BL163" s="415">
        <f aca="true" t="shared" si="41" ref="BL163:BL226">G163+Z163+AS163</f>
        <v>1022</v>
      </c>
      <c r="BM163" s="415">
        <f aca="true" t="shared" si="42" ref="BM163:BM226">H163+AA163+AT163</f>
        <v>4970.11863</v>
      </c>
    </row>
    <row r="164" spans="1:65" s="129" customFormat="1" ht="18.75" outlineLevel="1">
      <c r="A164" s="141" t="s">
        <v>116</v>
      </c>
      <c r="B164" s="142" t="s">
        <v>546</v>
      </c>
      <c r="C164" s="143" t="s">
        <v>547</v>
      </c>
      <c r="D164" s="144">
        <v>0.4</v>
      </c>
      <c r="E164" s="192">
        <v>80</v>
      </c>
      <c r="F164" s="193">
        <v>45</v>
      </c>
      <c r="G164" s="193">
        <v>45</v>
      </c>
      <c r="H164" s="171">
        <v>27.42052</v>
      </c>
      <c r="I164" s="149">
        <v>20.70572</v>
      </c>
      <c r="J164" s="149">
        <v>8.38533</v>
      </c>
      <c r="K164" s="149">
        <v>7.52034</v>
      </c>
      <c r="L164" s="149">
        <v>3.37821</v>
      </c>
      <c r="M164" s="149">
        <v>0</v>
      </c>
      <c r="N164" s="149">
        <v>0</v>
      </c>
      <c r="O164" s="149">
        <v>1.49714</v>
      </c>
      <c r="P164" s="149">
        <v>104.81663</v>
      </c>
      <c r="Q164" s="149">
        <v>7.52</v>
      </c>
      <c r="R164" s="150" t="s">
        <v>119</v>
      </c>
      <c r="S164" s="151" t="s">
        <v>120</v>
      </c>
      <c r="T164" s="152"/>
      <c r="U164" s="153">
        <v>12</v>
      </c>
      <c r="V164" s="154">
        <f t="shared" si="1"/>
        <v>342.7565</v>
      </c>
      <c r="W164" s="154">
        <f t="shared" si="2"/>
        <v>0.6093448888888889</v>
      </c>
      <c r="X164" s="194"/>
      <c r="Y164" s="193"/>
      <c r="Z164" s="193"/>
      <c r="AA164" s="171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56"/>
      <c r="AL164" s="156"/>
      <c r="AM164" s="156"/>
      <c r="AN164" s="153"/>
      <c r="AO164" s="154" t="e">
        <f t="shared" si="4"/>
        <v>#DIV/0!</v>
      </c>
      <c r="AP164" s="154" t="e">
        <f t="shared" si="5"/>
        <v>#DIV/0!</v>
      </c>
      <c r="AQ164" s="192"/>
      <c r="AR164" s="193"/>
      <c r="AS164" s="193"/>
      <c r="AT164" s="171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56"/>
      <c r="BE164" s="156"/>
      <c r="BF164" s="156"/>
      <c r="BG164" s="153"/>
      <c r="BH164" s="154" t="e">
        <f aca="true" t="shared" si="43" ref="BH164:BH330">AT164/AQ164*1000</f>
        <v>#DIV/0!</v>
      </c>
      <c r="BI164" s="154" t="e">
        <f aca="true" t="shared" si="44" ref="BI164:BI382">AT164/AR164</f>
        <v>#DIV/0!</v>
      </c>
      <c r="BJ164" s="415">
        <f t="shared" si="39"/>
        <v>80</v>
      </c>
      <c r="BK164" s="415">
        <f t="shared" si="40"/>
        <v>45</v>
      </c>
      <c r="BL164" s="415">
        <f t="shared" si="41"/>
        <v>45</v>
      </c>
      <c r="BM164" s="415">
        <f t="shared" si="42"/>
        <v>27.42052</v>
      </c>
    </row>
    <row r="165" spans="1:65" s="129" customFormat="1" ht="18.75" outlineLevel="1">
      <c r="A165" s="141" t="s">
        <v>121</v>
      </c>
      <c r="B165" s="142" t="s">
        <v>548</v>
      </c>
      <c r="C165" s="143" t="s">
        <v>549</v>
      </c>
      <c r="D165" s="144">
        <v>0.4</v>
      </c>
      <c r="E165" s="145">
        <v>152</v>
      </c>
      <c r="F165" s="146">
        <v>30</v>
      </c>
      <c r="G165" s="146">
        <v>30</v>
      </c>
      <c r="H165" s="195">
        <v>108.14446</v>
      </c>
      <c r="I165" s="149">
        <v>77.90269</v>
      </c>
      <c r="J165" s="149">
        <v>15.93213</v>
      </c>
      <c r="K165" s="149">
        <v>30.0454</v>
      </c>
      <c r="L165" s="149">
        <v>15.67597</v>
      </c>
      <c r="M165" s="149">
        <v>0</v>
      </c>
      <c r="N165" s="149">
        <v>0</v>
      </c>
      <c r="O165" s="149">
        <v>6.41249</v>
      </c>
      <c r="P165" s="149">
        <v>104.81664</v>
      </c>
      <c r="Q165" s="149">
        <v>7.51136</v>
      </c>
      <c r="R165" s="150" t="s">
        <v>119</v>
      </c>
      <c r="S165" s="151" t="s">
        <v>120</v>
      </c>
      <c r="T165" s="152"/>
      <c r="U165" s="153">
        <v>51</v>
      </c>
      <c r="V165" s="154">
        <f t="shared" si="1"/>
        <v>711.4767105263157</v>
      </c>
      <c r="W165" s="154">
        <f t="shared" si="2"/>
        <v>3.6048153333333333</v>
      </c>
      <c r="X165" s="155"/>
      <c r="Y165" s="146"/>
      <c r="Z165" s="146"/>
      <c r="AA165" s="195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56"/>
      <c r="AL165" s="156"/>
      <c r="AM165" s="156"/>
      <c r="AN165" s="153"/>
      <c r="AO165" s="154" t="e">
        <f t="shared" si="4"/>
        <v>#DIV/0!</v>
      </c>
      <c r="AP165" s="154" t="e">
        <f t="shared" si="5"/>
        <v>#DIV/0!</v>
      </c>
      <c r="AQ165" s="145"/>
      <c r="AR165" s="146"/>
      <c r="AS165" s="146"/>
      <c r="AT165" s="19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56"/>
      <c r="BE165" s="156"/>
      <c r="BF165" s="156"/>
      <c r="BG165" s="153"/>
      <c r="BH165" s="154" t="e">
        <f t="shared" si="43"/>
        <v>#DIV/0!</v>
      </c>
      <c r="BI165" s="154" t="e">
        <f t="shared" si="44"/>
        <v>#DIV/0!</v>
      </c>
      <c r="BJ165" s="415">
        <f t="shared" si="39"/>
        <v>152</v>
      </c>
      <c r="BK165" s="415">
        <f t="shared" si="40"/>
        <v>30</v>
      </c>
      <c r="BL165" s="415">
        <f t="shared" si="41"/>
        <v>30</v>
      </c>
      <c r="BM165" s="415">
        <f t="shared" si="42"/>
        <v>108.14446</v>
      </c>
    </row>
    <row r="166" spans="1:65" s="129" customFormat="1" ht="18.75" outlineLevel="1">
      <c r="A166" s="141" t="s">
        <v>124</v>
      </c>
      <c r="B166" s="142" t="s">
        <v>550</v>
      </c>
      <c r="C166" s="143" t="s">
        <v>551</v>
      </c>
      <c r="D166" s="144">
        <v>0.4</v>
      </c>
      <c r="E166" s="145">
        <v>293</v>
      </c>
      <c r="F166" s="146">
        <v>15</v>
      </c>
      <c r="G166" s="146">
        <v>15</v>
      </c>
      <c r="H166" s="195">
        <f>223.95718+23.5573</f>
        <v>247.51448</v>
      </c>
      <c r="I166" s="149">
        <f>158.47221+16.59166</f>
        <v>175.06386999999998</v>
      </c>
      <c r="J166" s="149">
        <v>30.71128</v>
      </c>
      <c r="K166" s="149">
        <f>7.66191+30.64764+68.95719+15.39624</f>
        <v>122.66298</v>
      </c>
      <c r="L166" s="149">
        <f>34.562+3.71779</f>
        <v>38.27979</v>
      </c>
      <c r="M166" s="149">
        <v>0</v>
      </c>
      <c r="N166" s="149">
        <v>0</v>
      </c>
      <c r="O166" s="149">
        <f>13.66403</f>
        <v>13.66403</v>
      </c>
      <c r="P166" s="149">
        <v>104.81666</v>
      </c>
      <c r="Q166" s="149">
        <v>7.66191</v>
      </c>
      <c r="R166" s="150" t="s">
        <v>119</v>
      </c>
      <c r="S166" s="151" t="s">
        <v>120</v>
      </c>
      <c r="T166" s="152"/>
      <c r="U166" s="153">
        <v>63</v>
      </c>
      <c r="V166" s="154">
        <f t="shared" si="1"/>
        <v>844.7593174061433</v>
      </c>
      <c r="W166" s="154">
        <f t="shared" si="2"/>
        <v>16.500965333333333</v>
      </c>
      <c r="X166" s="155"/>
      <c r="Y166" s="146"/>
      <c r="Z166" s="146"/>
      <c r="AA166" s="195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56"/>
      <c r="AL166" s="156"/>
      <c r="AM166" s="156"/>
      <c r="AN166" s="153"/>
      <c r="AO166" s="154" t="e">
        <f t="shared" si="4"/>
        <v>#DIV/0!</v>
      </c>
      <c r="AP166" s="154" t="e">
        <f t="shared" si="5"/>
        <v>#DIV/0!</v>
      </c>
      <c r="AQ166" s="145"/>
      <c r="AR166" s="146"/>
      <c r="AS166" s="146"/>
      <c r="AT166" s="195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56"/>
      <c r="BE166" s="156"/>
      <c r="BF166" s="156"/>
      <c r="BG166" s="153"/>
      <c r="BH166" s="154" t="e">
        <f t="shared" si="43"/>
        <v>#DIV/0!</v>
      </c>
      <c r="BI166" s="154" t="e">
        <f t="shared" si="44"/>
        <v>#DIV/0!</v>
      </c>
      <c r="BJ166" s="415">
        <f t="shared" si="39"/>
        <v>293</v>
      </c>
      <c r="BK166" s="415">
        <f t="shared" si="40"/>
        <v>15</v>
      </c>
      <c r="BL166" s="415">
        <f t="shared" si="41"/>
        <v>15</v>
      </c>
      <c r="BM166" s="415">
        <f t="shared" si="42"/>
        <v>247.51448</v>
      </c>
    </row>
    <row r="167" spans="1:65" s="129" customFormat="1" ht="18.75" outlineLevel="1">
      <c r="A167" s="141" t="s">
        <v>127</v>
      </c>
      <c r="B167" s="142" t="s">
        <v>552</v>
      </c>
      <c r="C167" s="143" t="s">
        <v>553</v>
      </c>
      <c r="D167" s="144">
        <v>0.4</v>
      </c>
      <c r="E167" s="145">
        <v>270</v>
      </c>
      <c r="F167" s="146">
        <v>15</v>
      </c>
      <c r="G167" s="146">
        <v>15</v>
      </c>
      <c r="H167" s="195">
        <v>90.11525</v>
      </c>
      <c r="I167" s="149">
        <v>67.1217</v>
      </c>
      <c r="J167" s="149">
        <v>28.3005</v>
      </c>
      <c r="K167" s="149">
        <v>15.0227</v>
      </c>
      <c r="L167" s="149">
        <v>12.14546</v>
      </c>
      <c r="M167" s="149">
        <v>0</v>
      </c>
      <c r="N167" s="149">
        <v>0</v>
      </c>
      <c r="O167" s="149">
        <v>4.97607</v>
      </c>
      <c r="P167" s="149">
        <v>104.81667</v>
      </c>
      <c r="Q167" s="149">
        <v>7.51135</v>
      </c>
      <c r="R167" s="150" t="s">
        <v>119</v>
      </c>
      <c r="S167" s="151" t="s">
        <v>120</v>
      </c>
      <c r="T167" s="152"/>
      <c r="U167" s="153">
        <v>73</v>
      </c>
      <c r="V167" s="154">
        <f t="shared" si="1"/>
        <v>333.7601851851852</v>
      </c>
      <c r="W167" s="154">
        <f t="shared" si="2"/>
        <v>6.0076833333333335</v>
      </c>
      <c r="X167" s="155"/>
      <c r="Y167" s="146"/>
      <c r="Z167" s="146"/>
      <c r="AA167" s="195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56"/>
      <c r="AL167" s="156"/>
      <c r="AM167" s="156"/>
      <c r="AN167" s="153"/>
      <c r="AO167" s="154" t="e">
        <f t="shared" si="4"/>
        <v>#DIV/0!</v>
      </c>
      <c r="AP167" s="154" t="e">
        <f t="shared" si="5"/>
        <v>#DIV/0!</v>
      </c>
      <c r="AQ167" s="145"/>
      <c r="AR167" s="146"/>
      <c r="AS167" s="146"/>
      <c r="AT167" s="19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56"/>
      <c r="BE167" s="156"/>
      <c r="BF167" s="156"/>
      <c r="BG167" s="153"/>
      <c r="BH167" s="154" t="e">
        <f t="shared" si="43"/>
        <v>#DIV/0!</v>
      </c>
      <c r="BI167" s="154" t="e">
        <f t="shared" si="44"/>
        <v>#DIV/0!</v>
      </c>
      <c r="BJ167" s="415">
        <f t="shared" si="39"/>
        <v>270</v>
      </c>
      <c r="BK167" s="415">
        <f t="shared" si="40"/>
        <v>15</v>
      </c>
      <c r="BL167" s="415">
        <f t="shared" si="41"/>
        <v>15</v>
      </c>
      <c r="BM167" s="415">
        <f t="shared" si="42"/>
        <v>90.11525</v>
      </c>
    </row>
    <row r="168" spans="1:65" s="129" customFormat="1" ht="18.75" outlineLevel="1">
      <c r="A168" s="141" t="s">
        <v>130</v>
      </c>
      <c r="B168" s="142" t="s">
        <v>554</v>
      </c>
      <c r="C168" s="158" t="s">
        <v>555</v>
      </c>
      <c r="D168" s="144">
        <v>0.4</v>
      </c>
      <c r="E168" s="145">
        <v>172</v>
      </c>
      <c r="F168" s="146">
        <v>100</v>
      </c>
      <c r="G168" s="146">
        <v>100</v>
      </c>
      <c r="H168" s="148">
        <v>62.09984</v>
      </c>
      <c r="I168" s="149">
        <v>43.05295</v>
      </c>
      <c r="J168" s="149">
        <v>18.02847</v>
      </c>
      <c r="K168" s="149">
        <v>7.69812</v>
      </c>
      <c r="L168" s="149">
        <v>10.17075</v>
      </c>
      <c r="M168" s="149">
        <v>0</v>
      </c>
      <c r="N168" s="149">
        <v>0</v>
      </c>
      <c r="O168" s="149">
        <v>4.05652</v>
      </c>
      <c r="P168" s="149">
        <v>104.81669</v>
      </c>
      <c r="Q168" s="149">
        <v>7.69812</v>
      </c>
      <c r="R168" s="150" t="s">
        <v>119</v>
      </c>
      <c r="S168" s="151" t="s">
        <v>120</v>
      </c>
      <c r="T168" s="152"/>
      <c r="U168" s="153">
        <v>107</v>
      </c>
      <c r="V168" s="154">
        <f t="shared" si="1"/>
        <v>361.0455813953488</v>
      </c>
      <c r="W168" s="154">
        <f t="shared" si="2"/>
        <v>0.6209984</v>
      </c>
      <c r="X168" s="155"/>
      <c r="Y168" s="146"/>
      <c r="Z168" s="146"/>
      <c r="AA168" s="148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56"/>
      <c r="AL168" s="156"/>
      <c r="AM168" s="156"/>
      <c r="AN168" s="153"/>
      <c r="AO168" s="154" t="e">
        <f t="shared" si="4"/>
        <v>#DIV/0!</v>
      </c>
      <c r="AP168" s="154" t="e">
        <f t="shared" si="5"/>
        <v>#DIV/0!</v>
      </c>
      <c r="AQ168" s="145"/>
      <c r="AR168" s="146"/>
      <c r="AS168" s="146"/>
      <c r="AT168" s="148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56"/>
      <c r="BE168" s="156"/>
      <c r="BF168" s="156"/>
      <c r="BG168" s="153"/>
      <c r="BH168" s="154" t="e">
        <f t="shared" si="43"/>
        <v>#DIV/0!</v>
      </c>
      <c r="BI168" s="154" t="e">
        <f t="shared" si="44"/>
        <v>#DIV/0!</v>
      </c>
      <c r="BJ168" s="415">
        <f t="shared" si="39"/>
        <v>172</v>
      </c>
      <c r="BK168" s="415">
        <f t="shared" si="40"/>
        <v>100</v>
      </c>
      <c r="BL168" s="415">
        <f t="shared" si="41"/>
        <v>100</v>
      </c>
      <c r="BM168" s="415">
        <f t="shared" si="42"/>
        <v>62.09984</v>
      </c>
    </row>
    <row r="169" spans="1:65" s="129" customFormat="1" ht="18.75" outlineLevel="1">
      <c r="A169" s="141" t="s">
        <v>133</v>
      </c>
      <c r="B169" s="142" t="s">
        <v>556</v>
      </c>
      <c r="C169" s="158" t="s">
        <v>557</v>
      </c>
      <c r="D169" s="144">
        <v>0.4</v>
      </c>
      <c r="E169" s="145">
        <v>165</v>
      </c>
      <c r="F169" s="146">
        <v>15</v>
      </c>
      <c r="G169" s="146">
        <v>15</v>
      </c>
      <c r="H169" s="148">
        <v>106.46271</v>
      </c>
      <c r="I169" s="149">
        <v>79.57554</v>
      </c>
      <c r="J169" s="149">
        <v>17.29475</v>
      </c>
      <c r="K169" s="149">
        <v>52.97322</v>
      </c>
      <c r="L169" s="149">
        <v>13.48181</v>
      </c>
      <c r="M169" s="149">
        <v>0</v>
      </c>
      <c r="N169" s="149">
        <v>0</v>
      </c>
      <c r="O169" s="149">
        <v>5.87274</v>
      </c>
      <c r="P169" s="149">
        <v>104.81667</v>
      </c>
      <c r="Q169" s="149">
        <v>8.82887</v>
      </c>
      <c r="R169" s="150" t="s">
        <v>119</v>
      </c>
      <c r="S169" s="151" t="s">
        <v>120</v>
      </c>
      <c r="T169" s="152"/>
      <c r="U169" s="153">
        <v>185</v>
      </c>
      <c r="V169" s="154">
        <f t="shared" si="1"/>
        <v>645.2285454545455</v>
      </c>
      <c r="W169" s="154">
        <f t="shared" si="2"/>
        <v>7.097514</v>
      </c>
      <c r="X169" s="155"/>
      <c r="Y169" s="146"/>
      <c r="Z169" s="146"/>
      <c r="AA169" s="148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56"/>
      <c r="AL169" s="156"/>
      <c r="AM169" s="156"/>
      <c r="AN169" s="153"/>
      <c r="AO169" s="154" t="e">
        <f t="shared" si="4"/>
        <v>#DIV/0!</v>
      </c>
      <c r="AP169" s="154" t="e">
        <f t="shared" si="5"/>
        <v>#DIV/0!</v>
      </c>
      <c r="AQ169" s="145"/>
      <c r="AR169" s="146"/>
      <c r="AS169" s="146"/>
      <c r="AT169" s="148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56"/>
      <c r="BE169" s="156"/>
      <c r="BF169" s="156"/>
      <c r="BG169" s="153"/>
      <c r="BH169" s="154" t="e">
        <f t="shared" si="43"/>
        <v>#DIV/0!</v>
      </c>
      <c r="BI169" s="154" t="e">
        <f t="shared" si="44"/>
        <v>#DIV/0!</v>
      </c>
      <c r="BJ169" s="415">
        <f t="shared" si="39"/>
        <v>165</v>
      </c>
      <c r="BK169" s="415">
        <f t="shared" si="40"/>
        <v>15</v>
      </c>
      <c r="BL169" s="415">
        <f t="shared" si="41"/>
        <v>15</v>
      </c>
      <c r="BM169" s="415">
        <f t="shared" si="42"/>
        <v>106.46271</v>
      </c>
    </row>
    <row r="170" spans="1:65" s="129" customFormat="1" ht="18.75" outlineLevel="1">
      <c r="A170" s="141" t="s">
        <v>136</v>
      </c>
      <c r="B170" s="142" t="s">
        <v>558</v>
      </c>
      <c r="C170" s="158" t="s">
        <v>559</v>
      </c>
      <c r="D170" s="144">
        <v>0.4</v>
      </c>
      <c r="E170" s="145">
        <v>222</v>
      </c>
      <c r="F170" s="146">
        <v>15</v>
      </c>
      <c r="G170" s="146">
        <v>15</v>
      </c>
      <c r="H170" s="148">
        <v>237.96864</v>
      </c>
      <c r="I170" s="149">
        <v>175.91783</v>
      </c>
      <c r="J170" s="149">
        <v>23.2693</v>
      </c>
      <c r="K170" s="149">
        <f>35.31548+70.63096+26.48661</f>
        <v>132.43304999999998</v>
      </c>
      <c r="L170" s="149">
        <v>32.21571</v>
      </c>
      <c r="M170" s="149">
        <v>0</v>
      </c>
      <c r="N170" s="149">
        <v>0</v>
      </c>
      <c r="O170" s="149">
        <v>13.06757</v>
      </c>
      <c r="P170" s="149">
        <v>104.81667</v>
      </c>
      <c r="Q170" s="149">
        <v>8.82887</v>
      </c>
      <c r="R170" s="150" t="s">
        <v>119</v>
      </c>
      <c r="S170" s="151" t="s">
        <v>120</v>
      </c>
      <c r="T170" s="152"/>
      <c r="U170" s="153">
        <v>190</v>
      </c>
      <c r="V170" s="154">
        <f t="shared" si="1"/>
        <v>1071.9308108108107</v>
      </c>
      <c r="W170" s="154">
        <f t="shared" si="2"/>
        <v>15.864576</v>
      </c>
      <c r="X170" s="155"/>
      <c r="Y170" s="146"/>
      <c r="Z170" s="146"/>
      <c r="AA170" s="148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56"/>
      <c r="AL170" s="156"/>
      <c r="AM170" s="156"/>
      <c r="AN170" s="153"/>
      <c r="AO170" s="154" t="e">
        <f t="shared" si="4"/>
        <v>#DIV/0!</v>
      </c>
      <c r="AP170" s="154" t="e">
        <f t="shared" si="5"/>
        <v>#DIV/0!</v>
      </c>
      <c r="AQ170" s="145"/>
      <c r="AR170" s="146"/>
      <c r="AS170" s="146"/>
      <c r="AT170" s="148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56"/>
      <c r="BE170" s="156"/>
      <c r="BF170" s="156"/>
      <c r="BG170" s="153"/>
      <c r="BH170" s="154" t="e">
        <f t="shared" si="43"/>
        <v>#DIV/0!</v>
      </c>
      <c r="BI170" s="154" t="e">
        <f t="shared" si="44"/>
        <v>#DIV/0!</v>
      </c>
      <c r="BJ170" s="415">
        <f t="shared" si="39"/>
        <v>222</v>
      </c>
      <c r="BK170" s="415">
        <f t="shared" si="40"/>
        <v>15</v>
      </c>
      <c r="BL170" s="415">
        <f t="shared" si="41"/>
        <v>15</v>
      </c>
      <c r="BM170" s="415">
        <f t="shared" si="42"/>
        <v>237.96864</v>
      </c>
    </row>
    <row r="171" spans="1:65" s="129" customFormat="1" ht="18.75" outlineLevel="1">
      <c r="A171" s="141" t="s">
        <v>139</v>
      </c>
      <c r="B171" s="142" t="s">
        <v>128</v>
      </c>
      <c r="C171" s="158" t="s">
        <v>129</v>
      </c>
      <c r="D171" s="144">
        <v>0.4</v>
      </c>
      <c r="E171" s="145">
        <v>325</v>
      </c>
      <c r="F171" s="146">
        <v>15</v>
      </c>
      <c r="G171" s="146">
        <v>15</v>
      </c>
      <c r="H171" s="148">
        <v>224.689</v>
      </c>
      <c r="I171" s="149">
        <v>169.406</v>
      </c>
      <c r="J171" s="149">
        <v>34.06542</v>
      </c>
      <c r="K171" s="149">
        <v>114.775</v>
      </c>
      <c r="L171" s="149">
        <v>29.798</v>
      </c>
      <c r="M171" s="149">
        <v>0</v>
      </c>
      <c r="N171" s="149">
        <v>0</v>
      </c>
      <c r="O171" s="149">
        <v>12.579</v>
      </c>
      <c r="P171" s="149">
        <v>104.81668</v>
      </c>
      <c r="Q171" s="149">
        <v>8.82887</v>
      </c>
      <c r="R171" s="150" t="s">
        <v>119</v>
      </c>
      <c r="S171" s="151" t="s">
        <v>120</v>
      </c>
      <c r="T171" s="152"/>
      <c r="U171" s="153">
        <v>207</v>
      </c>
      <c r="V171" s="154">
        <f t="shared" si="1"/>
        <v>691.3507692307692</v>
      </c>
      <c r="W171" s="154">
        <f t="shared" si="2"/>
        <v>14.979266666666666</v>
      </c>
      <c r="X171" s="155"/>
      <c r="Y171" s="146"/>
      <c r="Z171" s="146"/>
      <c r="AA171" s="148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56"/>
      <c r="AL171" s="156"/>
      <c r="AM171" s="156"/>
      <c r="AN171" s="153"/>
      <c r="AO171" s="154" t="e">
        <f t="shared" si="4"/>
        <v>#DIV/0!</v>
      </c>
      <c r="AP171" s="154" t="e">
        <f t="shared" si="5"/>
        <v>#DIV/0!</v>
      </c>
      <c r="AQ171" s="145"/>
      <c r="AR171" s="146"/>
      <c r="AS171" s="146"/>
      <c r="AT171" s="148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56"/>
      <c r="BE171" s="156"/>
      <c r="BF171" s="156"/>
      <c r="BG171" s="153"/>
      <c r="BH171" s="154" t="e">
        <f t="shared" si="43"/>
        <v>#DIV/0!</v>
      </c>
      <c r="BI171" s="154" t="e">
        <f t="shared" si="44"/>
        <v>#DIV/0!</v>
      </c>
      <c r="BJ171" s="415">
        <f t="shared" si="39"/>
        <v>325</v>
      </c>
      <c r="BK171" s="415">
        <f t="shared" si="40"/>
        <v>15</v>
      </c>
      <c r="BL171" s="415">
        <f t="shared" si="41"/>
        <v>15</v>
      </c>
      <c r="BM171" s="415">
        <f t="shared" si="42"/>
        <v>224.689</v>
      </c>
    </row>
    <row r="172" spans="1:65" s="129" customFormat="1" ht="18.75" outlineLevel="1">
      <c r="A172" s="141" t="s">
        <v>141</v>
      </c>
      <c r="B172" s="142" t="s">
        <v>560</v>
      </c>
      <c r="C172" s="158" t="s">
        <v>561</v>
      </c>
      <c r="D172" s="144">
        <v>0.4</v>
      </c>
      <c r="E172" s="145">
        <v>226</v>
      </c>
      <c r="F172" s="146">
        <v>15</v>
      </c>
      <c r="G172" s="146">
        <v>15</v>
      </c>
      <c r="H172" s="148">
        <v>143.37223</v>
      </c>
      <c r="I172" s="149">
        <v>106.62475</v>
      </c>
      <c r="J172" s="149">
        <v>23.68857</v>
      </c>
      <c r="K172" s="149">
        <f>54.19866+18.06622</f>
        <v>72.26488</v>
      </c>
      <c r="L172" s="149">
        <v>18.63334</v>
      </c>
      <c r="M172" s="149">
        <v>0</v>
      </c>
      <c r="N172" s="149">
        <v>0</v>
      </c>
      <c r="O172" s="149">
        <v>7.96013</v>
      </c>
      <c r="P172" s="149">
        <v>104.8168</v>
      </c>
      <c r="Q172" s="149">
        <v>9.03311</v>
      </c>
      <c r="R172" s="150" t="s">
        <v>119</v>
      </c>
      <c r="S172" s="151" t="s">
        <v>120</v>
      </c>
      <c r="T172" s="152"/>
      <c r="U172" s="153">
        <v>277</v>
      </c>
      <c r="V172" s="154">
        <f t="shared" si="1"/>
        <v>634.3903982300885</v>
      </c>
      <c r="W172" s="154">
        <f t="shared" si="2"/>
        <v>9.558148666666666</v>
      </c>
      <c r="X172" s="155"/>
      <c r="Y172" s="146"/>
      <c r="Z172" s="146"/>
      <c r="AA172" s="148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56"/>
      <c r="AL172" s="156"/>
      <c r="AM172" s="156"/>
      <c r="AN172" s="153"/>
      <c r="AO172" s="154" t="e">
        <f t="shared" si="4"/>
        <v>#DIV/0!</v>
      </c>
      <c r="AP172" s="154" t="e">
        <f t="shared" si="5"/>
        <v>#DIV/0!</v>
      </c>
      <c r="AQ172" s="145"/>
      <c r="AR172" s="146"/>
      <c r="AS172" s="146"/>
      <c r="AT172" s="148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56"/>
      <c r="BE172" s="156"/>
      <c r="BF172" s="156"/>
      <c r="BG172" s="153"/>
      <c r="BH172" s="154" t="e">
        <f t="shared" si="43"/>
        <v>#DIV/0!</v>
      </c>
      <c r="BI172" s="154" t="e">
        <f t="shared" si="44"/>
        <v>#DIV/0!</v>
      </c>
      <c r="BJ172" s="415">
        <f t="shared" si="39"/>
        <v>226</v>
      </c>
      <c r="BK172" s="415">
        <f t="shared" si="40"/>
        <v>15</v>
      </c>
      <c r="BL172" s="415">
        <f t="shared" si="41"/>
        <v>15</v>
      </c>
      <c r="BM172" s="415">
        <f t="shared" si="42"/>
        <v>143.37223</v>
      </c>
    </row>
    <row r="173" spans="1:65" s="129" customFormat="1" ht="18.75" outlineLevel="1">
      <c r="A173" s="141" t="s">
        <v>562</v>
      </c>
      <c r="B173" s="142" t="s">
        <v>563</v>
      </c>
      <c r="C173" s="158" t="s">
        <v>564</v>
      </c>
      <c r="D173" s="144">
        <v>0.4</v>
      </c>
      <c r="E173" s="145">
        <v>380</v>
      </c>
      <c r="F173" s="146">
        <v>15</v>
      </c>
      <c r="G173" s="146">
        <v>15</v>
      </c>
      <c r="H173" s="148">
        <v>323.02037</v>
      </c>
      <c r="I173" s="149">
        <v>244.47665</v>
      </c>
      <c r="J173" s="149">
        <v>39.83033</v>
      </c>
      <c r="K173" s="149">
        <f>75.33408+94.1676</f>
        <v>169.50168</v>
      </c>
      <c r="L173" s="149">
        <v>40.41624</v>
      </c>
      <c r="M173" s="149">
        <v>0</v>
      </c>
      <c r="N173" s="149">
        <v>0</v>
      </c>
      <c r="O173" s="149">
        <v>16.73134</v>
      </c>
      <c r="P173" s="149">
        <v>104.81666</v>
      </c>
      <c r="Q173" s="149">
        <v>9.41676</v>
      </c>
      <c r="R173" s="150" t="s">
        <v>119</v>
      </c>
      <c r="S173" s="151" t="s">
        <v>120</v>
      </c>
      <c r="T173" s="152"/>
      <c r="U173" s="153">
        <v>305</v>
      </c>
      <c r="V173" s="154">
        <f t="shared" si="1"/>
        <v>850.053605263158</v>
      </c>
      <c r="W173" s="154">
        <f t="shared" si="2"/>
        <v>21.534691333333335</v>
      </c>
      <c r="X173" s="155"/>
      <c r="Y173" s="146"/>
      <c r="Z173" s="146"/>
      <c r="AA173" s="148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56"/>
      <c r="AL173" s="156"/>
      <c r="AM173" s="156"/>
      <c r="AN173" s="153"/>
      <c r="AO173" s="154" t="e">
        <f t="shared" si="4"/>
        <v>#DIV/0!</v>
      </c>
      <c r="AP173" s="154" t="e">
        <f t="shared" si="5"/>
        <v>#DIV/0!</v>
      </c>
      <c r="AQ173" s="145"/>
      <c r="AR173" s="146"/>
      <c r="AS173" s="146"/>
      <c r="AT173" s="148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56"/>
      <c r="BE173" s="156"/>
      <c r="BF173" s="156"/>
      <c r="BG173" s="153"/>
      <c r="BH173" s="154" t="e">
        <f t="shared" si="43"/>
        <v>#DIV/0!</v>
      </c>
      <c r="BI173" s="154" t="e">
        <f t="shared" si="44"/>
        <v>#DIV/0!</v>
      </c>
      <c r="BJ173" s="415">
        <f t="shared" si="39"/>
        <v>380</v>
      </c>
      <c r="BK173" s="415">
        <f t="shared" si="40"/>
        <v>15</v>
      </c>
      <c r="BL173" s="415">
        <f t="shared" si="41"/>
        <v>15</v>
      </c>
      <c r="BM173" s="415">
        <f t="shared" si="42"/>
        <v>323.02037</v>
      </c>
    </row>
    <row r="174" spans="1:65" s="129" customFormat="1" ht="18.75" outlineLevel="1">
      <c r="A174" s="141" t="s">
        <v>565</v>
      </c>
      <c r="B174" s="142" t="s">
        <v>566</v>
      </c>
      <c r="C174" s="158" t="s">
        <v>567</v>
      </c>
      <c r="D174" s="144">
        <v>0.4</v>
      </c>
      <c r="E174" s="145">
        <v>340</v>
      </c>
      <c r="F174" s="146">
        <v>15</v>
      </c>
      <c r="G174" s="146">
        <v>15</v>
      </c>
      <c r="H174" s="148">
        <v>228.65042</v>
      </c>
      <c r="I174" s="149">
        <v>173.76838</v>
      </c>
      <c r="J174" s="149">
        <v>35.63767</v>
      </c>
      <c r="K174" s="149">
        <f>94.1676+18.83352</f>
        <v>113.00111999999999</v>
      </c>
      <c r="L174" s="149">
        <v>27.74023</v>
      </c>
      <c r="M174" s="149">
        <v>0</v>
      </c>
      <c r="N174" s="149">
        <v>0</v>
      </c>
      <c r="O174" s="149">
        <v>11.91766</v>
      </c>
      <c r="P174" s="149">
        <v>104.81666</v>
      </c>
      <c r="Q174" s="149">
        <v>9.41676</v>
      </c>
      <c r="R174" s="150" t="s">
        <v>119</v>
      </c>
      <c r="S174" s="151" t="s">
        <v>120</v>
      </c>
      <c r="T174" s="152"/>
      <c r="U174" s="153">
        <v>309</v>
      </c>
      <c r="V174" s="154">
        <f t="shared" si="1"/>
        <v>672.5012352941177</v>
      </c>
      <c r="W174" s="154">
        <f t="shared" si="2"/>
        <v>15.243361333333333</v>
      </c>
      <c r="X174" s="155"/>
      <c r="Y174" s="146"/>
      <c r="Z174" s="146"/>
      <c r="AA174" s="148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56"/>
      <c r="AL174" s="156"/>
      <c r="AM174" s="156"/>
      <c r="AN174" s="153"/>
      <c r="AO174" s="154" t="e">
        <f t="shared" si="4"/>
        <v>#DIV/0!</v>
      </c>
      <c r="AP174" s="154" t="e">
        <f t="shared" si="5"/>
        <v>#DIV/0!</v>
      </c>
      <c r="AQ174" s="145"/>
      <c r="AR174" s="146"/>
      <c r="AS174" s="146"/>
      <c r="AT174" s="148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56"/>
      <c r="BE174" s="156"/>
      <c r="BF174" s="156"/>
      <c r="BG174" s="153"/>
      <c r="BH174" s="154" t="e">
        <f t="shared" si="43"/>
        <v>#DIV/0!</v>
      </c>
      <c r="BI174" s="154" t="e">
        <f t="shared" si="44"/>
        <v>#DIV/0!</v>
      </c>
      <c r="BJ174" s="415">
        <f t="shared" si="39"/>
        <v>340</v>
      </c>
      <c r="BK174" s="415">
        <f t="shared" si="40"/>
        <v>15</v>
      </c>
      <c r="BL174" s="415">
        <f t="shared" si="41"/>
        <v>15</v>
      </c>
      <c r="BM174" s="415">
        <f t="shared" si="42"/>
        <v>228.65042</v>
      </c>
    </row>
    <row r="175" spans="1:65" s="129" customFormat="1" ht="18.75" outlineLevel="1">
      <c r="A175" s="141" t="s">
        <v>568</v>
      </c>
      <c r="B175" s="142" t="s">
        <v>569</v>
      </c>
      <c r="C175" s="158" t="s">
        <v>570</v>
      </c>
      <c r="D175" s="144">
        <v>0.4</v>
      </c>
      <c r="E175" s="145">
        <v>74</v>
      </c>
      <c r="F175" s="146">
        <v>65</v>
      </c>
      <c r="G175" s="146">
        <v>65</v>
      </c>
      <c r="H175" s="148">
        <v>61.71559</v>
      </c>
      <c r="I175" s="149">
        <v>48.05752</v>
      </c>
      <c r="J175" s="149">
        <v>7.75643</v>
      </c>
      <c r="K175" s="149">
        <f>9.41676+18.83352</f>
        <v>28.25028</v>
      </c>
      <c r="L175" s="149">
        <v>7.04408</v>
      </c>
      <c r="M175" s="149">
        <v>0</v>
      </c>
      <c r="N175" s="149">
        <v>0</v>
      </c>
      <c r="O175" s="149">
        <v>2.91259</v>
      </c>
      <c r="P175" s="149">
        <v>104.81668</v>
      </c>
      <c r="Q175" s="149">
        <v>9.41676</v>
      </c>
      <c r="R175" s="150" t="s">
        <v>119</v>
      </c>
      <c r="S175" s="151" t="s">
        <v>120</v>
      </c>
      <c r="T175" s="152"/>
      <c r="U175" s="153">
        <v>313</v>
      </c>
      <c r="V175" s="154">
        <f t="shared" si="1"/>
        <v>833.9944594594594</v>
      </c>
      <c r="W175" s="154">
        <f t="shared" si="2"/>
        <v>0.9494706153846154</v>
      </c>
      <c r="X175" s="155"/>
      <c r="Y175" s="146"/>
      <c r="Z175" s="146"/>
      <c r="AA175" s="148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56"/>
      <c r="AL175" s="156"/>
      <c r="AM175" s="156"/>
      <c r="AN175" s="153"/>
      <c r="AO175" s="154" t="e">
        <f t="shared" si="4"/>
        <v>#DIV/0!</v>
      </c>
      <c r="AP175" s="154" t="e">
        <f t="shared" si="5"/>
        <v>#DIV/0!</v>
      </c>
      <c r="AQ175" s="145"/>
      <c r="AR175" s="146"/>
      <c r="AS175" s="146"/>
      <c r="AT175" s="148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56"/>
      <c r="BE175" s="156"/>
      <c r="BF175" s="156"/>
      <c r="BG175" s="153"/>
      <c r="BH175" s="154" t="e">
        <f t="shared" si="43"/>
        <v>#DIV/0!</v>
      </c>
      <c r="BI175" s="154" t="e">
        <f t="shared" si="44"/>
        <v>#DIV/0!</v>
      </c>
      <c r="BJ175" s="415">
        <f t="shared" si="39"/>
        <v>74</v>
      </c>
      <c r="BK175" s="415">
        <f t="shared" si="40"/>
        <v>65</v>
      </c>
      <c r="BL175" s="415">
        <f t="shared" si="41"/>
        <v>65</v>
      </c>
      <c r="BM175" s="415">
        <f t="shared" si="42"/>
        <v>61.71559</v>
      </c>
    </row>
    <row r="176" spans="1:65" s="129" customFormat="1" ht="18.75" outlineLevel="1">
      <c r="A176" s="141" t="s">
        <v>571</v>
      </c>
      <c r="B176" s="142" t="s">
        <v>572</v>
      </c>
      <c r="C176" s="158" t="s">
        <v>573</v>
      </c>
      <c r="D176" s="144">
        <v>0.4</v>
      </c>
      <c r="E176" s="145">
        <v>431</v>
      </c>
      <c r="F176" s="146">
        <v>15</v>
      </c>
      <c r="G176" s="146">
        <v>15</v>
      </c>
      <c r="H176" s="148">
        <v>92.031</v>
      </c>
      <c r="I176" s="149">
        <v>72.954</v>
      </c>
      <c r="J176" s="149">
        <v>45.176</v>
      </c>
      <c r="K176" s="149">
        <v>27.778</v>
      </c>
      <c r="L176" s="149">
        <v>2.297</v>
      </c>
      <c r="M176" s="149">
        <v>0</v>
      </c>
      <c r="N176" s="149">
        <v>0</v>
      </c>
      <c r="O176" s="149">
        <v>4.565</v>
      </c>
      <c r="P176" s="149">
        <v>104.817</v>
      </c>
      <c r="Q176" s="149">
        <v>0</v>
      </c>
      <c r="R176" s="150" t="s">
        <v>119</v>
      </c>
      <c r="S176" s="151" t="s">
        <v>120</v>
      </c>
      <c r="T176" s="152"/>
      <c r="U176" s="153">
        <v>225</v>
      </c>
      <c r="V176" s="154">
        <f t="shared" si="1"/>
        <v>213.5290023201856</v>
      </c>
      <c r="W176" s="154">
        <f t="shared" si="2"/>
        <v>6.135400000000001</v>
      </c>
      <c r="X176" s="155"/>
      <c r="Y176" s="146"/>
      <c r="Z176" s="146"/>
      <c r="AA176" s="148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56"/>
      <c r="AL176" s="156"/>
      <c r="AM176" s="156"/>
      <c r="AN176" s="153"/>
      <c r="AO176" s="154" t="e">
        <f t="shared" si="4"/>
        <v>#DIV/0!</v>
      </c>
      <c r="AP176" s="154" t="e">
        <f t="shared" si="5"/>
        <v>#DIV/0!</v>
      </c>
      <c r="AQ176" s="145"/>
      <c r="AR176" s="146"/>
      <c r="AS176" s="146"/>
      <c r="AT176" s="148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56"/>
      <c r="BE176" s="156"/>
      <c r="BF176" s="156"/>
      <c r="BG176" s="153"/>
      <c r="BH176" s="154" t="e">
        <f t="shared" si="43"/>
        <v>#DIV/0!</v>
      </c>
      <c r="BI176" s="154" t="e">
        <f t="shared" si="44"/>
        <v>#DIV/0!</v>
      </c>
      <c r="BJ176" s="415">
        <f t="shared" si="39"/>
        <v>431</v>
      </c>
      <c r="BK176" s="415">
        <f t="shared" si="40"/>
        <v>15</v>
      </c>
      <c r="BL176" s="415">
        <f t="shared" si="41"/>
        <v>15</v>
      </c>
      <c r="BM176" s="415">
        <f t="shared" si="42"/>
        <v>92.031</v>
      </c>
    </row>
    <row r="177" spans="1:65" s="129" customFormat="1" ht="18.75" outlineLevel="1">
      <c r="A177" s="141" t="s">
        <v>574</v>
      </c>
      <c r="B177" s="142" t="s">
        <v>575</v>
      </c>
      <c r="C177" s="158" t="s">
        <v>576</v>
      </c>
      <c r="D177" s="144">
        <v>0.4</v>
      </c>
      <c r="E177" s="145">
        <v>124</v>
      </c>
      <c r="F177" s="146">
        <v>15</v>
      </c>
      <c r="G177" s="146">
        <v>15</v>
      </c>
      <c r="H177" s="148">
        <v>120.185</v>
      </c>
      <c r="I177" s="149">
        <v>89.86737</v>
      </c>
      <c r="J177" s="149">
        <v>12.99727</v>
      </c>
      <c r="K177" s="149">
        <f>9.08135+54.4881</f>
        <v>63.56945</v>
      </c>
      <c r="L177" s="149">
        <v>15.86831</v>
      </c>
      <c r="M177" s="149">
        <v>0</v>
      </c>
      <c r="N177" s="149">
        <v>0</v>
      </c>
      <c r="O177" s="149">
        <v>6.34264</v>
      </c>
      <c r="P177" s="149">
        <v>104.81669</v>
      </c>
      <c r="Q177" s="149">
        <v>9.08135</v>
      </c>
      <c r="R177" s="150" t="s">
        <v>119</v>
      </c>
      <c r="S177" s="151" t="s">
        <v>120</v>
      </c>
      <c r="T177" s="152"/>
      <c r="U177" s="153">
        <v>325</v>
      </c>
      <c r="V177" s="154">
        <f t="shared" si="1"/>
        <v>969.233870967742</v>
      </c>
      <c r="W177" s="154">
        <f t="shared" si="2"/>
        <v>8.012333333333334</v>
      </c>
      <c r="X177" s="155"/>
      <c r="Y177" s="146"/>
      <c r="Z177" s="146"/>
      <c r="AA177" s="148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56"/>
      <c r="AL177" s="156"/>
      <c r="AM177" s="156"/>
      <c r="AN177" s="153"/>
      <c r="AO177" s="154" t="e">
        <f t="shared" si="4"/>
        <v>#DIV/0!</v>
      </c>
      <c r="AP177" s="154" t="e">
        <f t="shared" si="5"/>
        <v>#DIV/0!</v>
      </c>
      <c r="AQ177" s="145"/>
      <c r="AR177" s="146"/>
      <c r="AS177" s="146"/>
      <c r="AT177" s="148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56"/>
      <c r="BE177" s="156"/>
      <c r="BF177" s="156"/>
      <c r="BG177" s="153"/>
      <c r="BH177" s="154" t="e">
        <f t="shared" si="43"/>
        <v>#DIV/0!</v>
      </c>
      <c r="BI177" s="154" t="e">
        <f t="shared" si="44"/>
        <v>#DIV/0!</v>
      </c>
      <c r="BJ177" s="415">
        <f t="shared" si="39"/>
        <v>124</v>
      </c>
      <c r="BK177" s="415">
        <f t="shared" si="40"/>
        <v>15</v>
      </c>
      <c r="BL177" s="415">
        <f t="shared" si="41"/>
        <v>15</v>
      </c>
      <c r="BM177" s="415">
        <f t="shared" si="42"/>
        <v>120.185</v>
      </c>
    </row>
    <row r="178" spans="1:65" s="129" customFormat="1" ht="18.75" outlineLevel="1">
      <c r="A178" s="141" t="s">
        <v>577</v>
      </c>
      <c r="B178" s="142" t="s">
        <v>578</v>
      </c>
      <c r="C178" s="158" t="s">
        <v>579</v>
      </c>
      <c r="D178" s="144">
        <v>0.4</v>
      </c>
      <c r="E178" s="145">
        <v>28</v>
      </c>
      <c r="F178" s="146">
        <v>15</v>
      </c>
      <c r="G178" s="146">
        <v>15</v>
      </c>
      <c r="H178" s="148">
        <v>175.48421</v>
      </c>
      <c r="I178" s="149">
        <v>131.54622</v>
      </c>
      <c r="J178" s="149">
        <v>29.34867</v>
      </c>
      <c r="K178" s="149">
        <f>27.22992+54.45984</f>
        <v>81.68976</v>
      </c>
      <c r="L178" s="149">
        <v>22.70705</v>
      </c>
      <c r="M178" s="149">
        <v>0</v>
      </c>
      <c r="N178" s="149">
        <v>0</v>
      </c>
      <c r="O178" s="149">
        <v>9.3775</v>
      </c>
      <c r="P178" s="149">
        <v>104.81668</v>
      </c>
      <c r="Q178" s="149">
        <v>9.07664</v>
      </c>
      <c r="R178" s="150" t="s">
        <v>119</v>
      </c>
      <c r="S178" s="151" t="s">
        <v>120</v>
      </c>
      <c r="T178" s="152"/>
      <c r="U178" s="153">
        <v>329</v>
      </c>
      <c r="V178" s="154">
        <f t="shared" si="1"/>
        <v>6267.293214285714</v>
      </c>
      <c r="W178" s="154">
        <f t="shared" si="2"/>
        <v>11.698947333333333</v>
      </c>
      <c r="X178" s="155"/>
      <c r="Y178" s="146"/>
      <c r="Z178" s="146"/>
      <c r="AA178" s="148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56"/>
      <c r="AL178" s="156"/>
      <c r="AM178" s="156"/>
      <c r="AN178" s="153"/>
      <c r="AO178" s="154" t="e">
        <f t="shared" si="4"/>
        <v>#DIV/0!</v>
      </c>
      <c r="AP178" s="154" t="e">
        <f t="shared" si="5"/>
        <v>#DIV/0!</v>
      </c>
      <c r="AQ178" s="145"/>
      <c r="AR178" s="146"/>
      <c r="AS178" s="146"/>
      <c r="AT178" s="148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56"/>
      <c r="BE178" s="156"/>
      <c r="BF178" s="156"/>
      <c r="BG178" s="153"/>
      <c r="BH178" s="154" t="e">
        <f t="shared" si="43"/>
        <v>#DIV/0!</v>
      </c>
      <c r="BI178" s="154" t="e">
        <f t="shared" si="44"/>
        <v>#DIV/0!</v>
      </c>
      <c r="BJ178" s="415">
        <f t="shared" si="39"/>
        <v>28</v>
      </c>
      <c r="BK178" s="415">
        <f t="shared" si="40"/>
        <v>15</v>
      </c>
      <c r="BL178" s="415">
        <f t="shared" si="41"/>
        <v>15</v>
      </c>
      <c r="BM178" s="415">
        <f t="shared" si="42"/>
        <v>175.48421</v>
      </c>
    </row>
    <row r="179" spans="1:65" s="129" customFormat="1" ht="18.75" outlineLevel="1">
      <c r="A179" s="141" t="s">
        <v>580</v>
      </c>
      <c r="B179" s="142" t="s">
        <v>385</v>
      </c>
      <c r="C179" s="180" t="s">
        <v>386</v>
      </c>
      <c r="D179" s="144">
        <v>0.4</v>
      </c>
      <c r="E179" s="145">
        <v>180</v>
      </c>
      <c r="F179" s="146">
        <v>15</v>
      </c>
      <c r="G179" s="146">
        <v>15</v>
      </c>
      <c r="H179" s="148">
        <v>138.139</v>
      </c>
      <c r="I179" s="149">
        <v>102.439</v>
      </c>
      <c r="J179" s="149">
        <v>18.867</v>
      </c>
      <c r="K179" s="149">
        <v>72.614</v>
      </c>
      <c r="L179" s="149">
        <v>18.456</v>
      </c>
      <c r="M179" s="149">
        <v>0</v>
      </c>
      <c r="N179" s="149">
        <v>0</v>
      </c>
      <c r="O179" s="149">
        <v>7.563</v>
      </c>
      <c r="P179" s="149">
        <v>104.81667</v>
      </c>
      <c r="Q179" s="149">
        <v>9.07664</v>
      </c>
      <c r="R179" s="150" t="s">
        <v>119</v>
      </c>
      <c r="S179" s="151" t="s">
        <v>120</v>
      </c>
      <c r="T179" s="152"/>
      <c r="U179" s="153">
        <v>85</v>
      </c>
      <c r="V179" s="154">
        <f t="shared" si="1"/>
        <v>767.4388888888889</v>
      </c>
      <c r="W179" s="154">
        <f t="shared" si="2"/>
        <v>9.209266666666668</v>
      </c>
      <c r="X179" s="155"/>
      <c r="Y179" s="146"/>
      <c r="Z179" s="146"/>
      <c r="AA179" s="148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56"/>
      <c r="AL179" s="156"/>
      <c r="AM179" s="156"/>
      <c r="AN179" s="153"/>
      <c r="AO179" s="154" t="e">
        <f t="shared" si="4"/>
        <v>#DIV/0!</v>
      </c>
      <c r="AP179" s="154" t="e">
        <f t="shared" si="5"/>
        <v>#DIV/0!</v>
      </c>
      <c r="AQ179" s="145"/>
      <c r="AR179" s="146"/>
      <c r="AS179" s="146"/>
      <c r="AT179" s="148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56"/>
      <c r="BE179" s="156"/>
      <c r="BF179" s="156"/>
      <c r="BG179" s="153"/>
      <c r="BH179" s="154" t="e">
        <f t="shared" si="43"/>
        <v>#DIV/0!</v>
      </c>
      <c r="BI179" s="154" t="e">
        <f t="shared" si="44"/>
        <v>#DIV/0!</v>
      </c>
      <c r="BJ179" s="415">
        <f t="shared" si="39"/>
        <v>180</v>
      </c>
      <c r="BK179" s="415">
        <f t="shared" si="40"/>
        <v>15</v>
      </c>
      <c r="BL179" s="415">
        <f t="shared" si="41"/>
        <v>15</v>
      </c>
      <c r="BM179" s="415">
        <f t="shared" si="42"/>
        <v>138.139</v>
      </c>
    </row>
    <row r="180" spans="1:65" s="129" customFormat="1" ht="18.75" outlineLevel="1">
      <c r="A180" s="141" t="s">
        <v>581</v>
      </c>
      <c r="B180" s="196" t="s">
        <v>341</v>
      </c>
      <c r="C180" s="80" t="s">
        <v>342</v>
      </c>
      <c r="D180" s="144">
        <v>0.4</v>
      </c>
      <c r="E180" s="161"/>
      <c r="F180" s="161"/>
      <c r="G180" s="161"/>
      <c r="H180" s="162"/>
      <c r="I180" s="149"/>
      <c r="J180" s="149"/>
      <c r="K180" s="149"/>
      <c r="L180" s="149"/>
      <c r="M180" s="149"/>
      <c r="N180" s="149"/>
      <c r="O180" s="149"/>
      <c r="P180" s="149"/>
      <c r="Q180" s="149"/>
      <c r="R180" s="156"/>
      <c r="S180" s="156"/>
      <c r="T180" s="152"/>
      <c r="U180" s="153"/>
      <c r="V180" s="154" t="e">
        <f t="shared" si="1"/>
        <v>#DIV/0!</v>
      </c>
      <c r="W180" s="154" t="e">
        <f t="shared" si="2"/>
        <v>#DIV/0!</v>
      </c>
      <c r="X180" s="163">
        <v>80</v>
      </c>
      <c r="Y180" s="161">
        <v>112</v>
      </c>
      <c r="Z180" s="161">
        <v>112</v>
      </c>
      <c r="AA180" s="162">
        <v>97.7</v>
      </c>
      <c r="AB180" s="149">
        <v>78.16</v>
      </c>
      <c r="AC180" s="149">
        <v>8.3856</v>
      </c>
      <c r="AD180" s="149">
        <v>0</v>
      </c>
      <c r="AE180" s="149">
        <v>0</v>
      </c>
      <c r="AF180" s="149">
        <v>0</v>
      </c>
      <c r="AG180" s="149">
        <v>0</v>
      </c>
      <c r="AH180" s="149">
        <v>1.85</v>
      </c>
      <c r="AI180" s="149">
        <v>104.82</v>
      </c>
      <c r="AJ180" s="149">
        <v>8.90738</v>
      </c>
      <c r="AK180" s="150" t="s">
        <v>119</v>
      </c>
      <c r="AL180" s="151" t="s">
        <v>120</v>
      </c>
      <c r="AM180" s="156"/>
      <c r="AN180" s="153">
        <v>194</v>
      </c>
      <c r="AO180" s="154">
        <f t="shared" si="4"/>
        <v>1221.25</v>
      </c>
      <c r="AP180" s="154">
        <f t="shared" si="5"/>
        <v>0.8723214285714286</v>
      </c>
      <c r="AQ180" s="161"/>
      <c r="AR180" s="161"/>
      <c r="AS180" s="161"/>
      <c r="AT180" s="162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56"/>
      <c r="BE180" s="156"/>
      <c r="BF180" s="156"/>
      <c r="BG180" s="153"/>
      <c r="BH180" s="154" t="e">
        <f t="shared" si="43"/>
        <v>#DIV/0!</v>
      </c>
      <c r="BI180" s="154" t="e">
        <f t="shared" si="44"/>
        <v>#DIV/0!</v>
      </c>
      <c r="BJ180" s="415">
        <f t="shared" si="39"/>
        <v>80</v>
      </c>
      <c r="BK180" s="415">
        <f t="shared" si="40"/>
        <v>112</v>
      </c>
      <c r="BL180" s="415">
        <f t="shared" si="41"/>
        <v>112</v>
      </c>
      <c r="BM180" s="415">
        <f t="shared" si="42"/>
        <v>97.7</v>
      </c>
    </row>
    <row r="181" spans="1:65" s="129" customFormat="1" ht="18.75" outlineLevel="1">
      <c r="A181" s="141" t="s">
        <v>582</v>
      </c>
      <c r="B181" s="173" t="s">
        <v>583</v>
      </c>
      <c r="C181" s="158" t="s">
        <v>584</v>
      </c>
      <c r="D181" s="144">
        <v>0.4</v>
      </c>
      <c r="E181" s="145"/>
      <c r="F181" s="146"/>
      <c r="G181" s="146"/>
      <c r="H181" s="162"/>
      <c r="I181" s="149"/>
      <c r="J181" s="149"/>
      <c r="K181" s="149"/>
      <c r="L181" s="149"/>
      <c r="M181" s="149"/>
      <c r="N181" s="149"/>
      <c r="O181" s="149"/>
      <c r="P181" s="149"/>
      <c r="Q181" s="149"/>
      <c r="R181" s="156"/>
      <c r="S181" s="156"/>
      <c r="T181" s="152"/>
      <c r="U181" s="153"/>
      <c r="V181" s="154" t="e">
        <f t="shared" si="1"/>
        <v>#DIV/0!</v>
      </c>
      <c r="W181" s="154" t="e">
        <f t="shared" si="2"/>
        <v>#DIV/0!</v>
      </c>
      <c r="X181" s="155">
        <v>62</v>
      </c>
      <c r="Y181" s="146">
        <v>15</v>
      </c>
      <c r="Z181" s="146">
        <v>15</v>
      </c>
      <c r="AA181" s="162">
        <v>53.00294</v>
      </c>
      <c r="AB181" s="149">
        <v>39.74904</v>
      </c>
      <c r="AC181" s="149">
        <v>7.34142</v>
      </c>
      <c r="AD181" s="149">
        <f>8.7039+17.4078</f>
        <v>26.111700000000003</v>
      </c>
      <c r="AE181" s="149">
        <v>6.87273</v>
      </c>
      <c r="AF181" s="149">
        <v>0</v>
      </c>
      <c r="AG181" s="149">
        <v>0</v>
      </c>
      <c r="AH181" s="149">
        <v>2.80912</v>
      </c>
      <c r="AI181" s="149">
        <v>118.41</v>
      </c>
      <c r="AJ181" s="149">
        <v>8.7039</v>
      </c>
      <c r="AK181" s="150" t="s">
        <v>119</v>
      </c>
      <c r="AL181" s="151" t="s">
        <v>120</v>
      </c>
      <c r="AM181" s="156"/>
      <c r="AN181" s="153">
        <v>16</v>
      </c>
      <c r="AO181" s="154">
        <f t="shared" si="4"/>
        <v>854.8861290322582</v>
      </c>
      <c r="AP181" s="154">
        <f t="shared" si="5"/>
        <v>3.5335293333333335</v>
      </c>
      <c r="AQ181" s="145"/>
      <c r="AR181" s="146"/>
      <c r="AS181" s="146"/>
      <c r="AT181" s="162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56"/>
      <c r="BE181" s="156"/>
      <c r="BF181" s="156"/>
      <c r="BG181" s="153"/>
      <c r="BH181" s="154" t="e">
        <f t="shared" si="43"/>
        <v>#DIV/0!</v>
      </c>
      <c r="BI181" s="154" t="e">
        <f t="shared" si="44"/>
        <v>#DIV/0!</v>
      </c>
      <c r="BJ181" s="415">
        <f t="shared" si="39"/>
        <v>62</v>
      </c>
      <c r="BK181" s="415">
        <f t="shared" si="40"/>
        <v>15</v>
      </c>
      <c r="BL181" s="415">
        <f t="shared" si="41"/>
        <v>15</v>
      </c>
      <c r="BM181" s="415">
        <f t="shared" si="42"/>
        <v>53.00294</v>
      </c>
    </row>
    <row r="182" spans="1:65" s="129" customFormat="1" ht="18.75" outlineLevel="1">
      <c r="A182" s="141" t="s">
        <v>585</v>
      </c>
      <c r="B182" s="173" t="s">
        <v>586</v>
      </c>
      <c r="C182" s="158" t="s">
        <v>587</v>
      </c>
      <c r="D182" s="144">
        <v>0.4</v>
      </c>
      <c r="E182" s="145"/>
      <c r="F182" s="146"/>
      <c r="G182" s="146"/>
      <c r="H182" s="162"/>
      <c r="I182" s="149"/>
      <c r="J182" s="149"/>
      <c r="K182" s="149"/>
      <c r="L182" s="149"/>
      <c r="M182" s="149"/>
      <c r="N182" s="149"/>
      <c r="O182" s="149"/>
      <c r="P182" s="149"/>
      <c r="Q182" s="149"/>
      <c r="R182" s="156"/>
      <c r="S182" s="156"/>
      <c r="T182" s="152"/>
      <c r="U182" s="153"/>
      <c r="V182" s="154" t="e">
        <f t="shared" si="1"/>
        <v>#DIV/0!</v>
      </c>
      <c r="W182" s="154" t="e">
        <f t="shared" si="2"/>
        <v>#DIV/0!</v>
      </c>
      <c r="X182" s="155">
        <v>65</v>
      </c>
      <c r="Y182" s="146">
        <v>15</v>
      </c>
      <c r="Z182" s="146">
        <v>15</v>
      </c>
      <c r="AA182" s="162">
        <v>82.56536</v>
      </c>
      <c r="AB182" s="149">
        <v>62.03117</v>
      </c>
      <c r="AC182" s="149">
        <v>7.69665</v>
      </c>
      <c r="AD182" s="149">
        <f>8.7039+34.8156</f>
        <v>43.51950000000001</v>
      </c>
      <c r="AE182" s="149">
        <v>10.74241</v>
      </c>
      <c r="AF182" s="149">
        <v>0</v>
      </c>
      <c r="AG182" s="149">
        <v>0</v>
      </c>
      <c r="AH182" s="149">
        <v>4.29118</v>
      </c>
      <c r="AI182" s="149">
        <v>118.41</v>
      </c>
      <c r="AJ182" s="149">
        <v>8.7039</v>
      </c>
      <c r="AK182" s="150" t="s">
        <v>119</v>
      </c>
      <c r="AL182" s="151" t="s">
        <v>120</v>
      </c>
      <c r="AM182" s="156"/>
      <c r="AN182" s="153">
        <v>174</v>
      </c>
      <c r="AO182" s="154">
        <f t="shared" si="4"/>
        <v>1270.2363076923077</v>
      </c>
      <c r="AP182" s="154">
        <f t="shared" si="5"/>
        <v>5.504357333333333</v>
      </c>
      <c r="AQ182" s="145"/>
      <c r="AR182" s="146"/>
      <c r="AS182" s="146"/>
      <c r="AT182" s="162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56"/>
      <c r="BE182" s="156"/>
      <c r="BF182" s="156"/>
      <c r="BG182" s="153"/>
      <c r="BH182" s="154" t="e">
        <f t="shared" si="43"/>
        <v>#DIV/0!</v>
      </c>
      <c r="BI182" s="154" t="e">
        <f t="shared" si="44"/>
        <v>#DIV/0!</v>
      </c>
      <c r="BJ182" s="415">
        <f t="shared" si="39"/>
        <v>65</v>
      </c>
      <c r="BK182" s="415">
        <f t="shared" si="40"/>
        <v>15</v>
      </c>
      <c r="BL182" s="415">
        <f t="shared" si="41"/>
        <v>15</v>
      </c>
      <c r="BM182" s="415">
        <f t="shared" si="42"/>
        <v>82.56536</v>
      </c>
    </row>
    <row r="183" spans="1:65" s="129" customFormat="1" ht="18.75" outlineLevel="1">
      <c r="A183" s="141" t="s">
        <v>588</v>
      </c>
      <c r="B183" s="173" t="s">
        <v>589</v>
      </c>
      <c r="C183" s="158" t="s">
        <v>590</v>
      </c>
      <c r="D183" s="144">
        <v>0.4</v>
      </c>
      <c r="E183" s="161"/>
      <c r="F183" s="161"/>
      <c r="G183" s="161"/>
      <c r="H183" s="162"/>
      <c r="I183" s="149"/>
      <c r="J183" s="149"/>
      <c r="K183" s="149"/>
      <c r="L183" s="149"/>
      <c r="M183" s="149"/>
      <c r="N183" s="149"/>
      <c r="O183" s="149"/>
      <c r="P183" s="149"/>
      <c r="Q183" s="149"/>
      <c r="R183" s="156"/>
      <c r="S183" s="156"/>
      <c r="T183" s="152"/>
      <c r="U183" s="153"/>
      <c r="V183" s="154" t="e">
        <f t="shared" si="1"/>
        <v>#DIV/0!</v>
      </c>
      <c r="W183" s="154" t="e">
        <f t="shared" si="2"/>
        <v>#DIV/0!</v>
      </c>
      <c r="X183" s="163">
        <v>80</v>
      </c>
      <c r="Y183" s="161">
        <v>15</v>
      </c>
      <c r="Z183" s="161">
        <v>15</v>
      </c>
      <c r="AA183" s="162">
        <v>58.68055</v>
      </c>
      <c r="AB183" s="149">
        <v>43.2326</v>
      </c>
      <c r="AC183" s="149">
        <v>9.4</v>
      </c>
      <c r="AD183" s="149">
        <f>9.95424+19.90848</f>
        <v>29.862720000000003</v>
      </c>
      <c r="AE183" s="149">
        <v>7.55953</v>
      </c>
      <c r="AF183" s="149">
        <v>0</v>
      </c>
      <c r="AG183" s="149">
        <v>0</v>
      </c>
      <c r="AH183" s="149">
        <v>3.45469</v>
      </c>
      <c r="AI183" s="149">
        <v>117.5</v>
      </c>
      <c r="AJ183" s="149">
        <v>9.95424</v>
      </c>
      <c r="AK183" s="150" t="s">
        <v>119</v>
      </c>
      <c r="AL183" s="151" t="s">
        <v>120</v>
      </c>
      <c r="AM183" s="156"/>
      <c r="AN183" s="153">
        <v>201</v>
      </c>
      <c r="AO183" s="154">
        <f t="shared" si="4"/>
        <v>733.506875</v>
      </c>
      <c r="AP183" s="154">
        <f t="shared" si="5"/>
        <v>3.9120366666666664</v>
      </c>
      <c r="AQ183" s="161"/>
      <c r="AR183" s="161"/>
      <c r="AS183" s="161"/>
      <c r="AT183" s="162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56"/>
      <c r="BE183" s="156"/>
      <c r="BF183" s="156"/>
      <c r="BG183" s="153"/>
      <c r="BH183" s="154" t="e">
        <f t="shared" si="43"/>
        <v>#DIV/0!</v>
      </c>
      <c r="BI183" s="154" t="e">
        <f t="shared" si="44"/>
        <v>#DIV/0!</v>
      </c>
      <c r="BJ183" s="415">
        <f t="shared" si="39"/>
        <v>80</v>
      </c>
      <c r="BK183" s="415">
        <f t="shared" si="40"/>
        <v>15</v>
      </c>
      <c r="BL183" s="415">
        <f t="shared" si="41"/>
        <v>15</v>
      </c>
      <c r="BM183" s="415">
        <f t="shared" si="42"/>
        <v>58.68055</v>
      </c>
    </row>
    <row r="184" spans="1:65" s="129" customFormat="1" ht="18.75" outlineLevel="1">
      <c r="A184" s="141" t="s">
        <v>591</v>
      </c>
      <c r="B184" s="173" t="s">
        <v>592</v>
      </c>
      <c r="C184" s="158" t="s">
        <v>593</v>
      </c>
      <c r="D184" s="144">
        <v>0.4</v>
      </c>
      <c r="E184" s="161"/>
      <c r="F184" s="161"/>
      <c r="G184" s="161"/>
      <c r="H184" s="162"/>
      <c r="I184" s="149"/>
      <c r="J184" s="149"/>
      <c r="K184" s="149"/>
      <c r="L184" s="149"/>
      <c r="M184" s="149"/>
      <c r="N184" s="149"/>
      <c r="O184" s="149"/>
      <c r="P184" s="149"/>
      <c r="Q184" s="149"/>
      <c r="R184" s="156"/>
      <c r="S184" s="156"/>
      <c r="T184" s="152"/>
      <c r="U184" s="153"/>
      <c r="V184" s="154" t="e">
        <f t="shared" si="1"/>
        <v>#DIV/0!</v>
      </c>
      <c r="W184" s="154" t="e">
        <f t="shared" si="2"/>
        <v>#DIV/0!</v>
      </c>
      <c r="X184" s="163">
        <v>120</v>
      </c>
      <c r="Y184" s="161">
        <v>60</v>
      </c>
      <c r="Z184" s="161">
        <v>60</v>
      </c>
      <c r="AA184" s="162">
        <v>111.0259</v>
      </c>
      <c r="AB184" s="149">
        <v>81.39705</v>
      </c>
      <c r="AC184" s="149">
        <v>14.1</v>
      </c>
      <c r="AD184" s="149">
        <v>55.99974</v>
      </c>
      <c r="AE184" s="149">
        <v>14.81405</v>
      </c>
      <c r="AF184" s="149">
        <v>0</v>
      </c>
      <c r="AG184" s="149">
        <v>0</v>
      </c>
      <c r="AH184" s="149">
        <v>6.47508</v>
      </c>
      <c r="AI184" s="149">
        <v>117.5</v>
      </c>
      <c r="AJ184" s="149">
        <v>9.33329</v>
      </c>
      <c r="AK184" s="150" t="s">
        <v>119</v>
      </c>
      <c r="AL184" s="151" t="s">
        <v>120</v>
      </c>
      <c r="AM184" s="156"/>
      <c r="AN184" s="153">
        <v>244</v>
      </c>
      <c r="AO184" s="154">
        <f t="shared" si="4"/>
        <v>925.2158333333332</v>
      </c>
      <c r="AP184" s="154">
        <f t="shared" si="5"/>
        <v>1.8504316666666665</v>
      </c>
      <c r="AQ184" s="161"/>
      <c r="AR184" s="161"/>
      <c r="AS184" s="161"/>
      <c r="AT184" s="162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56"/>
      <c r="BE184" s="156"/>
      <c r="BF184" s="156"/>
      <c r="BG184" s="153"/>
      <c r="BH184" s="154" t="e">
        <f t="shared" si="43"/>
        <v>#DIV/0!</v>
      </c>
      <c r="BI184" s="154" t="e">
        <f t="shared" si="44"/>
        <v>#DIV/0!</v>
      </c>
      <c r="BJ184" s="415">
        <f t="shared" si="39"/>
        <v>120</v>
      </c>
      <c r="BK184" s="415">
        <f t="shared" si="40"/>
        <v>60</v>
      </c>
      <c r="BL184" s="415">
        <f t="shared" si="41"/>
        <v>60</v>
      </c>
      <c r="BM184" s="415">
        <f t="shared" si="42"/>
        <v>111.0259</v>
      </c>
    </row>
    <row r="185" spans="1:65" s="129" customFormat="1" ht="18.75" outlineLevel="1">
      <c r="A185" s="141" t="s">
        <v>594</v>
      </c>
      <c r="B185" s="173" t="s">
        <v>595</v>
      </c>
      <c r="C185" s="158" t="s">
        <v>596</v>
      </c>
      <c r="D185" s="144">
        <v>0.4</v>
      </c>
      <c r="E185" s="161"/>
      <c r="F185" s="161"/>
      <c r="G185" s="161"/>
      <c r="H185" s="162"/>
      <c r="I185" s="149"/>
      <c r="J185" s="149"/>
      <c r="K185" s="149"/>
      <c r="L185" s="149"/>
      <c r="M185" s="149"/>
      <c r="N185" s="149"/>
      <c r="O185" s="149"/>
      <c r="P185" s="149"/>
      <c r="Q185" s="149"/>
      <c r="R185" s="156"/>
      <c r="S185" s="156"/>
      <c r="T185" s="152"/>
      <c r="U185" s="153"/>
      <c r="V185" s="154" t="e">
        <f t="shared" si="1"/>
        <v>#DIV/0!</v>
      </c>
      <c r="W185" s="154" t="e">
        <f t="shared" si="2"/>
        <v>#DIV/0!</v>
      </c>
      <c r="X185" s="163">
        <v>320</v>
      </c>
      <c r="Y185" s="161">
        <v>60</v>
      </c>
      <c r="Z185" s="161">
        <v>60</v>
      </c>
      <c r="AA185" s="162">
        <v>99.46156</v>
      </c>
      <c r="AB185" s="149">
        <v>76.2377</v>
      </c>
      <c r="AC185" s="149">
        <v>37.6</v>
      </c>
      <c r="AD185" s="149">
        <v>18.66656</v>
      </c>
      <c r="AE185" s="149">
        <v>11.00705</v>
      </c>
      <c r="AF185" s="149">
        <v>0</v>
      </c>
      <c r="AG185" s="149">
        <v>0</v>
      </c>
      <c r="AH185" s="149">
        <v>5.51155</v>
      </c>
      <c r="AI185" s="149">
        <v>117.5</v>
      </c>
      <c r="AJ185" s="149">
        <v>9.33328</v>
      </c>
      <c r="AK185" s="150" t="s">
        <v>119</v>
      </c>
      <c r="AL185" s="151" t="s">
        <v>120</v>
      </c>
      <c r="AM185" s="156"/>
      <c r="AN185" s="153">
        <v>252</v>
      </c>
      <c r="AO185" s="154">
        <f t="shared" si="4"/>
        <v>310.817375</v>
      </c>
      <c r="AP185" s="154">
        <f t="shared" si="5"/>
        <v>1.6576926666666667</v>
      </c>
      <c r="AQ185" s="161"/>
      <c r="AR185" s="161"/>
      <c r="AS185" s="161"/>
      <c r="AT185" s="162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56"/>
      <c r="BE185" s="156"/>
      <c r="BF185" s="156"/>
      <c r="BG185" s="153"/>
      <c r="BH185" s="154" t="e">
        <f t="shared" si="43"/>
        <v>#DIV/0!</v>
      </c>
      <c r="BI185" s="154" t="e">
        <f t="shared" si="44"/>
        <v>#DIV/0!</v>
      </c>
      <c r="BJ185" s="415">
        <f t="shared" si="39"/>
        <v>320</v>
      </c>
      <c r="BK185" s="415">
        <f t="shared" si="40"/>
        <v>60</v>
      </c>
      <c r="BL185" s="415">
        <f t="shared" si="41"/>
        <v>60</v>
      </c>
      <c r="BM185" s="415">
        <f t="shared" si="42"/>
        <v>99.46156</v>
      </c>
    </row>
    <row r="186" spans="1:65" s="129" customFormat="1" ht="18.75" outlineLevel="1">
      <c r="A186" s="141" t="s">
        <v>597</v>
      </c>
      <c r="B186" s="173" t="s">
        <v>598</v>
      </c>
      <c r="C186" s="158" t="s">
        <v>599</v>
      </c>
      <c r="D186" s="144">
        <v>0.4</v>
      </c>
      <c r="E186" s="161"/>
      <c r="F186" s="161"/>
      <c r="G186" s="161"/>
      <c r="H186" s="162"/>
      <c r="I186" s="149"/>
      <c r="J186" s="149"/>
      <c r="K186" s="149"/>
      <c r="L186" s="149"/>
      <c r="M186" s="149"/>
      <c r="N186" s="149"/>
      <c r="O186" s="149"/>
      <c r="P186" s="149"/>
      <c r="Q186" s="149"/>
      <c r="R186" s="156"/>
      <c r="S186" s="156"/>
      <c r="T186" s="152"/>
      <c r="U186" s="153"/>
      <c r="V186" s="154" t="e">
        <f t="shared" si="1"/>
        <v>#DIV/0!</v>
      </c>
      <c r="W186" s="154" t="e">
        <f t="shared" si="2"/>
        <v>#DIV/0!</v>
      </c>
      <c r="X186" s="163">
        <v>340</v>
      </c>
      <c r="Y186" s="161">
        <v>15</v>
      </c>
      <c r="Z186" s="161">
        <v>15</v>
      </c>
      <c r="AA186" s="162">
        <v>273.06986</v>
      </c>
      <c r="AB186" s="149">
        <v>198.1822</v>
      </c>
      <c r="AC186" s="149">
        <v>39.95</v>
      </c>
      <c r="AD186" s="149">
        <f>46.6664+93.3329</f>
        <v>139.9993</v>
      </c>
      <c r="AE186" s="149">
        <v>37.02447</v>
      </c>
      <c r="AF186" s="149">
        <v>0</v>
      </c>
      <c r="AG186" s="149">
        <v>0</v>
      </c>
      <c r="AH186" s="149">
        <v>16.54375</v>
      </c>
      <c r="AI186" s="149">
        <v>117.5</v>
      </c>
      <c r="AJ186" s="149">
        <v>9.33329</v>
      </c>
      <c r="AK186" s="150" t="s">
        <v>119</v>
      </c>
      <c r="AL186" s="151" t="s">
        <v>120</v>
      </c>
      <c r="AM186" s="156"/>
      <c r="AN186" s="153">
        <v>271</v>
      </c>
      <c r="AO186" s="154">
        <f t="shared" si="4"/>
        <v>803.1466470588235</v>
      </c>
      <c r="AP186" s="154">
        <f t="shared" si="5"/>
        <v>18.204657333333333</v>
      </c>
      <c r="AQ186" s="161"/>
      <c r="AR186" s="161"/>
      <c r="AS186" s="161"/>
      <c r="AT186" s="162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56"/>
      <c r="BE186" s="156"/>
      <c r="BF186" s="156"/>
      <c r="BG186" s="153"/>
      <c r="BH186" s="154" t="e">
        <f t="shared" si="43"/>
        <v>#DIV/0!</v>
      </c>
      <c r="BI186" s="154" t="e">
        <f t="shared" si="44"/>
        <v>#DIV/0!</v>
      </c>
      <c r="BJ186" s="415">
        <f t="shared" si="39"/>
        <v>340</v>
      </c>
      <c r="BK186" s="415">
        <f t="shared" si="40"/>
        <v>15</v>
      </c>
      <c r="BL186" s="415">
        <f t="shared" si="41"/>
        <v>15</v>
      </c>
      <c r="BM186" s="415">
        <f t="shared" si="42"/>
        <v>273.06986</v>
      </c>
    </row>
    <row r="187" spans="1:65" s="129" customFormat="1" ht="18.75" outlineLevel="1">
      <c r="A187" s="141" t="s">
        <v>600</v>
      </c>
      <c r="B187" s="173" t="s">
        <v>499</v>
      </c>
      <c r="C187" s="158" t="s">
        <v>500</v>
      </c>
      <c r="D187" s="144">
        <v>0.4</v>
      </c>
      <c r="E187" s="161"/>
      <c r="F187" s="161"/>
      <c r="G187" s="161"/>
      <c r="H187" s="188"/>
      <c r="I187" s="186"/>
      <c r="J187" s="186"/>
      <c r="K187" s="186"/>
      <c r="L187" s="186"/>
      <c r="M187" s="186"/>
      <c r="N187" s="186"/>
      <c r="O187" s="186"/>
      <c r="P187" s="186"/>
      <c r="Q187" s="186"/>
      <c r="R187" s="156"/>
      <c r="S187" s="156"/>
      <c r="T187" s="152"/>
      <c r="U187" s="153"/>
      <c r="V187" s="154" t="e">
        <f t="shared" si="1"/>
        <v>#DIV/0!</v>
      </c>
      <c r="W187" s="154" t="e">
        <f t="shared" si="2"/>
        <v>#DIV/0!</v>
      </c>
      <c r="X187" s="163">
        <v>137</v>
      </c>
      <c r="Y187" s="161">
        <v>15</v>
      </c>
      <c r="Z187" s="197">
        <v>15</v>
      </c>
      <c r="AA187" s="189">
        <v>29.06</v>
      </c>
      <c r="AB187" s="172">
        <v>22.346</v>
      </c>
      <c r="AC187" s="172">
        <v>16.09887</v>
      </c>
      <c r="AD187" s="172">
        <v>6.247</v>
      </c>
      <c r="AE187" s="172">
        <v>3.108</v>
      </c>
      <c r="AF187" s="172">
        <v>0</v>
      </c>
      <c r="AG187" s="172">
        <v>0</v>
      </c>
      <c r="AH187" s="172">
        <v>1.666</v>
      </c>
      <c r="AI187" s="172">
        <v>117.51</v>
      </c>
      <c r="AJ187" s="172">
        <v>9.72873</v>
      </c>
      <c r="AK187" s="150" t="s">
        <v>119</v>
      </c>
      <c r="AL187" s="151" t="s">
        <v>120</v>
      </c>
      <c r="AM187" s="156"/>
      <c r="AN187" s="153">
        <v>103</v>
      </c>
      <c r="AO187" s="154">
        <f t="shared" si="4"/>
        <v>212.11678832116786</v>
      </c>
      <c r="AP187" s="154">
        <f t="shared" si="5"/>
        <v>1.9373333333333334</v>
      </c>
      <c r="AQ187" s="161"/>
      <c r="AR187" s="161"/>
      <c r="AS187" s="161"/>
      <c r="AT187" s="188"/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56"/>
      <c r="BE187" s="156"/>
      <c r="BF187" s="156"/>
      <c r="BG187" s="153"/>
      <c r="BH187" s="154" t="e">
        <f t="shared" si="43"/>
        <v>#DIV/0!</v>
      </c>
      <c r="BI187" s="154" t="e">
        <f t="shared" si="44"/>
        <v>#DIV/0!</v>
      </c>
      <c r="BJ187" s="415">
        <f t="shared" si="39"/>
        <v>137</v>
      </c>
      <c r="BK187" s="415">
        <f t="shared" si="40"/>
        <v>15</v>
      </c>
      <c r="BL187" s="415">
        <f t="shared" si="41"/>
        <v>15</v>
      </c>
      <c r="BM187" s="415">
        <f t="shared" si="42"/>
        <v>29.06</v>
      </c>
    </row>
    <row r="188" spans="1:65" s="129" customFormat="1" ht="18.75" outlineLevel="1">
      <c r="A188" s="141" t="s">
        <v>601</v>
      </c>
      <c r="B188" s="177" t="s">
        <v>430</v>
      </c>
      <c r="C188" s="180" t="s">
        <v>431</v>
      </c>
      <c r="D188" s="144">
        <v>0.4</v>
      </c>
      <c r="E188" s="145"/>
      <c r="F188" s="146"/>
      <c r="G188" s="165"/>
      <c r="H188" s="166"/>
      <c r="I188" s="149"/>
      <c r="J188" s="149"/>
      <c r="K188" s="149"/>
      <c r="L188" s="149"/>
      <c r="M188" s="149"/>
      <c r="N188" s="149"/>
      <c r="O188" s="149"/>
      <c r="P188" s="149"/>
      <c r="Q188" s="149"/>
      <c r="R188" s="156"/>
      <c r="S188" s="156"/>
      <c r="T188" s="152"/>
      <c r="U188" s="153"/>
      <c r="V188" s="154" t="e">
        <f t="shared" si="1"/>
        <v>#DIV/0!</v>
      </c>
      <c r="W188" s="154" t="e">
        <f t="shared" si="2"/>
        <v>#DIV/0!</v>
      </c>
      <c r="X188" s="155"/>
      <c r="Y188" s="146"/>
      <c r="Z188" s="165"/>
      <c r="AA188" s="166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56"/>
      <c r="AL188" s="156"/>
      <c r="AM188" s="156"/>
      <c r="AN188" s="153"/>
      <c r="AO188" s="154" t="e">
        <f t="shared" si="4"/>
        <v>#DIV/0!</v>
      </c>
      <c r="AP188" s="154" t="e">
        <f t="shared" si="5"/>
        <v>#DIV/0!</v>
      </c>
      <c r="AQ188" s="145">
        <v>100</v>
      </c>
      <c r="AR188" s="146">
        <v>15</v>
      </c>
      <c r="AS188" s="147">
        <v>15</v>
      </c>
      <c r="AT188" s="166">
        <v>101.575</v>
      </c>
      <c r="AU188" s="149">
        <v>72.33</v>
      </c>
      <c r="AV188" s="149">
        <v>11.75</v>
      </c>
      <c r="AW188" s="149">
        <v>57.11184</v>
      </c>
      <c r="AX188" s="149">
        <v>13.238</v>
      </c>
      <c r="AY188" s="149">
        <v>0</v>
      </c>
      <c r="AZ188" s="149">
        <v>0</v>
      </c>
      <c r="BA188" s="149">
        <v>6.751</v>
      </c>
      <c r="BB188" s="149">
        <v>117.5</v>
      </c>
      <c r="BC188" s="149">
        <v>9.51864</v>
      </c>
      <c r="BD188" s="150" t="s">
        <v>119</v>
      </c>
      <c r="BE188" s="151" t="s">
        <v>120</v>
      </c>
      <c r="BF188" s="156"/>
      <c r="BG188" s="153">
        <v>29</v>
      </c>
      <c r="BH188" s="154">
        <f t="shared" si="43"/>
        <v>1015.7499999999999</v>
      </c>
      <c r="BI188" s="154">
        <f t="shared" si="44"/>
        <v>6.7716666666666665</v>
      </c>
      <c r="BJ188" s="415">
        <f t="shared" si="39"/>
        <v>100</v>
      </c>
      <c r="BK188" s="415">
        <f t="shared" si="40"/>
        <v>15</v>
      </c>
      <c r="BL188" s="415">
        <f t="shared" si="41"/>
        <v>15</v>
      </c>
      <c r="BM188" s="415">
        <f t="shared" si="42"/>
        <v>101.575</v>
      </c>
    </row>
    <row r="189" spans="1:65" s="129" customFormat="1" ht="18.75" outlineLevel="1">
      <c r="A189" s="141" t="s">
        <v>602</v>
      </c>
      <c r="B189" s="177" t="s">
        <v>303</v>
      </c>
      <c r="C189" s="158" t="s">
        <v>304</v>
      </c>
      <c r="D189" s="144">
        <v>0.4</v>
      </c>
      <c r="E189" s="145"/>
      <c r="F189" s="146"/>
      <c r="G189" s="165"/>
      <c r="H189" s="166"/>
      <c r="I189" s="149"/>
      <c r="J189" s="149"/>
      <c r="K189" s="149"/>
      <c r="L189" s="149"/>
      <c r="M189" s="149"/>
      <c r="N189" s="149"/>
      <c r="O189" s="149"/>
      <c r="P189" s="149"/>
      <c r="Q189" s="149"/>
      <c r="R189" s="156"/>
      <c r="S189" s="156"/>
      <c r="T189" s="152"/>
      <c r="U189" s="153"/>
      <c r="V189" s="154" t="e">
        <f t="shared" si="1"/>
        <v>#DIV/0!</v>
      </c>
      <c r="W189" s="154" t="e">
        <f t="shared" si="2"/>
        <v>#DIV/0!</v>
      </c>
      <c r="X189" s="155"/>
      <c r="Y189" s="146"/>
      <c r="Z189" s="165"/>
      <c r="AA189" s="166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56"/>
      <c r="AL189" s="156"/>
      <c r="AM189" s="156"/>
      <c r="AN189" s="153"/>
      <c r="AO189" s="154" t="e">
        <f t="shared" si="4"/>
        <v>#DIV/0!</v>
      </c>
      <c r="AP189" s="154" t="e">
        <f t="shared" si="5"/>
        <v>#DIV/0!</v>
      </c>
      <c r="AQ189" s="145">
        <v>182</v>
      </c>
      <c r="AR189" s="146">
        <v>15</v>
      </c>
      <c r="AS189" s="147">
        <v>15</v>
      </c>
      <c r="AT189" s="166">
        <v>222.743</v>
      </c>
      <c r="AU189" s="149">
        <v>154.817</v>
      </c>
      <c r="AV189" s="149">
        <v>24.29154</v>
      </c>
      <c r="AW189" s="149">
        <f>44.8679+8.97358+35.89432+26.92074</f>
        <v>116.65653999999999</v>
      </c>
      <c r="AX189" s="149">
        <v>31.758</v>
      </c>
      <c r="AY189" s="149">
        <v>0</v>
      </c>
      <c r="AZ189" s="149">
        <v>0</v>
      </c>
      <c r="BA189" s="149">
        <v>16.007</v>
      </c>
      <c r="BB189" s="149">
        <v>133.47</v>
      </c>
      <c r="BC189" s="149">
        <v>8.97358</v>
      </c>
      <c r="BD189" s="150" t="s">
        <v>119</v>
      </c>
      <c r="BE189" s="151" t="s">
        <v>120</v>
      </c>
      <c r="BF189" s="156"/>
      <c r="BG189" s="153">
        <v>83</v>
      </c>
      <c r="BH189" s="154">
        <f t="shared" si="43"/>
        <v>1223.8626373626373</v>
      </c>
      <c r="BI189" s="154">
        <f t="shared" si="44"/>
        <v>14.849533333333333</v>
      </c>
      <c r="BJ189" s="415">
        <f t="shared" si="39"/>
        <v>182</v>
      </c>
      <c r="BK189" s="415">
        <f t="shared" si="40"/>
        <v>15</v>
      </c>
      <c r="BL189" s="415">
        <f t="shared" si="41"/>
        <v>15</v>
      </c>
      <c r="BM189" s="415">
        <f t="shared" si="42"/>
        <v>222.743</v>
      </c>
    </row>
    <row r="190" spans="1:65" s="129" customFormat="1" ht="18.75" outlineLevel="1">
      <c r="A190" s="141" t="s">
        <v>603</v>
      </c>
      <c r="B190" s="177" t="s">
        <v>604</v>
      </c>
      <c r="C190" s="158" t="s">
        <v>605</v>
      </c>
      <c r="D190" s="144">
        <v>0.4</v>
      </c>
      <c r="E190" s="145"/>
      <c r="F190" s="146"/>
      <c r="G190" s="165"/>
      <c r="H190" s="166"/>
      <c r="I190" s="149"/>
      <c r="J190" s="149"/>
      <c r="K190" s="149"/>
      <c r="L190" s="149"/>
      <c r="M190" s="149"/>
      <c r="N190" s="149"/>
      <c r="O190" s="149"/>
      <c r="P190" s="149"/>
      <c r="Q190" s="149"/>
      <c r="R190" s="156"/>
      <c r="S190" s="156"/>
      <c r="T190" s="152"/>
      <c r="U190" s="153"/>
      <c r="V190" s="154" t="e">
        <f t="shared" si="1"/>
        <v>#DIV/0!</v>
      </c>
      <c r="W190" s="154" t="e">
        <f t="shared" si="2"/>
        <v>#DIV/0!</v>
      </c>
      <c r="X190" s="155"/>
      <c r="Y190" s="146"/>
      <c r="Z190" s="165"/>
      <c r="AA190" s="166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56"/>
      <c r="AL190" s="156"/>
      <c r="AM190" s="156"/>
      <c r="AN190" s="153"/>
      <c r="AO190" s="154" t="e">
        <f t="shared" si="4"/>
        <v>#DIV/0!</v>
      </c>
      <c r="AP190" s="154" t="e">
        <f t="shared" si="5"/>
        <v>#DIV/0!</v>
      </c>
      <c r="AQ190" s="145">
        <v>460</v>
      </c>
      <c r="AR190" s="146">
        <v>150</v>
      </c>
      <c r="AS190" s="147">
        <v>150</v>
      </c>
      <c r="AT190" s="166">
        <v>347.889</v>
      </c>
      <c r="AU190" s="149">
        <v>242.104</v>
      </c>
      <c r="AV190" s="149">
        <v>61.3962</v>
      </c>
      <c r="AW190" s="149">
        <f>107.73276+53.86638</f>
        <v>161.59914</v>
      </c>
      <c r="AX190" s="149">
        <v>48.123</v>
      </c>
      <c r="AY190" s="149">
        <v>0</v>
      </c>
      <c r="AZ190" s="149">
        <v>0</v>
      </c>
      <c r="BA190" s="149">
        <v>25.443</v>
      </c>
      <c r="BB190" s="149">
        <v>133.47</v>
      </c>
      <c r="BC190" s="149">
        <v>8.97773</v>
      </c>
      <c r="BD190" s="150" t="s">
        <v>119</v>
      </c>
      <c r="BE190" s="151" t="s">
        <v>120</v>
      </c>
      <c r="BF190" s="156"/>
      <c r="BG190" s="153">
        <v>141</v>
      </c>
      <c r="BH190" s="154">
        <f t="shared" si="43"/>
        <v>756.2804347826087</v>
      </c>
      <c r="BI190" s="154">
        <f t="shared" si="44"/>
        <v>2.31926</v>
      </c>
      <c r="BJ190" s="415">
        <f t="shared" si="39"/>
        <v>460</v>
      </c>
      <c r="BK190" s="415">
        <f t="shared" si="40"/>
        <v>150</v>
      </c>
      <c r="BL190" s="415">
        <f t="shared" si="41"/>
        <v>150</v>
      </c>
      <c r="BM190" s="415">
        <f t="shared" si="42"/>
        <v>347.889</v>
      </c>
    </row>
    <row r="191" spans="1:65" s="129" customFormat="1" ht="18.75" outlineLevel="1">
      <c r="A191" s="141" t="s">
        <v>606</v>
      </c>
      <c r="B191" s="177" t="s">
        <v>454</v>
      </c>
      <c r="C191" s="180" t="s">
        <v>455</v>
      </c>
      <c r="D191" s="144">
        <v>0.4</v>
      </c>
      <c r="E191" s="145"/>
      <c r="F191" s="146"/>
      <c r="G191" s="165"/>
      <c r="H191" s="166"/>
      <c r="I191" s="149"/>
      <c r="J191" s="149"/>
      <c r="K191" s="149"/>
      <c r="L191" s="149"/>
      <c r="M191" s="149"/>
      <c r="N191" s="149"/>
      <c r="O191" s="149"/>
      <c r="P191" s="149"/>
      <c r="Q191" s="149"/>
      <c r="R191" s="156"/>
      <c r="S191" s="156"/>
      <c r="T191" s="152"/>
      <c r="U191" s="153"/>
      <c r="V191" s="154" t="e">
        <f t="shared" si="1"/>
        <v>#DIV/0!</v>
      </c>
      <c r="W191" s="154" t="e">
        <f t="shared" si="2"/>
        <v>#DIV/0!</v>
      </c>
      <c r="X191" s="155"/>
      <c r="Y191" s="146"/>
      <c r="Z191" s="165"/>
      <c r="AA191" s="166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56"/>
      <c r="AL191" s="156"/>
      <c r="AM191" s="156"/>
      <c r="AN191" s="153"/>
      <c r="AO191" s="154" t="e">
        <f t="shared" si="4"/>
        <v>#DIV/0!</v>
      </c>
      <c r="AP191" s="154" t="e">
        <f t="shared" si="5"/>
        <v>#DIV/0!</v>
      </c>
      <c r="AQ191" s="145">
        <v>260</v>
      </c>
      <c r="AR191" s="146">
        <v>15</v>
      </c>
      <c r="AS191" s="147">
        <v>15</v>
      </c>
      <c r="AT191" s="166">
        <v>202.651</v>
      </c>
      <c r="AU191" s="149">
        <v>147.979</v>
      </c>
      <c r="AV191" s="149">
        <v>30.55</v>
      </c>
      <c r="AW191" s="149">
        <v>104.705</v>
      </c>
      <c r="AX191" s="149">
        <v>12.175</v>
      </c>
      <c r="AY191" s="149">
        <v>0</v>
      </c>
      <c r="AZ191" s="149">
        <v>0</v>
      </c>
      <c r="BA191" s="149">
        <v>26.776</v>
      </c>
      <c r="BB191" s="149">
        <v>117.5</v>
      </c>
      <c r="BC191" s="149">
        <v>9.51864</v>
      </c>
      <c r="BD191" s="150" t="s">
        <v>119</v>
      </c>
      <c r="BE191" s="151" t="s">
        <v>120</v>
      </c>
      <c r="BF191" s="156"/>
      <c r="BG191" s="153">
        <v>169</v>
      </c>
      <c r="BH191" s="154">
        <f t="shared" si="43"/>
        <v>779.4269230769231</v>
      </c>
      <c r="BI191" s="154">
        <f t="shared" si="44"/>
        <v>13.510066666666667</v>
      </c>
      <c r="BJ191" s="415">
        <f t="shared" si="39"/>
        <v>260</v>
      </c>
      <c r="BK191" s="415">
        <f t="shared" si="40"/>
        <v>15</v>
      </c>
      <c r="BL191" s="415">
        <f t="shared" si="41"/>
        <v>15</v>
      </c>
      <c r="BM191" s="415">
        <f t="shared" si="42"/>
        <v>202.651</v>
      </c>
    </row>
    <row r="192" spans="1:65" s="129" customFormat="1" ht="18.75" outlineLevel="1">
      <c r="A192" s="141" t="s">
        <v>607</v>
      </c>
      <c r="B192" s="177" t="s">
        <v>608</v>
      </c>
      <c r="C192" s="158" t="s">
        <v>609</v>
      </c>
      <c r="D192" s="144">
        <v>0.4</v>
      </c>
      <c r="E192" s="145"/>
      <c r="F192" s="146"/>
      <c r="G192" s="165"/>
      <c r="H192" s="166"/>
      <c r="I192" s="149"/>
      <c r="J192" s="149"/>
      <c r="K192" s="149"/>
      <c r="L192" s="149"/>
      <c r="M192" s="149"/>
      <c r="N192" s="149"/>
      <c r="O192" s="149"/>
      <c r="P192" s="149"/>
      <c r="Q192" s="149"/>
      <c r="R192" s="156"/>
      <c r="S192" s="156"/>
      <c r="T192" s="152"/>
      <c r="U192" s="153"/>
      <c r="V192" s="154" t="e">
        <f t="shared" si="1"/>
        <v>#DIV/0!</v>
      </c>
      <c r="W192" s="154" t="e">
        <f t="shared" si="2"/>
        <v>#DIV/0!</v>
      </c>
      <c r="X192" s="155"/>
      <c r="Y192" s="146"/>
      <c r="Z192" s="165"/>
      <c r="AA192" s="166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56"/>
      <c r="AL192" s="156"/>
      <c r="AM192" s="156"/>
      <c r="AN192" s="153"/>
      <c r="AO192" s="154" t="e">
        <f t="shared" si="4"/>
        <v>#DIV/0!</v>
      </c>
      <c r="AP192" s="154" t="e">
        <f t="shared" si="5"/>
        <v>#DIV/0!</v>
      </c>
      <c r="AQ192" s="145">
        <v>630</v>
      </c>
      <c r="AR192" s="146">
        <v>15</v>
      </c>
      <c r="AS192" s="147">
        <v>15</v>
      </c>
      <c r="AT192" s="166">
        <v>363.63108</v>
      </c>
      <c r="AU192" s="149">
        <v>264.79525</v>
      </c>
      <c r="AV192" s="149">
        <v>74.025</v>
      </c>
      <c r="AW192" s="149">
        <f>114.22368+38.07456</f>
        <v>152.29824</v>
      </c>
      <c r="AX192" s="149">
        <v>48.03045</v>
      </c>
      <c r="AY192" s="149">
        <v>0</v>
      </c>
      <c r="AZ192" s="149">
        <v>0</v>
      </c>
      <c r="BA192" s="149">
        <v>22.2766</v>
      </c>
      <c r="BB192" s="149">
        <v>117.5</v>
      </c>
      <c r="BC192" s="149">
        <v>9.51864</v>
      </c>
      <c r="BD192" s="150" t="s">
        <v>119</v>
      </c>
      <c r="BE192" s="151" t="s">
        <v>120</v>
      </c>
      <c r="BF192" s="156"/>
      <c r="BG192" s="153">
        <v>173</v>
      </c>
      <c r="BH192" s="154">
        <f t="shared" si="43"/>
        <v>577.1921904761905</v>
      </c>
      <c r="BI192" s="154">
        <f t="shared" si="44"/>
        <v>24.242072</v>
      </c>
      <c r="BJ192" s="415">
        <f t="shared" si="39"/>
        <v>630</v>
      </c>
      <c r="BK192" s="415">
        <f t="shared" si="40"/>
        <v>15</v>
      </c>
      <c r="BL192" s="415">
        <f t="shared" si="41"/>
        <v>15</v>
      </c>
      <c r="BM192" s="415">
        <f t="shared" si="42"/>
        <v>363.63108</v>
      </c>
    </row>
    <row r="193" spans="1:65" s="129" customFormat="1" ht="18.75" outlineLevel="1">
      <c r="A193" s="141" t="s">
        <v>610</v>
      </c>
      <c r="B193" s="177" t="s">
        <v>611</v>
      </c>
      <c r="C193" s="158" t="s">
        <v>612</v>
      </c>
      <c r="D193" s="144">
        <v>0.4</v>
      </c>
      <c r="E193" s="145"/>
      <c r="F193" s="146"/>
      <c r="G193" s="165"/>
      <c r="H193" s="166"/>
      <c r="I193" s="149"/>
      <c r="J193" s="149"/>
      <c r="K193" s="149"/>
      <c r="L193" s="149"/>
      <c r="M193" s="149"/>
      <c r="N193" s="149"/>
      <c r="O193" s="149"/>
      <c r="P193" s="149"/>
      <c r="Q193" s="149"/>
      <c r="R193" s="156"/>
      <c r="S193" s="156"/>
      <c r="T193" s="152"/>
      <c r="U193" s="153"/>
      <c r="V193" s="154" t="e">
        <f t="shared" si="1"/>
        <v>#DIV/0!</v>
      </c>
      <c r="W193" s="154" t="e">
        <f t="shared" si="2"/>
        <v>#DIV/0!</v>
      </c>
      <c r="X193" s="155"/>
      <c r="Y193" s="146"/>
      <c r="Z193" s="165"/>
      <c r="AA193" s="166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56"/>
      <c r="AL193" s="156"/>
      <c r="AM193" s="156"/>
      <c r="AN193" s="153"/>
      <c r="AO193" s="154" t="e">
        <f t="shared" si="4"/>
        <v>#DIV/0!</v>
      </c>
      <c r="AP193" s="154" t="e">
        <f t="shared" si="5"/>
        <v>#DIV/0!</v>
      </c>
      <c r="AQ193" s="145">
        <v>210</v>
      </c>
      <c r="AR193" s="146">
        <v>15</v>
      </c>
      <c r="AS193" s="147">
        <v>15</v>
      </c>
      <c r="AT193" s="166">
        <v>158.65487</v>
      </c>
      <c r="AU193" s="149">
        <v>117.14653</v>
      </c>
      <c r="AV193" s="149">
        <v>24.675</v>
      </c>
      <c r="AW193" s="149">
        <f>19.03728+57.11184</f>
        <v>76.14912</v>
      </c>
      <c r="AX193" s="149">
        <v>20.52997</v>
      </c>
      <c r="AY193" s="149">
        <v>0</v>
      </c>
      <c r="AZ193" s="149">
        <v>0</v>
      </c>
      <c r="BA193" s="149">
        <v>9.18937</v>
      </c>
      <c r="BB193" s="149">
        <v>117.5</v>
      </c>
      <c r="BC193" s="149">
        <v>9.51864</v>
      </c>
      <c r="BD193" s="150" t="s">
        <v>119</v>
      </c>
      <c r="BE193" s="151" t="s">
        <v>120</v>
      </c>
      <c r="BF193" s="156"/>
      <c r="BG193" s="153">
        <v>193</v>
      </c>
      <c r="BH193" s="154">
        <f t="shared" si="43"/>
        <v>755.4993809523809</v>
      </c>
      <c r="BI193" s="154">
        <f t="shared" si="44"/>
        <v>10.576991333333332</v>
      </c>
      <c r="BJ193" s="415">
        <f t="shared" si="39"/>
        <v>210</v>
      </c>
      <c r="BK193" s="415">
        <f t="shared" si="40"/>
        <v>15</v>
      </c>
      <c r="BL193" s="415">
        <f t="shared" si="41"/>
        <v>15</v>
      </c>
      <c r="BM193" s="415">
        <f t="shared" si="42"/>
        <v>158.65487</v>
      </c>
    </row>
    <row r="194" spans="1:65" s="129" customFormat="1" ht="18.75" outlineLevel="1">
      <c r="A194" s="141" t="s">
        <v>613</v>
      </c>
      <c r="B194" s="177" t="s">
        <v>614</v>
      </c>
      <c r="C194" s="158" t="s">
        <v>615</v>
      </c>
      <c r="D194" s="144">
        <v>0.4</v>
      </c>
      <c r="E194" s="145"/>
      <c r="F194" s="146"/>
      <c r="G194" s="165"/>
      <c r="H194" s="166"/>
      <c r="I194" s="149"/>
      <c r="J194" s="149"/>
      <c r="K194" s="149"/>
      <c r="L194" s="149"/>
      <c r="M194" s="149"/>
      <c r="N194" s="149"/>
      <c r="O194" s="149"/>
      <c r="P194" s="149"/>
      <c r="Q194" s="149"/>
      <c r="R194" s="156"/>
      <c r="S194" s="156"/>
      <c r="T194" s="152"/>
      <c r="U194" s="153"/>
      <c r="V194" s="154" t="e">
        <f t="shared" si="1"/>
        <v>#DIV/0!</v>
      </c>
      <c r="W194" s="154" t="e">
        <f t="shared" si="2"/>
        <v>#DIV/0!</v>
      </c>
      <c r="X194" s="155"/>
      <c r="Y194" s="146"/>
      <c r="Z194" s="165"/>
      <c r="AA194" s="166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56"/>
      <c r="AL194" s="156"/>
      <c r="AM194" s="156"/>
      <c r="AN194" s="153"/>
      <c r="AO194" s="154" t="e">
        <f t="shared" si="4"/>
        <v>#DIV/0!</v>
      </c>
      <c r="AP194" s="154" t="e">
        <f t="shared" si="5"/>
        <v>#DIV/0!</v>
      </c>
      <c r="AQ194" s="145">
        <v>150</v>
      </c>
      <c r="AR194" s="146">
        <v>15</v>
      </c>
      <c r="AS194" s="147">
        <v>15</v>
      </c>
      <c r="AT194" s="166">
        <v>87.01679</v>
      </c>
      <c r="AU194" s="149">
        <v>64.73752</v>
      </c>
      <c r="AV194" s="149">
        <v>17.625</v>
      </c>
      <c r="AW194" s="149">
        <v>37.95708</v>
      </c>
      <c r="AX194" s="149">
        <v>10.7417</v>
      </c>
      <c r="AY194" s="149">
        <v>0</v>
      </c>
      <c r="AZ194" s="149">
        <v>0</v>
      </c>
      <c r="BA194" s="149">
        <v>5.06371</v>
      </c>
      <c r="BB194" s="149">
        <v>117.5</v>
      </c>
      <c r="BC194" s="149">
        <v>9.48927</v>
      </c>
      <c r="BD194" s="150" t="s">
        <v>119</v>
      </c>
      <c r="BE194" s="151" t="s">
        <v>120</v>
      </c>
      <c r="BF194" s="156"/>
      <c r="BG194" s="153">
        <v>200</v>
      </c>
      <c r="BH194" s="154">
        <f t="shared" si="43"/>
        <v>580.1119333333334</v>
      </c>
      <c r="BI194" s="154">
        <f t="shared" si="44"/>
        <v>5.801119333333333</v>
      </c>
      <c r="BJ194" s="415">
        <f t="shared" si="39"/>
        <v>150</v>
      </c>
      <c r="BK194" s="415">
        <f t="shared" si="40"/>
        <v>15</v>
      </c>
      <c r="BL194" s="415">
        <f t="shared" si="41"/>
        <v>15</v>
      </c>
      <c r="BM194" s="415">
        <f t="shared" si="42"/>
        <v>87.01679</v>
      </c>
    </row>
    <row r="195" spans="1:65" s="129" customFormat="1" ht="18.75" outlineLevel="1">
      <c r="A195" s="141" t="s">
        <v>616</v>
      </c>
      <c r="B195" s="177" t="s">
        <v>466</v>
      </c>
      <c r="C195" s="158" t="s">
        <v>617</v>
      </c>
      <c r="D195" s="144">
        <v>0.4</v>
      </c>
      <c r="E195" s="145"/>
      <c r="F195" s="146"/>
      <c r="G195" s="165"/>
      <c r="H195" s="166"/>
      <c r="I195" s="149"/>
      <c r="J195" s="149"/>
      <c r="K195" s="149"/>
      <c r="L195" s="149"/>
      <c r="M195" s="149"/>
      <c r="N195" s="149"/>
      <c r="O195" s="149"/>
      <c r="P195" s="149"/>
      <c r="Q195" s="149"/>
      <c r="R195" s="156"/>
      <c r="S195" s="156"/>
      <c r="T195" s="152"/>
      <c r="U195" s="153"/>
      <c r="V195" s="154" t="e">
        <f t="shared" si="1"/>
        <v>#DIV/0!</v>
      </c>
      <c r="W195" s="154" t="e">
        <f t="shared" si="2"/>
        <v>#DIV/0!</v>
      </c>
      <c r="X195" s="155"/>
      <c r="Y195" s="146"/>
      <c r="Z195" s="165"/>
      <c r="AA195" s="166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56"/>
      <c r="AL195" s="156"/>
      <c r="AM195" s="156"/>
      <c r="AN195" s="153"/>
      <c r="AO195" s="154" t="e">
        <f t="shared" si="4"/>
        <v>#DIV/0!</v>
      </c>
      <c r="AP195" s="154" t="e">
        <f t="shared" si="5"/>
        <v>#DIV/0!</v>
      </c>
      <c r="AQ195" s="145">
        <v>240</v>
      </c>
      <c r="AR195" s="146">
        <v>15</v>
      </c>
      <c r="AS195" s="147">
        <v>15</v>
      </c>
      <c r="AT195" s="166">
        <v>106.12</v>
      </c>
      <c r="AU195" s="149">
        <v>74.89627</v>
      </c>
      <c r="AV195" s="149">
        <v>32.0328</v>
      </c>
      <c r="AW195" s="149">
        <f>17.94716+17.94716</f>
        <v>35.89432</v>
      </c>
      <c r="AX195" s="149">
        <v>14.35293</v>
      </c>
      <c r="AY195" s="149">
        <v>0</v>
      </c>
      <c r="AZ195" s="149">
        <v>0</v>
      </c>
      <c r="BA195" s="149">
        <v>7.57999</v>
      </c>
      <c r="BB195" s="149">
        <v>133.47</v>
      </c>
      <c r="BC195" s="149">
        <v>8.97358</v>
      </c>
      <c r="BD195" s="150" t="s">
        <v>119</v>
      </c>
      <c r="BE195" s="151" t="s">
        <v>120</v>
      </c>
      <c r="BF195" s="156"/>
      <c r="BG195" s="153">
        <v>293</v>
      </c>
      <c r="BH195" s="154">
        <f t="shared" si="43"/>
        <v>442.1666666666667</v>
      </c>
      <c r="BI195" s="154">
        <f t="shared" si="44"/>
        <v>7.074666666666667</v>
      </c>
      <c r="BJ195" s="415">
        <f t="shared" si="39"/>
        <v>240</v>
      </c>
      <c r="BK195" s="415">
        <f t="shared" si="40"/>
        <v>15</v>
      </c>
      <c r="BL195" s="415">
        <f t="shared" si="41"/>
        <v>15</v>
      </c>
      <c r="BM195" s="415">
        <f t="shared" si="42"/>
        <v>106.12</v>
      </c>
    </row>
    <row r="196" spans="1:65" s="129" customFormat="1" ht="18.75" outlineLevel="1">
      <c r="A196" s="141" t="s">
        <v>618</v>
      </c>
      <c r="B196" s="177" t="s">
        <v>619</v>
      </c>
      <c r="C196" s="158" t="s">
        <v>620</v>
      </c>
      <c r="D196" s="144">
        <v>0.4</v>
      </c>
      <c r="E196" s="145"/>
      <c r="F196" s="146"/>
      <c r="G196" s="165"/>
      <c r="H196" s="166"/>
      <c r="I196" s="149"/>
      <c r="J196" s="149"/>
      <c r="K196" s="149"/>
      <c r="L196" s="149"/>
      <c r="M196" s="149"/>
      <c r="N196" s="149"/>
      <c r="O196" s="149"/>
      <c r="P196" s="149"/>
      <c r="Q196" s="149"/>
      <c r="R196" s="156"/>
      <c r="S196" s="156"/>
      <c r="T196" s="152"/>
      <c r="U196" s="153"/>
      <c r="V196" s="154" t="e">
        <f t="shared" si="1"/>
        <v>#DIV/0!</v>
      </c>
      <c r="W196" s="154" t="e">
        <f t="shared" si="2"/>
        <v>#DIV/0!</v>
      </c>
      <c r="X196" s="155"/>
      <c r="Y196" s="146"/>
      <c r="Z196" s="165"/>
      <c r="AA196" s="166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56"/>
      <c r="AL196" s="156"/>
      <c r="AM196" s="156"/>
      <c r="AN196" s="153"/>
      <c r="AO196" s="154" t="e">
        <f t="shared" si="4"/>
        <v>#DIV/0!</v>
      </c>
      <c r="AP196" s="154" t="e">
        <f t="shared" si="5"/>
        <v>#DIV/0!</v>
      </c>
      <c r="AQ196" s="145">
        <v>250</v>
      </c>
      <c r="AR196" s="146">
        <v>40</v>
      </c>
      <c r="AS196" s="147">
        <v>40</v>
      </c>
      <c r="AT196" s="166">
        <v>188.259</v>
      </c>
      <c r="AU196" s="149">
        <v>138.574</v>
      </c>
      <c r="AV196" s="149">
        <v>33.3675</v>
      </c>
      <c r="AW196" s="149">
        <f>26.95089+35.93452</f>
        <v>62.88541</v>
      </c>
      <c r="AX196" s="149">
        <v>21.894</v>
      </c>
      <c r="AY196" s="149">
        <v>0</v>
      </c>
      <c r="AZ196" s="149">
        <v>0</v>
      </c>
      <c r="BA196" s="149">
        <v>12.178</v>
      </c>
      <c r="BB196" s="149">
        <v>133.47</v>
      </c>
      <c r="BC196" s="149">
        <v>8.98363</v>
      </c>
      <c r="BD196" s="150" t="s">
        <v>119</v>
      </c>
      <c r="BE196" s="151" t="s">
        <v>120</v>
      </c>
      <c r="BF196" s="156"/>
      <c r="BG196" s="153">
        <v>305</v>
      </c>
      <c r="BH196" s="154">
        <f t="shared" si="43"/>
        <v>753.036</v>
      </c>
      <c r="BI196" s="154">
        <f t="shared" si="44"/>
        <v>4.706474999999999</v>
      </c>
      <c r="BJ196" s="415">
        <f t="shared" si="39"/>
        <v>250</v>
      </c>
      <c r="BK196" s="415">
        <f t="shared" si="40"/>
        <v>40</v>
      </c>
      <c r="BL196" s="415">
        <f t="shared" si="41"/>
        <v>40</v>
      </c>
      <c r="BM196" s="415">
        <f t="shared" si="42"/>
        <v>188.259</v>
      </c>
    </row>
    <row r="197" spans="1:65" s="129" customFormat="1" ht="14.25">
      <c r="A197" s="141"/>
      <c r="B197" s="179"/>
      <c r="C197" s="158"/>
      <c r="D197" s="144"/>
      <c r="E197" s="145"/>
      <c r="F197" s="146"/>
      <c r="G197" s="165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56"/>
      <c r="S197" s="156"/>
      <c r="T197" s="152"/>
      <c r="U197" s="153"/>
      <c r="V197" s="154" t="e">
        <f t="shared" si="1"/>
        <v>#DIV/0!</v>
      </c>
      <c r="W197" s="154" t="e">
        <f t="shared" si="2"/>
        <v>#DIV/0!</v>
      </c>
      <c r="X197" s="155"/>
      <c r="Y197" s="146"/>
      <c r="Z197" s="165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56"/>
      <c r="AL197" s="156"/>
      <c r="AM197" s="156"/>
      <c r="AN197" s="153"/>
      <c r="AO197" s="154" t="e">
        <f t="shared" si="4"/>
        <v>#DIV/0!</v>
      </c>
      <c r="AP197" s="154" t="e">
        <f t="shared" si="5"/>
        <v>#DIV/0!</v>
      </c>
      <c r="AQ197" s="145"/>
      <c r="AR197" s="146"/>
      <c r="AS197" s="147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56"/>
      <c r="BE197" s="156"/>
      <c r="BF197" s="156"/>
      <c r="BG197" s="153"/>
      <c r="BH197" s="154" t="e">
        <f t="shared" si="43"/>
        <v>#DIV/0!</v>
      </c>
      <c r="BI197" s="154" t="e">
        <f t="shared" si="44"/>
        <v>#DIV/0!</v>
      </c>
      <c r="BJ197" s="415">
        <f t="shared" si="39"/>
        <v>0</v>
      </c>
      <c r="BK197" s="415">
        <f t="shared" si="40"/>
        <v>0</v>
      </c>
      <c r="BL197" s="415">
        <f t="shared" si="41"/>
        <v>0</v>
      </c>
      <c r="BM197" s="415">
        <f t="shared" si="42"/>
        <v>0</v>
      </c>
    </row>
    <row r="198" spans="1:65" s="129" customFormat="1" ht="24.75" customHeight="1">
      <c r="A198" s="130" t="s">
        <v>144</v>
      </c>
      <c r="B198" s="131" t="s">
        <v>621</v>
      </c>
      <c r="C198" s="132"/>
      <c r="D198" s="133">
        <v>0.4</v>
      </c>
      <c r="E198" s="134">
        <f aca="true" t="shared" si="45" ref="E198:Q198">SUM(E199:E222)</f>
        <v>2748</v>
      </c>
      <c r="F198" s="134">
        <f t="shared" si="45"/>
        <v>140</v>
      </c>
      <c r="G198" s="134">
        <f>SUM(G199:G222)</f>
        <v>140</v>
      </c>
      <c r="H198" s="135">
        <f t="shared" si="45"/>
        <v>1579.4384100000002</v>
      </c>
      <c r="I198" s="135">
        <f t="shared" si="45"/>
        <v>1063.93331</v>
      </c>
      <c r="J198" s="135">
        <f t="shared" si="45"/>
        <v>377.13818000000003</v>
      </c>
      <c r="K198" s="135">
        <f t="shared" si="45"/>
        <v>536.52299</v>
      </c>
      <c r="L198" s="135">
        <f t="shared" si="45"/>
        <v>187.7332</v>
      </c>
      <c r="M198" s="135">
        <f t="shared" si="45"/>
        <v>0</v>
      </c>
      <c r="N198" s="135">
        <f t="shared" si="45"/>
        <v>0</v>
      </c>
      <c r="O198" s="135">
        <f t="shared" si="45"/>
        <v>78.41881000000001</v>
      </c>
      <c r="P198" s="135">
        <f t="shared" si="45"/>
        <v>1235.07038</v>
      </c>
      <c r="Q198" s="135">
        <f t="shared" si="45"/>
        <v>56.23</v>
      </c>
      <c r="R198" s="136"/>
      <c r="S198" s="136"/>
      <c r="T198" s="137"/>
      <c r="U198" s="138"/>
      <c r="V198" s="139">
        <f t="shared" si="1"/>
        <v>574.7592467248909</v>
      </c>
      <c r="W198" s="139">
        <f t="shared" si="2"/>
        <v>11.28170292857143</v>
      </c>
      <c r="X198" s="140">
        <f aca="true" t="shared" si="46" ref="X198:AJ198">SUM(X199:X222)</f>
        <v>2455</v>
      </c>
      <c r="Y198" s="134">
        <f t="shared" si="46"/>
        <v>412</v>
      </c>
      <c r="Z198" s="134">
        <f t="shared" si="46"/>
        <v>412</v>
      </c>
      <c r="AA198" s="135">
        <f t="shared" si="46"/>
        <v>1436.1642599999998</v>
      </c>
      <c r="AB198" s="135">
        <f t="shared" si="46"/>
        <v>1102.3573800000001</v>
      </c>
      <c r="AC198" s="135">
        <f t="shared" si="46"/>
        <v>383.1873499999999</v>
      </c>
      <c r="AD198" s="135">
        <f>SUM(AE199:AE222)</f>
        <v>138.42458</v>
      </c>
      <c r="AE198" s="135">
        <f t="shared" si="46"/>
        <v>138.42458</v>
      </c>
      <c r="AF198" s="135">
        <f t="shared" si="46"/>
        <v>0</v>
      </c>
      <c r="AG198" s="135">
        <f>SUM(AE199:AE222)</f>
        <v>138.42458</v>
      </c>
      <c r="AH198" s="135">
        <f t="shared" si="46"/>
        <v>70.48184</v>
      </c>
      <c r="AI198" s="135">
        <f t="shared" si="46"/>
        <v>1247.5</v>
      </c>
      <c r="AJ198" s="135">
        <f t="shared" si="46"/>
        <v>75.48179</v>
      </c>
      <c r="AK198" s="136"/>
      <c r="AL198" s="136"/>
      <c r="AM198" s="136"/>
      <c r="AN198" s="138"/>
      <c r="AO198" s="139">
        <f t="shared" si="4"/>
        <v>584.9956252545824</v>
      </c>
      <c r="AP198" s="139">
        <f t="shared" si="5"/>
        <v>3.4858355825242713</v>
      </c>
      <c r="AQ198" s="134">
        <f aca="true" t="shared" si="47" ref="AQ198:BC198">SUM(AQ199:AQ222)</f>
        <v>1473</v>
      </c>
      <c r="AR198" s="134">
        <f t="shared" si="47"/>
        <v>450</v>
      </c>
      <c r="AS198" s="134">
        <f t="shared" si="47"/>
        <v>450</v>
      </c>
      <c r="AT198" s="135">
        <f t="shared" si="47"/>
        <v>1031.00732</v>
      </c>
      <c r="AU198" s="135">
        <f t="shared" si="47"/>
        <v>752.5620700000001</v>
      </c>
      <c r="AV198" s="135">
        <f t="shared" si="47"/>
        <v>267.32049</v>
      </c>
      <c r="AW198" s="135">
        <f>SUM(AX199:AX222)</f>
        <v>130.29242</v>
      </c>
      <c r="AX198" s="135">
        <f t="shared" si="47"/>
        <v>130.29242</v>
      </c>
      <c r="AY198" s="135">
        <f t="shared" si="47"/>
        <v>0</v>
      </c>
      <c r="AZ198" s="135">
        <f t="shared" si="47"/>
        <v>0</v>
      </c>
      <c r="BA198" s="135">
        <f t="shared" si="47"/>
        <v>65.45282</v>
      </c>
      <c r="BB198" s="135">
        <f t="shared" si="47"/>
        <v>1095.79</v>
      </c>
      <c r="BC198" s="135">
        <f t="shared" si="47"/>
        <v>54.58265</v>
      </c>
      <c r="BD198" s="136"/>
      <c r="BE198" s="136"/>
      <c r="BF198" s="136"/>
      <c r="BG198" s="138"/>
      <c r="BH198" s="139">
        <f t="shared" si="43"/>
        <v>699.9370807875085</v>
      </c>
      <c r="BI198" s="139">
        <f t="shared" si="44"/>
        <v>2.2911273777777774</v>
      </c>
      <c r="BJ198" s="415">
        <f t="shared" si="39"/>
        <v>6676</v>
      </c>
      <c r="BK198" s="415">
        <f t="shared" si="40"/>
        <v>1002</v>
      </c>
      <c r="BL198" s="415">
        <f t="shared" si="41"/>
        <v>1002</v>
      </c>
      <c r="BM198" s="415">
        <f t="shared" si="42"/>
        <v>4046.60999</v>
      </c>
    </row>
    <row r="199" spans="1:65" s="129" customFormat="1" ht="18.75" outlineLevel="1">
      <c r="A199" s="141" t="s">
        <v>146</v>
      </c>
      <c r="B199" s="198" t="s">
        <v>622</v>
      </c>
      <c r="C199" s="190" t="s">
        <v>623</v>
      </c>
      <c r="D199" s="144">
        <v>0.4</v>
      </c>
      <c r="E199" s="145">
        <v>70</v>
      </c>
      <c r="F199" s="146">
        <v>15</v>
      </c>
      <c r="G199" s="146">
        <v>15</v>
      </c>
      <c r="H199" s="148">
        <v>59.424</v>
      </c>
      <c r="I199" s="149">
        <v>4.14</v>
      </c>
      <c r="J199" s="149">
        <v>9.6061</v>
      </c>
      <c r="K199" s="149">
        <v>0</v>
      </c>
      <c r="L199" s="149">
        <v>3.22</v>
      </c>
      <c r="M199" s="149">
        <v>0</v>
      </c>
      <c r="N199" s="149">
        <v>0</v>
      </c>
      <c r="O199" s="149">
        <v>0.72</v>
      </c>
      <c r="P199" s="149">
        <v>137.23</v>
      </c>
      <c r="Q199" s="149">
        <v>0</v>
      </c>
      <c r="R199" s="150" t="s">
        <v>119</v>
      </c>
      <c r="S199" s="151" t="s">
        <v>120</v>
      </c>
      <c r="T199" s="152"/>
      <c r="U199" s="153">
        <v>5</v>
      </c>
      <c r="V199" s="154">
        <f t="shared" si="1"/>
        <v>848.9142857142857</v>
      </c>
      <c r="W199" s="154">
        <f t="shared" si="2"/>
        <v>3.9616</v>
      </c>
      <c r="X199" s="155"/>
      <c r="Y199" s="146"/>
      <c r="Z199" s="146"/>
      <c r="AA199" s="148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56"/>
      <c r="AL199" s="156"/>
      <c r="AM199" s="156"/>
      <c r="AN199" s="153"/>
      <c r="AO199" s="154" t="e">
        <f t="shared" si="4"/>
        <v>#DIV/0!</v>
      </c>
      <c r="AP199" s="154" t="e">
        <f t="shared" si="5"/>
        <v>#DIV/0!</v>
      </c>
      <c r="AQ199" s="145"/>
      <c r="AR199" s="146"/>
      <c r="AS199" s="146"/>
      <c r="AT199" s="148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56"/>
      <c r="BE199" s="156"/>
      <c r="BF199" s="156"/>
      <c r="BG199" s="153"/>
      <c r="BH199" s="154" t="e">
        <f t="shared" si="43"/>
        <v>#DIV/0!</v>
      </c>
      <c r="BI199" s="154" t="e">
        <f t="shared" si="44"/>
        <v>#DIV/0!</v>
      </c>
      <c r="BJ199" s="415">
        <f t="shared" si="39"/>
        <v>70</v>
      </c>
      <c r="BK199" s="415">
        <f t="shared" si="40"/>
        <v>15</v>
      </c>
      <c r="BL199" s="415">
        <f t="shared" si="41"/>
        <v>15</v>
      </c>
      <c r="BM199" s="415">
        <f t="shared" si="42"/>
        <v>59.424</v>
      </c>
    </row>
    <row r="200" spans="1:65" s="129" customFormat="1" ht="18.75" outlineLevel="1">
      <c r="A200" s="141" t="s">
        <v>149</v>
      </c>
      <c r="B200" s="142" t="s">
        <v>624</v>
      </c>
      <c r="C200" s="190" t="s">
        <v>625</v>
      </c>
      <c r="D200" s="144">
        <v>0.4</v>
      </c>
      <c r="E200" s="145">
        <v>50</v>
      </c>
      <c r="F200" s="146">
        <v>20</v>
      </c>
      <c r="G200" s="146">
        <v>20</v>
      </c>
      <c r="H200" s="148">
        <v>13.645</v>
      </c>
      <c r="I200" s="149">
        <v>11.467</v>
      </c>
      <c r="J200" s="149">
        <v>6.8915</v>
      </c>
      <c r="K200" s="149">
        <v>0</v>
      </c>
      <c r="L200" s="149">
        <v>1.076</v>
      </c>
      <c r="M200" s="149">
        <v>0</v>
      </c>
      <c r="N200" s="149">
        <v>0</v>
      </c>
      <c r="O200" s="149">
        <v>0.514</v>
      </c>
      <c r="P200" s="149">
        <v>137.23</v>
      </c>
      <c r="Q200" s="149">
        <v>0</v>
      </c>
      <c r="R200" s="150" t="s">
        <v>119</v>
      </c>
      <c r="S200" s="151" t="s">
        <v>120</v>
      </c>
      <c r="T200" s="152"/>
      <c r="U200" s="153">
        <v>381</v>
      </c>
      <c r="V200" s="154">
        <f t="shared" si="1"/>
        <v>272.9</v>
      </c>
      <c r="W200" s="154">
        <f t="shared" si="2"/>
        <v>0.68225</v>
      </c>
      <c r="X200" s="155"/>
      <c r="Y200" s="146"/>
      <c r="Z200" s="146"/>
      <c r="AA200" s="148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56"/>
      <c r="AL200" s="156"/>
      <c r="AM200" s="156"/>
      <c r="AN200" s="153"/>
      <c r="AO200" s="154" t="e">
        <f t="shared" si="4"/>
        <v>#DIV/0!</v>
      </c>
      <c r="AP200" s="154" t="e">
        <f t="shared" si="5"/>
        <v>#DIV/0!</v>
      </c>
      <c r="AQ200" s="145"/>
      <c r="AR200" s="146"/>
      <c r="AS200" s="146"/>
      <c r="AT200" s="148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56"/>
      <c r="BE200" s="156"/>
      <c r="BF200" s="156"/>
      <c r="BG200" s="153"/>
      <c r="BH200" s="154" t="e">
        <f t="shared" si="43"/>
        <v>#DIV/0!</v>
      </c>
      <c r="BI200" s="154" t="e">
        <f t="shared" si="44"/>
        <v>#DIV/0!</v>
      </c>
      <c r="BJ200" s="415">
        <f t="shared" si="39"/>
        <v>50</v>
      </c>
      <c r="BK200" s="415">
        <f t="shared" si="40"/>
        <v>20</v>
      </c>
      <c r="BL200" s="415">
        <f t="shared" si="41"/>
        <v>20</v>
      </c>
      <c r="BM200" s="415">
        <f t="shared" si="42"/>
        <v>13.645</v>
      </c>
    </row>
    <row r="201" spans="1:65" s="129" customFormat="1" ht="18.75" outlineLevel="1">
      <c r="A201" s="141" t="s">
        <v>152</v>
      </c>
      <c r="B201" s="142" t="s">
        <v>626</v>
      </c>
      <c r="C201" s="180" t="s">
        <v>627</v>
      </c>
      <c r="D201" s="144">
        <v>0.4</v>
      </c>
      <c r="E201" s="145">
        <v>176</v>
      </c>
      <c r="F201" s="146">
        <v>15</v>
      </c>
      <c r="G201" s="146">
        <v>15</v>
      </c>
      <c r="H201" s="148">
        <v>149.83315</v>
      </c>
      <c r="I201" s="149">
        <v>110.46951</v>
      </c>
      <c r="J201" s="149">
        <v>24.15249</v>
      </c>
      <c r="K201" s="149">
        <f>15.8+31.6+23.7</f>
        <v>71.10000000000001</v>
      </c>
      <c r="L201" s="149">
        <v>20.44198</v>
      </c>
      <c r="M201" s="149">
        <v>0</v>
      </c>
      <c r="N201" s="149">
        <v>0</v>
      </c>
      <c r="O201" s="149">
        <v>8.32285</v>
      </c>
      <c r="P201" s="149">
        <v>137.23006</v>
      </c>
      <c r="Q201" s="149">
        <v>7.9</v>
      </c>
      <c r="R201" s="150" t="s">
        <v>119</v>
      </c>
      <c r="S201" s="151" t="s">
        <v>120</v>
      </c>
      <c r="T201" s="152"/>
      <c r="U201" s="153">
        <v>116</v>
      </c>
      <c r="V201" s="154">
        <f t="shared" si="1"/>
        <v>851.3247159090909</v>
      </c>
      <c r="W201" s="154">
        <f t="shared" si="2"/>
        <v>9.988876666666666</v>
      </c>
      <c r="X201" s="155"/>
      <c r="Y201" s="146"/>
      <c r="Z201" s="146"/>
      <c r="AA201" s="148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56"/>
      <c r="AL201" s="156"/>
      <c r="AM201" s="156"/>
      <c r="AN201" s="153"/>
      <c r="AO201" s="154" t="e">
        <f t="shared" si="4"/>
        <v>#DIV/0!</v>
      </c>
      <c r="AP201" s="154" t="e">
        <f t="shared" si="5"/>
        <v>#DIV/0!</v>
      </c>
      <c r="AQ201" s="145"/>
      <c r="AR201" s="146"/>
      <c r="AS201" s="146"/>
      <c r="AT201" s="148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56"/>
      <c r="BE201" s="156"/>
      <c r="BF201" s="156"/>
      <c r="BG201" s="153"/>
      <c r="BH201" s="154" t="e">
        <f t="shared" si="43"/>
        <v>#DIV/0!</v>
      </c>
      <c r="BI201" s="154" t="e">
        <f t="shared" si="44"/>
        <v>#DIV/0!</v>
      </c>
      <c r="BJ201" s="415">
        <f t="shared" si="39"/>
        <v>176</v>
      </c>
      <c r="BK201" s="415">
        <f t="shared" si="40"/>
        <v>15</v>
      </c>
      <c r="BL201" s="415">
        <f t="shared" si="41"/>
        <v>15</v>
      </c>
      <c r="BM201" s="415">
        <f t="shared" si="42"/>
        <v>149.83315</v>
      </c>
    </row>
    <row r="202" spans="1:65" s="129" customFormat="1" ht="18.75" outlineLevel="1">
      <c r="A202" s="141" t="s">
        <v>155</v>
      </c>
      <c r="B202" s="142" t="s">
        <v>628</v>
      </c>
      <c r="C202" s="180" t="s">
        <v>629</v>
      </c>
      <c r="D202" s="144">
        <v>0.4</v>
      </c>
      <c r="E202" s="145">
        <v>260</v>
      </c>
      <c r="F202" s="146">
        <v>15</v>
      </c>
      <c r="G202" s="146">
        <v>15</v>
      </c>
      <c r="H202" s="148">
        <v>212.77918</v>
      </c>
      <c r="I202" s="149">
        <v>156.108</v>
      </c>
      <c r="J202" s="149">
        <v>35.67981</v>
      </c>
      <c r="K202" s="149">
        <f>30.02012+45.03018+22.51509</f>
        <v>97.56539</v>
      </c>
      <c r="L202" s="149">
        <v>29.2984</v>
      </c>
      <c r="M202" s="149">
        <v>0</v>
      </c>
      <c r="N202" s="149">
        <v>0</v>
      </c>
      <c r="O202" s="149">
        <v>12.02886</v>
      </c>
      <c r="P202" s="149">
        <v>137.23005</v>
      </c>
      <c r="Q202" s="149">
        <v>7.50503</v>
      </c>
      <c r="R202" s="150" t="s">
        <v>119</v>
      </c>
      <c r="S202" s="151" t="s">
        <v>120</v>
      </c>
      <c r="T202" s="152"/>
      <c r="U202" s="153">
        <v>136</v>
      </c>
      <c r="V202" s="154">
        <f t="shared" si="1"/>
        <v>818.3814615384615</v>
      </c>
      <c r="W202" s="154">
        <f t="shared" si="2"/>
        <v>14.185278666666667</v>
      </c>
      <c r="X202" s="155"/>
      <c r="Y202" s="146"/>
      <c r="Z202" s="146"/>
      <c r="AA202" s="148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56"/>
      <c r="AL202" s="156"/>
      <c r="AM202" s="156"/>
      <c r="AN202" s="153"/>
      <c r="AO202" s="154" t="e">
        <f t="shared" si="4"/>
        <v>#DIV/0!</v>
      </c>
      <c r="AP202" s="154" t="e">
        <f t="shared" si="5"/>
        <v>#DIV/0!</v>
      </c>
      <c r="AQ202" s="145"/>
      <c r="AR202" s="146"/>
      <c r="AS202" s="146"/>
      <c r="AT202" s="148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56"/>
      <c r="BE202" s="156"/>
      <c r="BF202" s="156"/>
      <c r="BG202" s="153"/>
      <c r="BH202" s="154" t="e">
        <f t="shared" si="43"/>
        <v>#DIV/0!</v>
      </c>
      <c r="BI202" s="154" t="e">
        <f t="shared" si="44"/>
        <v>#DIV/0!</v>
      </c>
      <c r="BJ202" s="415">
        <f t="shared" si="39"/>
        <v>260</v>
      </c>
      <c r="BK202" s="415">
        <f t="shared" si="40"/>
        <v>15</v>
      </c>
      <c r="BL202" s="415">
        <f t="shared" si="41"/>
        <v>15</v>
      </c>
      <c r="BM202" s="415">
        <f t="shared" si="42"/>
        <v>212.77918</v>
      </c>
    </row>
    <row r="203" spans="1:65" s="129" customFormat="1" ht="18.75" outlineLevel="1">
      <c r="A203" s="141" t="s">
        <v>158</v>
      </c>
      <c r="B203" s="142" t="s">
        <v>630</v>
      </c>
      <c r="C203" s="180" t="s">
        <v>631</v>
      </c>
      <c r="D203" s="144">
        <v>0.4</v>
      </c>
      <c r="E203" s="145">
        <v>265</v>
      </c>
      <c r="F203" s="146">
        <v>15</v>
      </c>
      <c r="G203" s="146">
        <v>15</v>
      </c>
      <c r="H203" s="148">
        <v>107.55514</v>
      </c>
      <c r="I203" s="149">
        <v>82.23634</v>
      </c>
      <c r="J203" s="149">
        <v>36.36597</v>
      </c>
      <c r="K203" s="149">
        <f>15.5867+15.5867</f>
        <v>31.1734</v>
      </c>
      <c r="L203" s="149">
        <v>12.76055</v>
      </c>
      <c r="M203" s="149">
        <v>0</v>
      </c>
      <c r="N203" s="149">
        <v>0</v>
      </c>
      <c r="O203" s="149">
        <v>5.62327</v>
      </c>
      <c r="P203" s="149">
        <v>137.23006</v>
      </c>
      <c r="Q203" s="149">
        <v>7.79335</v>
      </c>
      <c r="R203" s="150" t="s">
        <v>119</v>
      </c>
      <c r="S203" s="151" t="s">
        <v>120</v>
      </c>
      <c r="T203" s="152"/>
      <c r="U203" s="153">
        <v>139</v>
      </c>
      <c r="V203" s="154">
        <f t="shared" si="1"/>
        <v>405.86845283018863</v>
      </c>
      <c r="W203" s="154">
        <f t="shared" si="2"/>
        <v>7.1703426666666665</v>
      </c>
      <c r="X203" s="155"/>
      <c r="Y203" s="146"/>
      <c r="Z203" s="146"/>
      <c r="AA203" s="148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56"/>
      <c r="AL203" s="156"/>
      <c r="AM203" s="156"/>
      <c r="AN203" s="153"/>
      <c r="AO203" s="154" t="e">
        <f t="shared" si="4"/>
        <v>#DIV/0!</v>
      </c>
      <c r="AP203" s="154" t="e">
        <f t="shared" si="5"/>
        <v>#DIV/0!</v>
      </c>
      <c r="AQ203" s="145"/>
      <c r="AR203" s="146"/>
      <c r="AS203" s="146"/>
      <c r="AT203" s="148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56"/>
      <c r="BE203" s="156"/>
      <c r="BF203" s="156"/>
      <c r="BG203" s="153"/>
      <c r="BH203" s="154" t="e">
        <f t="shared" si="43"/>
        <v>#DIV/0!</v>
      </c>
      <c r="BI203" s="154" t="e">
        <f t="shared" si="44"/>
        <v>#DIV/0!</v>
      </c>
      <c r="BJ203" s="415">
        <f t="shared" si="39"/>
        <v>265</v>
      </c>
      <c r="BK203" s="415">
        <f t="shared" si="40"/>
        <v>15</v>
      </c>
      <c r="BL203" s="415">
        <f t="shared" si="41"/>
        <v>15</v>
      </c>
      <c r="BM203" s="415">
        <f t="shared" si="42"/>
        <v>107.55514</v>
      </c>
    </row>
    <row r="204" spans="1:65" s="129" customFormat="1" ht="18.75" outlineLevel="1">
      <c r="A204" s="141" t="s">
        <v>161</v>
      </c>
      <c r="B204" s="142" t="s">
        <v>632</v>
      </c>
      <c r="C204" s="180" t="s">
        <v>633</v>
      </c>
      <c r="D204" s="144">
        <v>0.4</v>
      </c>
      <c r="E204" s="145">
        <f>403+388</f>
        <v>791</v>
      </c>
      <c r="F204" s="146">
        <v>15</v>
      </c>
      <c r="G204" s="146">
        <v>15</v>
      </c>
      <c r="H204" s="148">
        <v>474.48289</v>
      </c>
      <c r="I204" s="149">
        <v>346.92882</v>
      </c>
      <c r="J204" s="149">
        <f>55.30371+53.24526</f>
        <v>108.54897</v>
      </c>
      <c r="K204" s="149">
        <f>107.77368+46.18872+46.18872</f>
        <v>200.15112</v>
      </c>
      <c r="L204" s="149">
        <v>65.65264</v>
      </c>
      <c r="M204" s="149">
        <v>0</v>
      </c>
      <c r="N204" s="149">
        <v>0</v>
      </c>
      <c r="O204" s="149">
        <v>27.27973</v>
      </c>
      <c r="P204" s="149">
        <v>137.23005</v>
      </c>
      <c r="Q204" s="149">
        <v>7.69812</v>
      </c>
      <c r="R204" s="150" t="s">
        <v>119</v>
      </c>
      <c r="S204" s="151" t="s">
        <v>120</v>
      </c>
      <c r="T204" s="152"/>
      <c r="U204" s="153">
        <v>144</v>
      </c>
      <c r="V204" s="154">
        <f t="shared" si="1"/>
        <v>599.8519469026548</v>
      </c>
      <c r="W204" s="154">
        <f t="shared" si="2"/>
        <v>31.632192666666665</v>
      </c>
      <c r="X204" s="155"/>
      <c r="Y204" s="146"/>
      <c r="Z204" s="146"/>
      <c r="AA204" s="148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56"/>
      <c r="AL204" s="156"/>
      <c r="AM204" s="156"/>
      <c r="AN204" s="153"/>
      <c r="AO204" s="154" t="e">
        <f t="shared" si="4"/>
        <v>#DIV/0!</v>
      </c>
      <c r="AP204" s="154" t="e">
        <f t="shared" si="5"/>
        <v>#DIV/0!</v>
      </c>
      <c r="AQ204" s="145"/>
      <c r="AR204" s="146"/>
      <c r="AS204" s="146"/>
      <c r="AT204" s="148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56"/>
      <c r="BE204" s="156"/>
      <c r="BF204" s="156"/>
      <c r="BG204" s="153"/>
      <c r="BH204" s="154" t="e">
        <f t="shared" si="43"/>
        <v>#DIV/0!</v>
      </c>
      <c r="BI204" s="154" t="e">
        <f t="shared" si="44"/>
        <v>#DIV/0!</v>
      </c>
      <c r="BJ204" s="415">
        <f t="shared" si="39"/>
        <v>791</v>
      </c>
      <c r="BK204" s="415">
        <f t="shared" si="40"/>
        <v>15</v>
      </c>
      <c r="BL204" s="415">
        <f t="shared" si="41"/>
        <v>15</v>
      </c>
      <c r="BM204" s="415">
        <f t="shared" si="42"/>
        <v>474.48289</v>
      </c>
    </row>
    <row r="205" spans="1:65" s="129" customFormat="1" ht="18.75" outlineLevel="1">
      <c r="A205" s="141" t="s">
        <v>164</v>
      </c>
      <c r="B205" s="142" t="s">
        <v>634</v>
      </c>
      <c r="C205" s="180" t="s">
        <v>635</v>
      </c>
      <c r="D205" s="144">
        <v>0.4</v>
      </c>
      <c r="E205" s="145">
        <v>750</v>
      </c>
      <c r="F205" s="146">
        <v>15</v>
      </c>
      <c r="G205" s="146">
        <v>15</v>
      </c>
      <c r="H205" s="148">
        <v>331.7661</v>
      </c>
      <c r="I205" s="149">
        <v>180.56525</v>
      </c>
      <c r="J205" s="149">
        <v>102.92254</v>
      </c>
      <c r="K205" s="149">
        <f>8.85593+31.27688</f>
        <v>40.13281</v>
      </c>
      <c r="L205" s="149">
        <v>25.30505</v>
      </c>
      <c r="M205" s="149">
        <v>0</v>
      </c>
      <c r="N205" s="149">
        <v>0</v>
      </c>
      <c r="O205" s="149">
        <v>11.51443</v>
      </c>
      <c r="P205" s="149">
        <v>137.23005</v>
      </c>
      <c r="Q205" s="149">
        <v>7.81922</v>
      </c>
      <c r="R205" s="150" t="s">
        <v>119</v>
      </c>
      <c r="S205" s="151" t="s">
        <v>120</v>
      </c>
      <c r="T205" s="152"/>
      <c r="U205" s="153">
        <v>153</v>
      </c>
      <c r="V205" s="154">
        <f t="shared" si="1"/>
        <v>442.3548</v>
      </c>
      <c r="W205" s="154">
        <f t="shared" si="2"/>
        <v>22.11774</v>
      </c>
      <c r="X205" s="155"/>
      <c r="Y205" s="146"/>
      <c r="Z205" s="146"/>
      <c r="AA205" s="148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56"/>
      <c r="AL205" s="156"/>
      <c r="AM205" s="156"/>
      <c r="AN205" s="153"/>
      <c r="AO205" s="154" t="e">
        <f t="shared" si="4"/>
        <v>#DIV/0!</v>
      </c>
      <c r="AP205" s="154" t="e">
        <f t="shared" si="5"/>
        <v>#DIV/0!</v>
      </c>
      <c r="AQ205" s="145"/>
      <c r="AR205" s="146"/>
      <c r="AS205" s="146"/>
      <c r="AT205" s="148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56"/>
      <c r="BE205" s="156"/>
      <c r="BF205" s="156"/>
      <c r="BG205" s="153"/>
      <c r="BH205" s="154" t="e">
        <f t="shared" si="43"/>
        <v>#DIV/0!</v>
      </c>
      <c r="BI205" s="154" t="e">
        <f t="shared" si="44"/>
        <v>#DIV/0!</v>
      </c>
      <c r="BJ205" s="415">
        <f t="shared" si="39"/>
        <v>750</v>
      </c>
      <c r="BK205" s="415">
        <f t="shared" si="40"/>
        <v>15</v>
      </c>
      <c r="BL205" s="415">
        <f t="shared" si="41"/>
        <v>15</v>
      </c>
      <c r="BM205" s="415">
        <f t="shared" si="42"/>
        <v>331.7661</v>
      </c>
    </row>
    <row r="206" spans="1:65" s="129" customFormat="1" ht="18.75" outlineLevel="1">
      <c r="A206" s="141" t="s">
        <v>167</v>
      </c>
      <c r="B206" s="142" t="s">
        <v>636</v>
      </c>
      <c r="C206" s="180" t="s">
        <v>637</v>
      </c>
      <c r="D206" s="144">
        <v>0.4</v>
      </c>
      <c r="E206" s="145">
        <v>140</v>
      </c>
      <c r="F206" s="146">
        <v>15</v>
      </c>
      <c r="G206" s="146">
        <v>15</v>
      </c>
      <c r="H206" s="148">
        <v>113.48232</v>
      </c>
      <c r="I206" s="149">
        <v>87.16813</v>
      </c>
      <c r="J206" s="149">
        <v>19.21221</v>
      </c>
      <c r="K206" s="149">
        <f>35.31548+17.65774</f>
        <v>52.97322</v>
      </c>
      <c r="L206" s="149">
        <v>13.37198</v>
      </c>
      <c r="M206" s="149">
        <v>0</v>
      </c>
      <c r="N206" s="149">
        <v>0</v>
      </c>
      <c r="O206" s="149">
        <v>5.67418</v>
      </c>
      <c r="P206" s="149">
        <v>137.23007</v>
      </c>
      <c r="Q206" s="149">
        <v>8.82887</v>
      </c>
      <c r="R206" s="150" t="s">
        <v>119</v>
      </c>
      <c r="S206" s="151" t="s">
        <v>120</v>
      </c>
      <c r="T206" s="152"/>
      <c r="U206" s="153">
        <v>157</v>
      </c>
      <c r="V206" s="154">
        <f t="shared" si="1"/>
        <v>810.588</v>
      </c>
      <c r="W206" s="154">
        <f t="shared" si="2"/>
        <v>7.565488</v>
      </c>
      <c r="X206" s="155"/>
      <c r="Y206" s="146"/>
      <c r="Z206" s="146"/>
      <c r="AA206" s="148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56"/>
      <c r="AL206" s="156"/>
      <c r="AM206" s="156"/>
      <c r="AN206" s="153"/>
      <c r="AO206" s="154" t="e">
        <f t="shared" si="4"/>
        <v>#DIV/0!</v>
      </c>
      <c r="AP206" s="154" t="e">
        <f t="shared" si="5"/>
        <v>#DIV/0!</v>
      </c>
      <c r="AQ206" s="145"/>
      <c r="AR206" s="146"/>
      <c r="AS206" s="146"/>
      <c r="AT206" s="148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56"/>
      <c r="BE206" s="156"/>
      <c r="BF206" s="156"/>
      <c r="BG206" s="153"/>
      <c r="BH206" s="154" t="e">
        <f t="shared" si="43"/>
        <v>#DIV/0!</v>
      </c>
      <c r="BI206" s="154" t="e">
        <f t="shared" si="44"/>
        <v>#DIV/0!</v>
      </c>
      <c r="BJ206" s="415">
        <f t="shared" si="39"/>
        <v>140</v>
      </c>
      <c r="BK206" s="415">
        <f t="shared" si="40"/>
        <v>15</v>
      </c>
      <c r="BL206" s="415">
        <f t="shared" si="41"/>
        <v>15</v>
      </c>
      <c r="BM206" s="415">
        <f t="shared" si="42"/>
        <v>113.48232</v>
      </c>
    </row>
    <row r="207" spans="1:65" s="129" customFormat="1" ht="18.75" outlineLevel="1">
      <c r="A207" s="141" t="s">
        <v>170</v>
      </c>
      <c r="B207" s="142" t="s">
        <v>638</v>
      </c>
      <c r="C207" s="180" t="s">
        <v>639</v>
      </c>
      <c r="D207" s="144">
        <v>0.4</v>
      </c>
      <c r="E207" s="145">
        <v>246</v>
      </c>
      <c r="F207" s="146">
        <v>15</v>
      </c>
      <c r="G207" s="146">
        <v>15</v>
      </c>
      <c r="H207" s="148">
        <v>116.47063</v>
      </c>
      <c r="I207" s="149">
        <v>84.85026</v>
      </c>
      <c r="J207" s="149">
        <v>33.75859</v>
      </c>
      <c r="K207" s="149">
        <f>8.68541+34.74164</f>
        <v>43.427049999999994</v>
      </c>
      <c r="L207" s="149">
        <v>16.6066</v>
      </c>
      <c r="M207" s="149">
        <v>0</v>
      </c>
      <c r="N207" s="149">
        <v>0</v>
      </c>
      <c r="O207" s="149">
        <v>6.74149</v>
      </c>
      <c r="P207" s="149">
        <v>137.23004</v>
      </c>
      <c r="Q207" s="149">
        <v>8.68541</v>
      </c>
      <c r="R207" s="150" t="s">
        <v>119</v>
      </c>
      <c r="S207" s="151" t="s">
        <v>120</v>
      </c>
      <c r="T207" s="152"/>
      <c r="U207" s="153">
        <v>250</v>
      </c>
      <c r="V207" s="154">
        <f t="shared" si="1"/>
        <v>473.45784552845527</v>
      </c>
      <c r="W207" s="154">
        <f t="shared" si="2"/>
        <v>7.7647086666666665</v>
      </c>
      <c r="X207" s="155"/>
      <c r="Y207" s="146"/>
      <c r="Z207" s="146"/>
      <c r="AA207" s="148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56"/>
      <c r="AL207" s="156"/>
      <c r="AM207" s="156"/>
      <c r="AN207" s="153"/>
      <c r="AO207" s="154" t="e">
        <f t="shared" si="4"/>
        <v>#DIV/0!</v>
      </c>
      <c r="AP207" s="154" t="e">
        <f t="shared" si="5"/>
        <v>#DIV/0!</v>
      </c>
      <c r="AQ207" s="145"/>
      <c r="AR207" s="146"/>
      <c r="AS207" s="146"/>
      <c r="AT207" s="148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56"/>
      <c r="BE207" s="156"/>
      <c r="BF207" s="156"/>
      <c r="BG207" s="153"/>
      <c r="BH207" s="154" t="e">
        <f t="shared" si="43"/>
        <v>#DIV/0!</v>
      </c>
      <c r="BI207" s="154" t="e">
        <f t="shared" si="44"/>
        <v>#DIV/0!</v>
      </c>
      <c r="BJ207" s="415">
        <f t="shared" si="39"/>
        <v>246</v>
      </c>
      <c r="BK207" s="415">
        <f t="shared" si="40"/>
        <v>15</v>
      </c>
      <c r="BL207" s="415">
        <f t="shared" si="41"/>
        <v>15</v>
      </c>
      <c r="BM207" s="415">
        <f t="shared" si="42"/>
        <v>116.47063</v>
      </c>
    </row>
    <row r="208" spans="1:65" s="129" customFormat="1" ht="18.75" outlineLevel="1">
      <c r="A208" s="141" t="s">
        <v>173</v>
      </c>
      <c r="B208" s="176" t="s">
        <v>341</v>
      </c>
      <c r="C208" s="80" t="s">
        <v>342</v>
      </c>
      <c r="D208" s="144">
        <v>0.4</v>
      </c>
      <c r="E208" s="161"/>
      <c r="F208" s="161"/>
      <c r="G208" s="161"/>
      <c r="H208" s="162"/>
      <c r="I208" s="149"/>
      <c r="J208" s="149"/>
      <c r="K208" s="149"/>
      <c r="L208" s="149"/>
      <c r="M208" s="149"/>
      <c r="N208" s="149"/>
      <c r="O208" s="149"/>
      <c r="P208" s="149"/>
      <c r="Q208" s="149"/>
      <c r="R208" s="156"/>
      <c r="S208" s="156"/>
      <c r="T208" s="152"/>
      <c r="U208" s="153"/>
      <c r="V208" s="154" t="e">
        <f t="shared" si="1"/>
        <v>#DIV/0!</v>
      </c>
      <c r="W208" s="154" t="e">
        <f t="shared" si="2"/>
        <v>#DIV/0!</v>
      </c>
      <c r="X208" s="163">
        <v>290</v>
      </c>
      <c r="Y208" s="161">
        <v>112</v>
      </c>
      <c r="Z208" s="161">
        <v>112</v>
      </c>
      <c r="AA208" s="162">
        <v>162.831</v>
      </c>
      <c r="AB208" s="149">
        <v>130.265</v>
      </c>
      <c r="AC208" s="149">
        <v>39.7967</v>
      </c>
      <c r="AD208" s="149">
        <v>0</v>
      </c>
      <c r="AE208" s="149">
        <v>0</v>
      </c>
      <c r="AF208" s="149">
        <v>0</v>
      </c>
      <c r="AG208" s="149">
        <v>0</v>
      </c>
      <c r="AH208" s="149">
        <v>3.178</v>
      </c>
      <c r="AI208" s="199">
        <v>137.23</v>
      </c>
      <c r="AJ208" s="149">
        <v>8.90738</v>
      </c>
      <c r="AK208" s="150" t="s">
        <v>119</v>
      </c>
      <c r="AL208" s="151" t="s">
        <v>120</v>
      </c>
      <c r="AM208" s="156"/>
      <c r="AN208" s="153">
        <v>193</v>
      </c>
      <c r="AO208" s="154">
        <f t="shared" si="4"/>
        <v>561.4862068965517</v>
      </c>
      <c r="AP208" s="154">
        <f t="shared" si="5"/>
        <v>1.453848214285714</v>
      </c>
      <c r="AQ208" s="161"/>
      <c r="AR208" s="161"/>
      <c r="AS208" s="161"/>
      <c r="AT208" s="162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56"/>
      <c r="BE208" s="156"/>
      <c r="BF208" s="156"/>
      <c r="BG208" s="153"/>
      <c r="BH208" s="154" t="e">
        <f t="shared" si="43"/>
        <v>#DIV/0!</v>
      </c>
      <c r="BI208" s="154" t="e">
        <f t="shared" si="44"/>
        <v>#DIV/0!</v>
      </c>
      <c r="BJ208" s="415">
        <f t="shared" si="39"/>
        <v>290</v>
      </c>
      <c r="BK208" s="415">
        <f t="shared" si="40"/>
        <v>112</v>
      </c>
      <c r="BL208" s="415">
        <f t="shared" si="41"/>
        <v>112</v>
      </c>
      <c r="BM208" s="415">
        <f t="shared" si="42"/>
        <v>162.831</v>
      </c>
    </row>
    <row r="209" spans="1:65" s="129" customFormat="1" ht="18.75" outlineLevel="1">
      <c r="A209" s="141" t="s">
        <v>176</v>
      </c>
      <c r="B209" s="173" t="s">
        <v>640</v>
      </c>
      <c r="C209" s="190" t="s">
        <v>641</v>
      </c>
      <c r="D209" s="144">
        <v>0.4</v>
      </c>
      <c r="E209" s="161"/>
      <c r="F209" s="161"/>
      <c r="G209" s="161"/>
      <c r="H209" s="162"/>
      <c r="I209" s="149"/>
      <c r="J209" s="149"/>
      <c r="K209" s="149"/>
      <c r="L209" s="149"/>
      <c r="M209" s="149"/>
      <c r="N209" s="149"/>
      <c r="O209" s="149"/>
      <c r="P209" s="149"/>
      <c r="Q209" s="149"/>
      <c r="R209" s="156"/>
      <c r="S209" s="156"/>
      <c r="T209" s="152"/>
      <c r="U209" s="153"/>
      <c r="V209" s="154" t="e">
        <f t="shared" si="1"/>
        <v>#DIV/0!</v>
      </c>
      <c r="W209" s="154" t="e">
        <f t="shared" si="2"/>
        <v>#DIV/0!</v>
      </c>
      <c r="X209" s="163">
        <v>480</v>
      </c>
      <c r="Y209" s="161">
        <v>15</v>
      </c>
      <c r="Z209" s="161">
        <v>15</v>
      </c>
      <c r="AA209" s="162">
        <v>202.80642</v>
      </c>
      <c r="AB209" s="149">
        <v>160.37201</v>
      </c>
      <c r="AC209" s="149">
        <v>76.1328</v>
      </c>
      <c r="AD209" s="149">
        <f>29.86272+19.90848</f>
        <v>49.7712</v>
      </c>
      <c r="AE209" s="149">
        <v>20.22366</v>
      </c>
      <c r="AF209" s="149">
        <v>0</v>
      </c>
      <c r="AG209" s="149">
        <v>0</v>
      </c>
      <c r="AH209" s="149">
        <v>9.93921</v>
      </c>
      <c r="AI209" s="149">
        <v>158.61</v>
      </c>
      <c r="AJ209" s="149">
        <v>9.95424</v>
      </c>
      <c r="AK209" s="150" t="s">
        <v>119</v>
      </c>
      <c r="AL209" s="151" t="s">
        <v>120</v>
      </c>
      <c r="AM209" s="156"/>
      <c r="AN209" s="153">
        <v>93</v>
      </c>
      <c r="AO209" s="154">
        <f t="shared" si="4"/>
        <v>422.513375</v>
      </c>
      <c r="AP209" s="154">
        <f t="shared" si="5"/>
        <v>13.520428</v>
      </c>
      <c r="AQ209" s="161"/>
      <c r="AR209" s="161"/>
      <c r="AS209" s="161"/>
      <c r="AT209" s="162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56"/>
      <c r="BE209" s="156"/>
      <c r="BF209" s="156"/>
      <c r="BG209" s="153"/>
      <c r="BH209" s="154" t="e">
        <f t="shared" si="43"/>
        <v>#DIV/0!</v>
      </c>
      <c r="BI209" s="154" t="e">
        <f t="shared" si="44"/>
        <v>#DIV/0!</v>
      </c>
      <c r="BJ209" s="415">
        <f t="shared" si="39"/>
        <v>480</v>
      </c>
      <c r="BK209" s="415">
        <f t="shared" si="40"/>
        <v>15</v>
      </c>
      <c r="BL209" s="415">
        <f t="shared" si="41"/>
        <v>15</v>
      </c>
      <c r="BM209" s="415">
        <f t="shared" si="42"/>
        <v>202.80642</v>
      </c>
    </row>
    <row r="210" spans="1:65" s="129" customFormat="1" ht="18.75" outlineLevel="1">
      <c r="A210" s="141" t="s">
        <v>179</v>
      </c>
      <c r="B210" s="176" t="s">
        <v>347</v>
      </c>
      <c r="C210" s="190" t="s">
        <v>348</v>
      </c>
      <c r="D210" s="144">
        <v>0.4</v>
      </c>
      <c r="E210" s="161"/>
      <c r="F210" s="161"/>
      <c r="G210" s="161"/>
      <c r="H210" s="162"/>
      <c r="I210" s="149"/>
      <c r="J210" s="149"/>
      <c r="K210" s="149"/>
      <c r="L210" s="149"/>
      <c r="M210" s="149"/>
      <c r="N210" s="149"/>
      <c r="O210" s="149"/>
      <c r="P210" s="149"/>
      <c r="Q210" s="149"/>
      <c r="R210" s="156"/>
      <c r="S210" s="156"/>
      <c r="T210" s="152"/>
      <c r="U210" s="153"/>
      <c r="V210" s="154" t="e">
        <f t="shared" si="1"/>
        <v>#DIV/0!</v>
      </c>
      <c r="W210" s="154" t="e">
        <f t="shared" si="2"/>
        <v>#DIV/0!</v>
      </c>
      <c r="X210" s="163">
        <v>350</v>
      </c>
      <c r="Y210" s="161">
        <v>15</v>
      </c>
      <c r="Z210" s="161">
        <v>15</v>
      </c>
      <c r="AA210" s="162">
        <v>336.3712</v>
      </c>
      <c r="AB210" s="149">
        <v>243.276</v>
      </c>
      <c r="AC210" s="149">
        <v>55.5135</v>
      </c>
      <c r="AD210" s="149">
        <f>149.33248+18.66656</f>
        <v>167.99904</v>
      </c>
      <c r="AE210" s="149">
        <v>41.233</v>
      </c>
      <c r="AF210" s="149">
        <v>0</v>
      </c>
      <c r="AG210" s="149">
        <v>0</v>
      </c>
      <c r="AH210" s="149">
        <v>18.886</v>
      </c>
      <c r="AI210" s="149">
        <v>158.61</v>
      </c>
      <c r="AJ210" s="149">
        <v>9.33328</v>
      </c>
      <c r="AK210" s="150" t="s">
        <v>119</v>
      </c>
      <c r="AL210" s="151" t="s">
        <v>120</v>
      </c>
      <c r="AM210" s="156"/>
      <c r="AN210" s="153">
        <v>128</v>
      </c>
      <c r="AO210" s="154">
        <f t="shared" si="4"/>
        <v>961.0605714285714</v>
      </c>
      <c r="AP210" s="154">
        <f t="shared" si="5"/>
        <v>22.424746666666667</v>
      </c>
      <c r="AQ210" s="161"/>
      <c r="AR210" s="161"/>
      <c r="AS210" s="161"/>
      <c r="AT210" s="162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56"/>
      <c r="BE210" s="156"/>
      <c r="BF210" s="156"/>
      <c r="BG210" s="153"/>
      <c r="BH210" s="154" t="e">
        <f t="shared" si="43"/>
        <v>#DIV/0!</v>
      </c>
      <c r="BI210" s="154" t="e">
        <f t="shared" si="44"/>
        <v>#DIV/0!</v>
      </c>
      <c r="BJ210" s="415">
        <f t="shared" si="39"/>
        <v>350</v>
      </c>
      <c r="BK210" s="415">
        <f t="shared" si="40"/>
        <v>15</v>
      </c>
      <c r="BL210" s="415">
        <f t="shared" si="41"/>
        <v>15</v>
      </c>
      <c r="BM210" s="415">
        <f t="shared" si="42"/>
        <v>336.3712</v>
      </c>
    </row>
    <row r="211" spans="1:65" s="129" customFormat="1" ht="18.75" outlineLevel="1">
      <c r="A211" s="141" t="s">
        <v>182</v>
      </c>
      <c r="B211" s="173" t="s">
        <v>642</v>
      </c>
      <c r="C211" s="190" t="s">
        <v>643</v>
      </c>
      <c r="D211" s="144">
        <v>0.4</v>
      </c>
      <c r="E211" s="161"/>
      <c r="F211" s="161"/>
      <c r="G211" s="161"/>
      <c r="H211" s="162"/>
      <c r="I211" s="149"/>
      <c r="J211" s="149"/>
      <c r="K211" s="149"/>
      <c r="L211" s="149"/>
      <c r="M211" s="149"/>
      <c r="N211" s="149"/>
      <c r="O211" s="149"/>
      <c r="P211" s="149"/>
      <c r="Q211" s="149"/>
      <c r="R211" s="156"/>
      <c r="S211" s="156"/>
      <c r="T211" s="152"/>
      <c r="U211" s="153"/>
      <c r="V211" s="154" t="e">
        <f t="shared" si="1"/>
        <v>#DIV/0!</v>
      </c>
      <c r="W211" s="154" t="e">
        <f t="shared" si="2"/>
        <v>#DIV/0!</v>
      </c>
      <c r="X211" s="163">
        <v>450</v>
      </c>
      <c r="Y211" s="161">
        <v>80</v>
      </c>
      <c r="Z211" s="161">
        <v>80</v>
      </c>
      <c r="AA211" s="162">
        <v>161.57482</v>
      </c>
      <c r="AB211" s="149">
        <v>128.21873</v>
      </c>
      <c r="AC211" s="149">
        <v>71.3745</v>
      </c>
      <c r="AD211" s="149">
        <v>27.99984</v>
      </c>
      <c r="AE211" s="149">
        <v>15.82043</v>
      </c>
      <c r="AF211" s="149">
        <v>0</v>
      </c>
      <c r="AG211" s="149">
        <v>0</v>
      </c>
      <c r="AH211" s="149">
        <v>7.90247</v>
      </c>
      <c r="AI211" s="149">
        <v>158.61</v>
      </c>
      <c r="AJ211" s="149">
        <v>9.33328</v>
      </c>
      <c r="AK211" s="150" t="s">
        <v>119</v>
      </c>
      <c r="AL211" s="151" t="s">
        <v>120</v>
      </c>
      <c r="AM211" s="156"/>
      <c r="AN211" s="153">
        <v>156</v>
      </c>
      <c r="AO211" s="154">
        <f t="shared" si="4"/>
        <v>359.05515555555553</v>
      </c>
      <c r="AP211" s="154">
        <f t="shared" si="5"/>
        <v>2.0196852499999998</v>
      </c>
      <c r="AQ211" s="161"/>
      <c r="AR211" s="161"/>
      <c r="AS211" s="161"/>
      <c r="AT211" s="162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56"/>
      <c r="BE211" s="156"/>
      <c r="BF211" s="156"/>
      <c r="BG211" s="153"/>
      <c r="BH211" s="154" t="e">
        <f t="shared" si="43"/>
        <v>#DIV/0!</v>
      </c>
      <c r="BI211" s="154" t="e">
        <f t="shared" si="44"/>
        <v>#DIV/0!</v>
      </c>
      <c r="BJ211" s="415">
        <f t="shared" si="39"/>
        <v>450</v>
      </c>
      <c r="BK211" s="415">
        <f t="shared" si="40"/>
        <v>80</v>
      </c>
      <c r="BL211" s="415">
        <f t="shared" si="41"/>
        <v>80</v>
      </c>
      <c r="BM211" s="415">
        <f t="shared" si="42"/>
        <v>161.57482</v>
      </c>
    </row>
    <row r="212" spans="1:65" s="129" customFormat="1" ht="18.75" outlineLevel="1">
      <c r="A212" s="141" t="s">
        <v>185</v>
      </c>
      <c r="B212" s="173" t="s">
        <v>644</v>
      </c>
      <c r="C212" s="190" t="s">
        <v>645</v>
      </c>
      <c r="D212" s="144">
        <v>0.4</v>
      </c>
      <c r="E212" s="161"/>
      <c r="F212" s="161"/>
      <c r="G212" s="161"/>
      <c r="H212" s="189"/>
      <c r="I212" s="172"/>
      <c r="J212" s="149"/>
      <c r="K212" s="149"/>
      <c r="L212" s="172"/>
      <c r="M212" s="149"/>
      <c r="N212" s="149"/>
      <c r="O212" s="172"/>
      <c r="P212" s="149"/>
      <c r="Q212" s="149"/>
      <c r="R212" s="156"/>
      <c r="S212" s="156"/>
      <c r="T212" s="152"/>
      <c r="U212" s="153"/>
      <c r="V212" s="154" t="e">
        <f t="shared" si="1"/>
        <v>#DIV/0!</v>
      </c>
      <c r="W212" s="154" t="e">
        <f t="shared" si="2"/>
        <v>#DIV/0!</v>
      </c>
      <c r="X212" s="163">
        <v>300</v>
      </c>
      <c r="Y212" s="161">
        <v>15</v>
      </c>
      <c r="Z212" s="161">
        <v>15</v>
      </c>
      <c r="AA212" s="189">
        <f>178.66736+88.25541</f>
        <v>266.92277</v>
      </c>
      <c r="AB212" s="172">
        <f>133.77471+73.55315</f>
        <v>207.32786</v>
      </c>
      <c r="AC212" s="149">
        <v>47.583</v>
      </c>
      <c r="AD212" s="149">
        <f>59.72544+59.72544</f>
        <v>119.45088</v>
      </c>
      <c r="AE212" s="172">
        <f>22.02585+6.80672</f>
        <v>28.832569999999997</v>
      </c>
      <c r="AF212" s="149">
        <v>0</v>
      </c>
      <c r="AG212" s="149">
        <v>0</v>
      </c>
      <c r="AH212" s="172">
        <f>9.70025+3.64861</f>
        <v>13.34886</v>
      </c>
      <c r="AI212" s="149">
        <v>158.61</v>
      </c>
      <c r="AJ212" s="149">
        <v>9.95424</v>
      </c>
      <c r="AK212" s="150" t="s">
        <v>119</v>
      </c>
      <c r="AL212" s="151" t="s">
        <v>120</v>
      </c>
      <c r="AM212" s="156"/>
      <c r="AN212" s="153">
        <v>218</v>
      </c>
      <c r="AO212" s="154">
        <f t="shared" si="4"/>
        <v>889.7425666666668</v>
      </c>
      <c r="AP212" s="154">
        <f t="shared" si="5"/>
        <v>17.794851333333334</v>
      </c>
      <c r="AQ212" s="161"/>
      <c r="AR212" s="161"/>
      <c r="AS212" s="161"/>
      <c r="AT212" s="189"/>
      <c r="AU212" s="172"/>
      <c r="AV212" s="149"/>
      <c r="AW212" s="149"/>
      <c r="AX212" s="172"/>
      <c r="AY212" s="149"/>
      <c r="AZ212" s="149"/>
      <c r="BA212" s="172"/>
      <c r="BB212" s="149"/>
      <c r="BC212" s="149"/>
      <c r="BD212" s="156"/>
      <c r="BE212" s="156"/>
      <c r="BF212" s="156"/>
      <c r="BG212" s="153"/>
      <c r="BH212" s="154" t="e">
        <f t="shared" si="43"/>
        <v>#DIV/0!</v>
      </c>
      <c r="BI212" s="154" t="e">
        <f t="shared" si="44"/>
        <v>#DIV/0!</v>
      </c>
      <c r="BJ212" s="415">
        <f t="shared" si="39"/>
        <v>300</v>
      </c>
      <c r="BK212" s="415">
        <f t="shared" si="40"/>
        <v>15</v>
      </c>
      <c r="BL212" s="415">
        <f t="shared" si="41"/>
        <v>15</v>
      </c>
      <c r="BM212" s="415">
        <f t="shared" si="42"/>
        <v>266.92277</v>
      </c>
    </row>
    <row r="213" spans="1:65" s="129" customFormat="1" ht="18.75" outlineLevel="1">
      <c r="A213" s="141" t="s">
        <v>188</v>
      </c>
      <c r="B213" s="173" t="s">
        <v>646</v>
      </c>
      <c r="C213" s="190" t="s">
        <v>647</v>
      </c>
      <c r="D213" s="144">
        <v>0.4</v>
      </c>
      <c r="E213" s="161"/>
      <c r="F213" s="161"/>
      <c r="G213" s="161"/>
      <c r="H213" s="162"/>
      <c r="I213" s="149"/>
      <c r="J213" s="149"/>
      <c r="K213" s="149"/>
      <c r="L213" s="149"/>
      <c r="M213" s="149"/>
      <c r="N213" s="149"/>
      <c r="O213" s="149"/>
      <c r="P213" s="149"/>
      <c r="Q213" s="149"/>
      <c r="R213" s="156"/>
      <c r="S213" s="156"/>
      <c r="T213" s="152"/>
      <c r="U213" s="153"/>
      <c r="V213" s="154" t="e">
        <f t="shared" si="1"/>
        <v>#DIV/0!</v>
      </c>
      <c r="W213" s="154" t="e">
        <f t="shared" si="2"/>
        <v>#DIV/0!</v>
      </c>
      <c r="X213" s="163">
        <v>110</v>
      </c>
      <c r="Y213" s="161">
        <v>60</v>
      </c>
      <c r="Z213" s="161">
        <v>60</v>
      </c>
      <c r="AA213" s="162">
        <v>94.43529</v>
      </c>
      <c r="AB213" s="149">
        <v>69.94578</v>
      </c>
      <c r="AC213" s="149">
        <v>17.4471</v>
      </c>
      <c r="AD213" s="149">
        <v>27.99984</v>
      </c>
      <c r="AE213" s="149">
        <v>12.01658</v>
      </c>
      <c r="AF213" s="149">
        <v>0</v>
      </c>
      <c r="AG213" s="149">
        <v>0</v>
      </c>
      <c r="AH213" s="149">
        <v>5.43927</v>
      </c>
      <c r="AI213" s="149">
        <v>158.61</v>
      </c>
      <c r="AJ213" s="149">
        <v>9.3328</v>
      </c>
      <c r="AK213" s="150" t="s">
        <v>119</v>
      </c>
      <c r="AL213" s="151" t="s">
        <v>120</v>
      </c>
      <c r="AM213" s="156"/>
      <c r="AN213" s="153">
        <v>226</v>
      </c>
      <c r="AO213" s="154">
        <f t="shared" si="4"/>
        <v>858.5026363636364</v>
      </c>
      <c r="AP213" s="154">
        <f t="shared" si="5"/>
        <v>1.5739215</v>
      </c>
      <c r="AQ213" s="161"/>
      <c r="AR213" s="161"/>
      <c r="AS213" s="161"/>
      <c r="AT213" s="162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56"/>
      <c r="BE213" s="156"/>
      <c r="BF213" s="156"/>
      <c r="BG213" s="153"/>
      <c r="BH213" s="154" t="e">
        <f t="shared" si="43"/>
        <v>#DIV/0!</v>
      </c>
      <c r="BI213" s="154" t="e">
        <f t="shared" si="44"/>
        <v>#DIV/0!</v>
      </c>
      <c r="BJ213" s="415">
        <f t="shared" si="39"/>
        <v>110</v>
      </c>
      <c r="BK213" s="415">
        <f t="shared" si="40"/>
        <v>60</v>
      </c>
      <c r="BL213" s="415">
        <f t="shared" si="41"/>
        <v>60</v>
      </c>
      <c r="BM213" s="415">
        <f t="shared" si="42"/>
        <v>94.43529</v>
      </c>
    </row>
    <row r="214" spans="1:65" s="129" customFormat="1" ht="18.75" outlineLevel="1">
      <c r="A214" s="141" t="s">
        <v>191</v>
      </c>
      <c r="B214" s="173" t="s">
        <v>648</v>
      </c>
      <c r="C214" s="190" t="s">
        <v>649</v>
      </c>
      <c r="D214" s="144">
        <v>0.4</v>
      </c>
      <c r="E214" s="161"/>
      <c r="F214" s="161"/>
      <c r="G214" s="161"/>
      <c r="H214" s="162"/>
      <c r="I214" s="149"/>
      <c r="J214" s="149"/>
      <c r="K214" s="149"/>
      <c r="L214" s="149"/>
      <c r="M214" s="149"/>
      <c r="N214" s="149"/>
      <c r="O214" s="149"/>
      <c r="P214" s="149"/>
      <c r="Q214" s="149"/>
      <c r="R214" s="156"/>
      <c r="S214" s="156"/>
      <c r="T214" s="152"/>
      <c r="U214" s="153"/>
      <c r="V214" s="154" t="e">
        <f t="shared" si="1"/>
        <v>#DIV/0!</v>
      </c>
      <c r="W214" s="154" t="e">
        <f t="shared" si="2"/>
        <v>#DIV/0!</v>
      </c>
      <c r="X214" s="163">
        <v>200</v>
      </c>
      <c r="Y214" s="161">
        <v>15</v>
      </c>
      <c r="Z214" s="161">
        <v>15</v>
      </c>
      <c r="AA214" s="162">
        <v>113.71048</v>
      </c>
      <c r="AB214" s="149">
        <v>88.50207</v>
      </c>
      <c r="AC214" s="149">
        <v>31.722</v>
      </c>
      <c r="AD214" s="149">
        <f>18.66658+18.66658</f>
        <v>37.33316</v>
      </c>
      <c r="AE214" s="149">
        <v>12.26428</v>
      </c>
      <c r="AF214" s="149">
        <v>0</v>
      </c>
      <c r="AG214" s="149">
        <v>0</v>
      </c>
      <c r="AH214" s="149">
        <v>5.72399</v>
      </c>
      <c r="AI214" s="149">
        <v>158.61</v>
      </c>
      <c r="AJ214" s="149">
        <v>9.33329</v>
      </c>
      <c r="AK214" s="150" t="s">
        <v>119</v>
      </c>
      <c r="AL214" s="151" t="s">
        <v>120</v>
      </c>
      <c r="AM214" s="156"/>
      <c r="AN214" s="153">
        <v>261</v>
      </c>
      <c r="AO214" s="154">
        <f t="shared" si="4"/>
        <v>568.5524</v>
      </c>
      <c r="AP214" s="154">
        <f t="shared" si="5"/>
        <v>7.580698666666667</v>
      </c>
      <c r="AQ214" s="161"/>
      <c r="AR214" s="161"/>
      <c r="AS214" s="161"/>
      <c r="AT214" s="162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56"/>
      <c r="BE214" s="156"/>
      <c r="BF214" s="156"/>
      <c r="BG214" s="153"/>
      <c r="BH214" s="154" t="e">
        <f t="shared" si="43"/>
        <v>#DIV/0!</v>
      </c>
      <c r="BI214" s="154" t="e">
        <f t="shared" si="44"/>
        <v>#DIV/0!</v>
      </c>
      <c r="BJ214" s="415">
        <f t="shared" si="39"/>
        <v>200</v>
      </c>
      <c r="BK214" s="415">
        <f t="shared" si="40"/>
        <v>15</v>
      </c>
      <c r="BL214" s="415">
        <f t="shared" si="41"/>
        <v>15</v>
      </c>
      <c r="BM214" s="415">
        <f t="shared" si="42"/>
        <v>113.71048</v>
      </c>
    </row>
    <row r="215" spans="1:65" s="129" customFormat="1" ht="18.75" outlineLevel="1">
      <c r="A215" s="141" t="s">
        <v>194</v>
      </c>
      <c r="B215" s="173" t="s">
        <v>650</v>
      </c>
      <c r="C215" s="190" t="s">
        <v>651</v>
      </c>
      <c r="D215" s="144">
        <v>0.4</v>
      </c>
      <c r="E215" s="161"/>
      <c r="F215" s="161"/>
      <c r="G215" s="161"/>
      <c r="H215" s="162"/>
      <c r="I215" s="149"/>
      <c r="J215" s="149"/>
      <c r="K215" s="149"/>
      <c r="L215" s="149"/>
      <c r="M215" s="149"/>
      <c r="N215" s="149"/>
      <c r="O215" s="149"/>
      <c r="P215" s="149"/>
      <c r="Q215" s="149"/>
      <c r="R215" s="156"/>
      <c r="S215" s="156"/>
      <c r="T215" s="152"/>
      <c r="U215" s="153"/>
      <c r="V215" s="154" t="e">
        <f t="shared" si="1"/>
        <v>#DIV/0!</v>
      </c>
      <c r="W215" s="154" t="e">
        <f t="shared" si="2"/>
        <v>#DIV/0!</v>
      </c>
      <c r="X215" s="163">
        <v>275</v>
      </c>
      <c r="Y215" s="161">
        <v>100</v>
      </c>
      <c r="Z215" s="161">
        <v>100</v>
      </c>
      <c r="AA215" s="162">
        <v>97.51228</v>
      </c>
      <c r="AB215" s="149">
        <v>74.44993</v>
      </c>
      <c r="AC215" s="149">
        <v>43.61775</v>
      </c>
      <c r="AD215" s="149">
        <v>9.33328</v>
      </c>
      <c r="AE215" s="149">
        <v>8.03406</v>
      </c>
      <c r="AF215" s="149">
        <v>0</v>
      </c>
      <c r="AG215" s="149">
        <v>0</v>
      </c>
      <c r="AH215" s="149">
        <v>6.06404</v>
      </c>
      <c r="AI215" s="149">
        <v>158.61</v>
      </c>
      <c r="AJ215" s="149">
        <v>9.33328</v>
      </c>
      <c r="AK215" s="150" t="s">
        <v>119</v>
      </c>
      <c r="AL215" s="151" t="s">
        <v>120</v>
      </c>
      <c r="AM215" s="156"/>
      <c r="AN215" s="153">
        <v>289</v>
      </c>
      <c r="AO215" s="154">
        <f t="shared" si="4"/>
        <v>354.5901090909091</v>
      </c>
      <c r="AP215" s="154">
        <f t="shared" si="5"/>
        <v>0.9751228000000001</v>
      </c>
      <c r="AQ215" s="161"/>
      <c r="AR215" s="161"/>
      <c r="AS215" s="161"/>
      <c r="AT215" s="162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56"/>
      <c r="BE215" s="156"/>
      <c r="BF215" s="156"/>
      <c r="BG215" s="153"/>
      <c r="BH215" s="154" t="e">
        <f t="shared" si="43"/>
        <v>#DIV/0!</v>
      </c>
      <c r="BI215" s="154" t="e">
        <f t="shared" si="44"/>
        <v>#DIV/0!</v>
      </c>
      <c r="BJ215" s="415">
        <f t="shared" si="39"/>
        <v>275</v>
      </c>
      <c r="BK215" s="415">
        <f t="shared" si="40"/>
        <v>100</v>
      </c>
      <c r="BL215" s="415">
        <f t="shared" si="41"/>
        <v>100</v>
      </c>
      <c r="BM215" s="415">
        <f t="shared" si="42"/>
        <v>97.51228</v>
      </c>
    </row>
    <row r="216" spans="1:65" s="129" customFormat="1" ht="18.75" outlineLevel="1">
      <c r="A216" s="141" t="s">
        <v>197</v>
      </c>
      <c r="B216" s="177" t="s">
        <v>592</v>
      </c>
      <c r="C216" s="190" t="s">
        <v>652</v>
      </c>
      <c r="D216" s="144">
        <v>0.4</v>
      </c>
      <c r="E216" s="145"/>
      <c r="F216" s="146"/>
      <c r="G216" s="165"/>
      <c r="H216" s="166"/>
      <c r="I216" s="149"/>
      <c r="J216" s="149"/>
      <c r="K216" s="149"/>
      <c r="L216" s="149"/>
      <c r="M216" s="149"/>
      <c r="N216" s="149"/>
      <c r="O216" s="149"/>
      <c r="P216" s="149"/>
      <c r="Q216" s="149"/>
      <c r="R216" s="156"/>
      <c r="S216" s="156"/>
      <c r="T216" s="152"/>
      <c r="U216" s="153"/>
      <c r="V216" s="154" t="e">
        <f t="shared" si="1"/>
        <v>#DIV/0!</v>
      </c>
      <c r="W216" s="154" t="e">
        <f t="shared" si="2"/>
        <v>#DIV/0!</v>
      </c>
      <c r="X216" s="155"/>
      <c r="Y216" s="146"/>
      <c r="Z216" s="165"/>
      <c r="AA216" s="166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56"/>
      <c r="AL216" s="156"/>
      <c r="AM216" s="156"/>
      <c r="AN216" s="153"/>
      <c r="AO216" s="154" t="e">
        <f t="shared" si="4"/>
        <v>#DIV/0!</v>
      </c>
      <c r="AP216" s="154" t="e">
        <f t="shared" si="5"/>
        <v>#DIV/0!</v>
      </c>
      <c r="AQ216" s="145">
        <v>380</v>
      </c>
      <c r="AR216" s="146">
        <v>200</v>
      </c>
      <c r="AS216" s="147">
        <v>200</v>
      </c>
      <c r="AT216" s="166">
        <v>326.97396</v>
      </c>
      <c r="AU216" s="149">
        <v>232.61469</v>
      </c>
      <c r="AV216" s="149">
        <v>60.2718</v>
      </c>
      <c r="AW216" s="149">
        <f>102.66619+37.33316</f>
        <v>139.99935</v>
      </c>
      <c r="AX216" s="149">
        <v>44.19317</v>
      </c>
      <c r="AY216" s="149">
        <v>0</v>
      </c>
      <c r="AZ216" s="149">
        <v>0</v>
      </c>
      <c r="BA216" s="149">
        <v>21.56892</v>
      </c>
      <c r="BB216" s="149">
        <v>158.61</v>
      </c>
      <c r="BC216" s="149">
        <v>9.33329</v>
      </c>
      <c r="BD216" s="150" t="s">
        <v>119</v>
      </c>
      <c r="BE216" s="151" t="s">
        <v>120</v>
      </c>
      <c r="BF216" s="156"/>
      <c r="BG216" s="153">
        <v>39</v>
      </c>
      <c r="BH216" s="154">
        <f t="shared" si="43"/>
        <v>860.4577894736841</v>
      </c>
      <c r="BI216" s="154">
        <f t="shared" si="44"/>
        <v>1.6348698</v>
      </c>
      <c r="BJ216" s="415">
        <f t="shared" si="39"/>
        <v>380</v>
      </c>
      <c r="BK216" s="415">
        <f t="shared" si="40"/>
        <v>200</v>
      </c>
      <c r="BL216" s="415">
        <f t="shared" si="41"/>
        <v>200</v>
      </c>
      <c r="BM216" s="415">
        <f t="shared" si="42"/>
        <v>326.97396</v>
      </c>
    </row>
    <row r="217" spans="1:65" s="129" customFormat="1" ht="18.75" outlineLevel="1">
      <c r="A217" s="141" t="s">
        <v>200</v>
      </c>
      <c r="B217" s="177" t="s">
        <v>653</v>
      </c>
      <c r="C217" s="180" t="s">
        <v>437</v>
      </c>
      <c r="D217" s="144">
        <v>0.4</v>
      </c>
      <c r="E217" s="145"/>
      <c r="F217" s="146"/>
      <c r="G217" s="165"/>
      <c r="H217" s="166"/>
      <c r="I217" s="149"/>
      <c r="J217" s="149"/>
      <c r="K217" s="149"/>
      <c r="L217" s="149"/>
      <c r="M217" s="149"/>
      <c r="N217" s="149"/>
      <c r="O217" s="149"/>
      <c r="P217" s="149"/>
      <c r="Q217" s="149"/>
      <c r="R217" s="156"/>
      <c r="S217" s="156"/>
      <c r="T217" s="152"/>
      <c r="U217" s="153"/>
      <c r="V217" s="154" t="e">
        <f t="shared" si="1"/>
        <v>#DIV/0!</v>
      </c>
      <c r="W217" s="154" t="e">
        <f t="shared" si="2"/>
        <v>#DIV/0!</v>
      </c>
      <c r="X217" s="155"/>
      <c r="Y217" s="146"/>
      <c r="Z217" s="165"/>
      <c r="AA217" s="166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56"/>
      <c r="AL217" s="156"/>
      <c r="AM217" s="156"/>
      <c r="AN217" s="153"/>
      <c r="AO217" s="154" t="e">
        <f t="shared" si="4"/>
        <v>#DIV/0!</v>
      </c>
      <c r="AP217" s="154" t="e">
        <f t="shared" si="5"/>
        <v>#DIV/0!</v>
      </c>
      <c r="AQ217" s="145">
        <v>237</v>
      </c>
      <c r="AR217" s="146">
        <v>15</v>
      </c>
      <c r="AS217" s="147">
        <v>15</v>
      </c>
      <c r="AT217" s="166">
        <v>237.379</v>
      </c>
      <c r="AU217" s="149">
        <v>171.7173</v>
      </c>
      <c r="AV217" s="149">
        <v>46.68663</v>
      </c>
      <c r="AW217" s="149">
        <f>71.78864+35.89432</f>
        <v>107.68296000000001</v>
      </c>
      <c r="AX217" s="149">
        <v>30.3</v>
      </c>
      <c r="AY217" s="149">
        <v>0</v>
      </c>
      <c r="AZ217" s="149">
        <v>0</v>
      </c>
      <c r="BA217" s="149">
        <v>15.639</v>
      </c>
      <c r="BB217" s="149">
        <v>196.99</v>
      </c>
      <c r="BC217" s="149">
        <v>8.97358</v>
      </c>
      <c r="BD217" s="150" t="s">
        <v>119</v>
      </c>
      <c r="BE217" s="151" t="s">
        <v>120</v>
      </c>
      <c r="BF217" s="156"/>
      <c r="BG217" s="153">
        <v>91</v>
      </c>
      <c r="BH217" s="154">
        <f t="shared" si="43"/>
        <v>1001.5991561181435</v>
      </c>
      <c r="BI217" s="154">
        <f t="shared" si="44"/>
        <v>15.825266666666666</v>
      </c>
      <c r="BJ217" s="415">
        <f t="shared" si="39"/>
        <v>237</v>
      </c>
      <c r="BK217" s="415">
        <f t="shared" si="40"/>
        <v>15</v>
      </c>
      <c r="BL217" s="415">
        <f t="shared" si="41"/>
        <v>15</v>
      </c>
      <c r="BM217" s="415">
        <f t="shared" si="42"/>
        <v>237.379</v>
      </c>
    </row>
    <row r="218" spans="1:65" s="129" customFormat="1" ht="18.75" outlineLevel="1">
      <c r="A218" s="141" t="s">
        <v>203</v>
      </c>
      <c r="B218" s="177" t="s">
        <v>448</v>
      </c>
      <c r="C218" s="180" t="s">
        <v>449</v>
      </c>
      <c r="D218" s="144">
        <v>0.4</v>
      </c>
      <c r="E218" s="145"/>
      <c r="F218" s="146"/>
      <c r="G218" s="165"/>
      <c r="H218" s="166"/>
      <c r="I218" s="149"/>
      <c r="J218" s="149"/>
      <c r="K218" s="149"/>
      <c r="L218" s="149"/>
      <c r="M218" s="149"/>
      <c r="N218" s="149"/>
      <c r="O218" s="149"/>
      <c r="P218" s="149"/>
      <c r="Q218" s="149"/>
      <c r="R218" s="156"/>
      <c r="S218" s="156"/>
      <c r="T218" s="152"/>
      <c r="U218" s="153"/>
      <c r="V218" s="154" t="e">
        <f t="shared" si="1"/>
        <v>#DIV/0!</v>
      </c>
      <c r="W218" s="154" t="e">
        <f t="shared" si="2"/>
        <v>#DIV/0!</v>
      </c>
      <c r="X218" s="155"/>
      <c r="Y218" s="146"/>
      <c r="Z218" s="165"/>
      <c r="AA218" s="166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56"/>
      <c r="AL218" s="156"/>
      <c r="AM218" s="156"/>
      <c r="AN218" s="153"/>
      <c r="AO218" s="154" t="e">
        <f t="shared" si="4"/>
        <v>#DIV/0!</v>
      </c>
      <c r="AP218" s="154" t="e">
        <f t="shared" si="5"/>
        <v>#DIV/0!</v>
      </c>
      <c r="AQ218" s="145">
        <v>181</v>
      </c>
      <c r="AR218" s="146">
        <v>15</v>
      </c>
      <c r="AS218" s="147">
        <v>15</v>
      </c>
      <c r="AT218" s="166">
        <v>125.035</v>
      </c>
      <c r="AU218" s="149">
        <v>93.46</v>
      </c>
      <c r="AV218" s="149">
        <v>28.70841</v>
      </c>
      <c r="AW218" s="149">
        <v>64.752</v>
      </c>
      <c r="AX218" s="149">
        <v>15.845</v>
      </c>
      <c r="AY218" s="149">
        <v>0</v>
      </c>
      <c r="AZ218" s="149">
        <v>0</v>
      </c>
      <c r="BA218" s="149">
        <v>7.165</v>
      </c>
      <c r="BB218" s="149">
        <v>158.61</v>
      </c>
      <c r="BC218" s="149">
        <v>9.33329</v>
      </c>
      <c r="BD218" s="150" t="s">
        <v>119</v>
      </c>
      <c r="BE218" s="151" t="s">
        <v>120</v>
      </c>
      <c r="BF218" s="156"/>
      <c r="BG218" s="153">
        <v>157</v>
      </c>
      <c r="BH218" s="154">
        <f t="shared" si="43"/>
        <v>690.8011049723757</v>
      </c>
      <c r="BI218" s="154">
        <f t="shared" si="44"/>
        <v>8.335666666666667</v>
      </c>
      <c r="BJ218" s="415">
        <f t="shared" si="39"/>
        <v>181</v>
      </c>
      <c r="BK218" s="415">
        <f t="shared" si="40"/>
        <v>15</v>
      </c>
      <c r="BL218" s="415">
        <f t="shared" si="41"/>
        <v>15</v>
      </c>
      <c r="BM218" s="415">
        <f t="shared" si="42"/>
        <v>125.035</v>
      </c>
    </row>
    <row r="219" spans="1:65" s="129" customFormat="1" ht="18.75" outlineLevel="1">
      <c r="A219" s="141" t="s">
        <v>206</v>
      </c>
      <c r="B219" s="177" t="s">
        <v>538</v>
      </c>
      <c r="C219" s="158" t="s">
        <v>539</v>
      </c>
      <c r="D219" s="144">
        <v>0.4</v>
      </c>
      <c r="E219" s="145"/>
      <c r="F219" s="146"/>
      <c r="G219" s="165"/>
      <c r="H219" s="166"/>
      <c r="I219" s="149"/>
      <c r="J219" s="149"/>
      <c r="K219" s="149"/>
      <c r="L219" s="149"/>
      <c r="M219" s="149"/>
      <c r="N219" s="149"/>
      <c r="O219" s="149"/>
      <c r="P219" s="149"/>
      <c r="Q219" s="149"/>
      <c r="R219" s="156"/>
      <c r="S219" s="156"/>
      <c r="T219" s="152"/>
      <c r="U219" s="153"/>
      <c r="V219" s="154" t="e">
        <f t="shared" si="1"/>
        <v>#DIV/0!</v>
      </c>
      <c r="W219" s="154" t="e">
        <f t="shared" si="2"/>
        <v>#DIV/0!</v>
      </c>
      <c r="X219" s="155"/>
      <c r="Y219" s="146"/>
      <c r="Z219" s="165"/>
      <c r="AA219" s="166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56"/>
      <c r="AL219" s="156"/>
      <c r="AM219" s="156"/>
      <c r="AN219" s="153"/>
      <c r="AO219" s="154" t="e">
        <f t="shared" si="4"/>
        <v>#DIV/0!</v>
      </c>
      <c r="AP219" s="154" t="e">
        <f t="shared" si="5"/>
        <v>#DIV/0!</v>
      </c>
      <c r="AQ219" s="145">
        <v>115</v>
      </c>
      <c r="AR219" s="146">
        <v>30</v>
      </c>
      <c r="AS219" s="147">
        <v>30</v>
      </c>
      <c r="AT219" s="166">
        <v>31.432</v>
      </c>
      <c r="AU219" s="149">
        <v>24.872</v>
      </c>
      <c r="AV219" s="149">
        <v>22.65385</v>
      </c>
      <c r="AW219" s="149">
        <v>2.218</v>
      </c>
      <c r="AX219" s="149">
        <v>2.942</v>
      </c>
      <c r="AY219" s="149">
        <v>0</v>
      </c>
      <c r="AZ219" s="149">
        <v>0</v>
      </c>
      <c r="BA219" s="149">
        <v>1.675</v>
      </c>
      <c r="BB219" s="149">
        <v>196.99</v>
      </c>
      <c r="BC219" s="149">
        <v>8.97943</v>
      </c>
      <c r="BD219" s="150" t="s">
        <v>119</v>
      </c>
      <c r="BE219" s="151" t="s">
        <v>120</v>
      </c>
      <c r="BF219" s="156"/>
      <c r="BG219" s="153">
        <v>255</v>
      </c>
      <c r="BH219" s="154">
        <f t="shared" si="43"/>
        <v>273.32173913043476</v>
      </c>
      <c r="BI219" s="154">
        <f t="shared" si="44"/>
        <v>1.0477333333333332</v>
      </c>
      <c r="BJ219" s="415">
        <f t="shared" si="39"/>
        <v>115</v>
      </c>
      <c r="BK219" s="415">
        <f t="shared" si="40"/>
        <v>30</v>
      </c>
      <c r="BL219" s="415">
        <f t="shared" si="41"/>
        <v>30</v>
      </c>
      <c r="BM219" s="415">
        <f t="shared" si="42"/>
        <v>31.432</v>
      </c>
    </row>
    <row r="220" spans="1:65" s="129" customFormat="1" ht="18.75" outlineLevel="1">
      <c r="A220" s="141" t="s">
        <v>209</v>
      </c>
      <c r="B220" s="177" t="s">
        <v>654</v>
      </c>
      <c r="C220" s="190" t="s">
        <v>655</v>
      </c>
      <c r="D220" s="144">
        <v>0.4</v>
      </c>
      <c r="E220" s="145"/>
      <c r="F220" s="146"/>
      <c r="G220" s="165"/>
      <c r="H220" s="166"/>
      <c r="I220" s="149"/>
      <c r="J220" s="149"/>
      <c r="K220" s="149"/>
      <c r="L220" s="149"/>
      <c r="M220" s="149"/>
      <c r="N220" s="149"/>
      <c r="O220" s="149"/>
      <c r="P220" s="149"/>
      <c r="Q220" s="149"/>
      <c r="R220" s="156"/>
      <c r="S220" s="156"/>
      <c r="T220" s="152"/>
      <c r="U220" s="153"/>
      <c r="V220" s="154" t="e">
        <f t="shared" si="1"/>
        <v>#DIV/0!</v>
      </c>
      <c r="W220" s="154" t="e">
        <f t="shared" si="2"/>
        <v>#DIV/0!</v>
      </c>
      <c r="X220" s="155"/>
      <c r="Y220" s="146"/>
      <c r="Z220" s="165"/>
      <c r="AA220" s="166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56"/>
      <c r="AL220" s="156"/>
      <c r="AM220" s="156"/>
      <c r="AN220" s="153"/>
      <c r="AO220" s="154" t="e">
        <f t="shared" si="4"/>
        <v>#DIV/0!</v>
      </c>
      <c r="AP220" s="154" t="e">
        <f t="shared" si="5"/>
        <v>#DIV/0!</v>
      </c>
      <c r="AQ220" s="145">
        <v>420</v>
      </c>
      <c r="AR220" s="146">
        <v>150</v>
      </c>
      <c r="AS220" s="147">
        <v>150</v>
      </c>
      <c r="AT220" s="166">
        <v>270.96736</v>
      </c>
      <c r="AU220" s="149">
        <v>198.66408</v>
      </c>
      <c r="AV220" s="149">
        <v>82.7358</v>
      </c>
      <c r="AW220" s="149">
        <f>44.89715+53.87658</f>
        <v>98.77373</v>
      </c>
      <c r="AX220" s="149">
        <v>33.43025</v>
      </c>
      <c r="AY220" s="149">
        <v>0</v>
      </c>
      <c r="AZ220" s="149">
        <v>0</v>
      </c>
      <c r="BA220" s="149">
        <v>17.3659</v>
      </c>
      <c r="BB220" s="149">
        <v>196.99</v>
      </c>
      <c r="BC220" s="149">
        <v>8.97943</v>
      </c>
      <c r="BD220" s="150" t="s">
        <v>119</v>
      </c>
      <c r="BE220" s="151" t="s">
        <v>120</v>
      </c>
      <c r="BF220" s="156"/>
      <c r="BG220" s="153">
        <v>259</v>
      </c>
      <c r="BH220" s="154">
        <f t="shared" si="43"/>
        <v>645.1603809523809</v>
      </c>
      <c r="BI220" s="154">
        <f t="shared" si="44"/>
        <v>1.8064490666666666</v>
      </c>
      <c r="BJ220" s="415">
        <f t="shared" si="39"/>
        <v>420</v>
      </c>
      <c r="BK220" s="415">
        <f t="shared" si="40"/>
        <v>150</v>
      </c>
      <c r="BL220" s="415">
        <f t="shared" si="41"/>
        <v>150</v>
      </c>
      <c r="BM220" s="415">
        <f t="shared" si="42"/>
        <v>270.96736</v>
      </c>
    </row>
    <row r="221" spans="1:65" s="129" customFormat="1" ht="18.75" outlineLevel="1">
      <c r="A221" s="141" t="s">
        <v>212</v>
      </c>
      <c r="B221" s="177" t="s">
        <v>619</v>
      </c>
      <c r="C221" s="158" t="s">
        <v>620</v>
      </c>
      <c r="D221" s="144">
        <v>0.4</v>
      </c>
      <c r="E221" s="145"/>
      <c r="F221" s="146"/>
      <c r="G221" s="165"/>
      <c r="H221" s="166"/>
      <c r="I221" s="149"/>
      <c r="J221" s="149"/>
      <c r="K221" s="149"/>
      <c r="L221" s="149"/>
      <c r="M221" s="149"/>
      <c r="N221" s="149"/>
      <c r="O221" s="149"/>
      <c r="P221" s="149"/>
      <c r="Q221" s="149"/>
      <c r="R221" s="156"/>
      <c r="S221" s="156"/>
      <c r="T221" s="152"/>
      <c r="U221" s="153"/>
      <c r="V221" s="154" t="e">
        <f t="shared" si="1"/>
        <v>#DIV/0!</v>
      </c>
      <c r="W221" s="154" t="e">
        <f t="shared" si="2"/>
        <v>#DIV/0!</v>
      </c>
      <c r="X221" s="155"/>
      <c r="Y221" s="146"/>
      <c r="Z221" s="165"/>
      <c r="AA221" s="166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56"/>
      <c r="AL221" s="156"/>
      <c r="AM221" s="156"/>
      <c r="AN221" s="153"/>
      <c r="AO221" s="154" t="e">
        <f t="shared" si="4"/>
        <v>#DIV/0!</v>
      </c>
      <c r="AP221" s="154" t="e">
        <f t="shared" si="5"/>
        <v>#DIV/0!</v>
      </c>
      <c r="AQ221" s="145">
        <v>140</v>
      </c>
      <c r="AR221" s="146">
        <v>40</v>
      </c>
      <c r="AS221" s="147">
        <v>40</v>
      </c>
      <c r="AT221" s="166">
        <v>39.22</v>
      </c>
      <c r="AU221" s="149">
        <v>31.234</v>
      </c>
      <c r="AV221" s="149">
        <v>26.264</v>
      </c>
      <c r="AW221" s="149">
        <v>4.97</v>
      </c>
      <c r="AX221" s="149">
        <v>3.582</v>
      </c>
      <c r="AY221" s="149">
        <v>0</v>
      </c>
      <c r="AZ221" s="149">
        <v>0</v>
      </c>
      <c r="BA221" s="149">
        <v>2.039</v>
      </c>
      <c r="BB221" s="149">
        <v>187.6</v>
      </c>
      <c r="BC221" s="149">
        <v>8.98363</v>
      </c>
      <c r="BD221" s="150" t="s">
        <v>119</v>
      </c>
      <c r="BE221" s="151" t="s">
        <v>120</v>
      </c>
      <c r="BF221" s="156"/>
      <c r="BG221" s="153">
        <v>305</v>
      </c>
      <c r="BH221" s="154">
        <f t="shared" si="43"/>
        <v>280.1428571428571</v>
      </c>
      <c r="BI221" s="154">
        <f t="shared" si="44"/>
        <v>0.9804999999999999</v>
      </c>
      <c r="BJ221" s="415">
        <f t="shared" si="39"/>
        <v>140</v>
      </c>
      <c r="BK221" s="415">
        <f t="shared" si="40"/>
        <v>40</v>
      </c>
      <c r="BL221" s="415">
        <f t="shared" si="41"/>
        <v>40</v>
      </c>
      <c r="BM221" s="415">
        <f t="shared" si="42"/>
        <v>39.22</v>
      </c>
    </row>
    <row r="222" spans="1:65" s="129" customFormat="1" ht="14.25">
      <c r="A222" s="141"/>
      <c r="B222" s="179"/>
      <c r="C222" s="190"/>
      <c r="D222" s="144"/>
      <c r="E222" s="145"/>
      <c r="F222" s="146"/>
      <c r="G222" s="165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56"/>
      <c r="S222" s="156"/>
      <c r="T222" s="152"/>
      <c r="U222" s="153"/>
      <c r="V222" s="154" t="e">
        <f t="shared" si="1"/>
        <v>#DIV/0!</v>
      </c>
      <c r="W222" s="154" t="e">
        <f t="shared" si="2"/>
        <v>#DIV/0!</v>
      </c>
      <c r="X222" s="155"/>
      <c r="Y222" s="146"/>
      <c r="Z222" s="165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56"/>
      <c r="AL222" s="156"/>
      <c r="AM222" s="156"/>
      <c r="AN222" s="153"/>
      <c r="AO222" s="154" t="e">
        <f t="shared" si="4"/>
        <v>#DIV/0!</v>
      </c>
      <c r="AP222" s="154" t="e">
        <f t="shared" si="5"/>
        <v>#DIV/0!</v>
      </c>
      <c r="AQ222" s="145"/>
      <c r="AR222" s="146"/>
      <c r="AS222" s="147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56"/>
      <c r="BE222" s="156"/>
      <c r="BF222" s="156"/>
      <c r="BG222" s="153"/>
      <c r="BH222" s="154" t="e">
        <f t="shared" si="43"/>
        <v>#DIV/0!</v>
      </c>
      <c r="BI222" s="154" t="e">
        <f t="shared" si="44"/>
        <v>#DIV/0!</v>
      </c>
      <c r="BJ222" s="415">
        <f t="shared" si="39"/>
        <v>0</v>
      </c>
      <c r="BK222" s="415">
        <f t="shared" si="40"/>
        <v>0</v>
      </c>
      <c r="BL222" s="415">
        <f t="shared" si="41"/>
        <v>0</v>
      </c>
      <c r="BM222" s="415">
        <f t="shared" si="42"/>
        <v>0</v>
      </c>
    </row>
    <row r="223" spans="1:65" s="129" customFormat="1" ht="24.75" customHeight="1">
      <c r="A223" s="130" t="s">
        <v>335</v>
      </c>
      <c r="B223" s="131" t="s">
        <v>656</v>
      </c>
      <c r="C223" s="132"/>
      <c r="D223" s="133">
        <v>6</v>
      </c>
      <c r="E223" s="134">
        <f aca="true" t="shared" si="48" ref="E223:Q223">SUM(E224:E230)</f>
        <v>1081</v>
      </c>
      <c r="F223" s="134">
        <f t="shared" si="48"/>
        <v>325</v>
      </c>
      <c r="G223" s="134">
        <f>SUM(G224:G230)</f>
        <v>325</v>
      </c>
      <c r="H223" s="135">
        <f t="shared" si="48"/>
        <v>1674.7389999999998</v>
      </c>
      <c r="I223" s="135">
        <f t="shared" si="48"/>
        <v>1301.9930000000002</v>
      </c>
      <c r="J223" s="135">
        <f t="shared" si="48"/>
        <v>271.28627</v>
      </c>
      <c r="K223" s="135">
        <f t="shared" si="48"/>
        <v>716.0784</v>
      </c>
      <c r="L223" s="135">
        <f t="shared" si="48"/>
        <v>136.398</v>
      </c>
      <c r="M223" s="135">
        <f t="shared" si="48"/>
        <v>0</v>
      </c>
      <c r="N223" s="135">
        <f t="shared" si="48"/>
        <v>0</v>
      </c>
      <c r="O223" s="135">
        <f t="shared" si="48"/>
        <v>58.231</v>
      </c>
      <c r="P223" s="135">
        <f t="shared" si="48"/>
        <v>496.62</v>
      </c>
      <c r="Q223" s="135">
        <f t="shared" si="48"/>
        <v>36.86083</v>
      </c>
      <c r="R223" s="136"/>
      <c r="S223" s="136"/>
      <c r="T223" s="137"/>
      <c r="U223" s="138"/>
      <c r="V223" s="200">
        <f t="shared" si="1"/>
        <v>1549.2497687326547</v>
      </c>
      <c r="W223" s="139">
        <f t="shared" si="2"/>
        <v>5.153043076923076</v>
      </c>
      <c r="X223" s="140">
        <f aca="true" t="shared" si="49" ref="X223:AJ223">SUM(X224:X230)</f>
        <v>60</v>
      </c>
      <c r="Y223" s="134">
        <f t="shared" si="49"/>
        <v>112</v>
      </c>
      <c r="Z223" s="134">
        <f t="shared" si="49"/>
        <v>112</v>
      </c>
      <c r="AA223" s="135">
        <f t="shared" si="49"/>
        <v>65.133</v>
      </c>
      <c r="AB223" s="135">
        <f t="shared" si="49"/>
        <v>52.106</v>
      </c>
      <c r="AC223" s="135">
        <f t="shared" si="49"/>
        <v>17.4024</v>
      </c>
      <c r="AD223" s="135">
        <f>SUM(AE224:AE230)</f>
        <v>0</v>
      </c>
      <c r="AE223" s="135">
        <f t="shared" si="49"/>
        <v>0</v>
      </c>
      <c r="AF223" s="135">
        <f t="shared" si="49"/>
        <v>0</v>
      </c>
      <c r="AG223" s="135">
        <f>SUM(AE224:AE230)</f>
        <v>0</v>
      </c>
      <c r="AH223" s="135">
        <f t="shared" si="49"/>
        <v>0.95</v>
      </c>
      <c r="AI223" s="135">
        <f t="shared" si="49"/>
        <v>96.68</v>
      </c>
      <c r="AJ223" s="135">
        <f t="shared" si="49"/>
        <v>8.90738</v>
      </c>
      <c r="AK223" s="136"/>
      <c r="AL223" s="136"/>
      <c r="AM223" s="136"/>
      <c r="AN223" s="138"/>
      <c r="AO223" s="200">
        <f t="shared" si="4"/>
        <v>1085.55</v>
      </c>
      <c r="AP223" s="139">
        <f t="shared" si="5"/>
        <v>0.5815446428571428</v>
      </c>
      <c r="AQ223" s="134">
        <f aca="true" t="shared" si="50" ref="AQ223:BC223">SUM(AQ224:AQ230)</f>
        <v>0</v>
      </c>
      <c r="AR223" s="134">
        <f t="shared" si="50"/>
        <v>0</v>
      </c>
      <c r="AS223" s="134">
        <f t="shared" si="50"/>
        <v>0</v>
      </c>
      <c r="AT223" s="135">
        <f t="shared" si="50"/>
        <v>0</v>
      </c>
      <c r="AU223" s="135">
        <f t="shared" si="50"/>
        <v>0</v>
      </c>
      <c r="AV223" s="135">
        <f t="shared" si="50"/>
        <v>0</v>
      </c>
      <c r="AW223" s="135">
        <f>SUM(AX224:AX230)</f>
        <v>0</v>
      </c>
      <c r="AX223" s="135">
        <f t="shared" si="50"/>
        <v>0</v>
      </c>
      <c r="AY223" s="135">
        <f t="shared" si="50"/>
        <v>0</v>
      </c>
      <c r="AZ223" s="135">
        <f t="shared" si="50"/>
        <v>0</v>
      </c>
      <c r="BA223" s="135">
        <f t="shared" si="50"/>
        <v>0</v>
      </c>
      <c r="BB223" s="135">
        <f t="shared" si="50"/>
        <v>0</v>
      </c>
      <c r="BC223" s="135">
        <f t="shared" si="50"/>
        <v>0</v>
      </c>
      <c r="BD223" s="136"/>
      <c r="BE223" s="136"/>
      <c r="BF223" s="136"/>
      <c r="BG223" s="138"/>
      <c r="BH223" s="200" t="e">
        <f t="shared" si="43"/>
        <v>#DIV/0!</v>
      </c>
      <c r="BI223" s="139" t="e">
        <f t="shared" si="44"/>
        <v>#DIV/0!</v>
      </c>
      <c r="BJ223" s="415">
        <f t="shared" si="39"/>
        <v>1141</v>
      </c>
      <c r="BK223" s="415">
        <f t="shared" si="40"/>
        <v>437</v>
      </c>
      <c r="BL223" s="415">
        <f t="shared" si="41"/>
        <v>437</v>
      </c>
      <c r="BM223" s="415">
        <f t="shared" si="42"/>
        <v>1739.8719999999998</v>
      </c>
    </row>
    <row r="224" spans="1:65" s="129" customFormat="1" ht="18.75" outlineLevel="1">
      <c r="A224" s="141" t="s">
        <v>337</v>
      </c>
      <c r="B224" s="142" t="s">
        <v>657</v>
      </c>
      <c r="C224" s="158" t="s">
        <v>658</v>
      </c>
      <c r="D224" s="144">
        <v>6</v>
      </c>
      <c r="E224" s="145">
        <v>640</v>
      </c>
      <c r="F224" s="146">
        <v>260</v>
      </c>
      <c r="G224" s="146">
        <v>260</v>
      </c>
      <c r="H224" s="148">
        <v>652.023</v>
      </c>
      <c r="I224" s="149">
        <v>571.076</v>
      </c>
      <c r="J224" s="149">
        <v>185.6064</v>
      </c>
      <c r="K224" s="149">
        <v>385.47</v>
      </c>
      <c r="L224" s="149">
        <v>40.403</v>
      </c>
      <c r="M224" s="149">
        <v>0</v>
      </c>
      <c r="N224" s="149">
        <v>0</v>
      </c>
      <c r="O224" s="149">
        <v>17.364</v>
      </c>
      <c r="P224" s="149">
        <v>96.67</v>
      </c>
      <c r="Q224" s="149">
        <v>7.52028</v>
      </c>
      <c r="R224" s="150" t="s">
        <v>119</v>
      </c>
      <c r="S224" s="151" t="s">
        <v>120</v>
      </c>
      <c r="T224" s="152"/>
      <c r="U224" s="153">
        <v>204</v>
      </c>
      <c r="V224" s="154">
        <f t="shared" si="1"/>
        <v>1018.7859375000002</v>
      </c>
      <c r="W224" s="154">
        <f t="shared" si="2"/>
        <v>2.507780769230769</v>
      </c>
      <c r="X224" s="155"/>
      <c r="Y224" s="146"/>
      <c r="Z224" s="146"/>
      <c r="AA224" s="148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56"/>
      <c r="AL224" s="156"/>
      <c r="AM224" s="156"/>
      <c r="AN224" s="153"/>
      <c r="AO224" s="154" t="e">
        <f t="shared" si="4"/>
        <v>#DIV/0!</v>
      </c>
      <c r="AP224" s="154" t="e">
        <f t="shared" si="5"/>
        <v>#DIV/0!</v>
      </c>
      <c r="AQ224" s="145"/>
      <c r="AR224" s="146"/>
      <c r="AS224" s="146"/>
      <c r="AT224" s="148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56"/>
      <c r="BE224" s="156"/>
      <c r="BF224" s="156"/>
      <c r="BG224" s="153"/>
      <c r="BH224" s="154" t="e">
        <f t="shared" si="43"/>
        <v>#DIV/0!</v>
      </c>
      <c r="BI224" s="154" t="e">
        <f t="shared" si="44"/>
        <v>#DIV/0!</v>
      </c>
      <c r="BJ224" s="415">
        <f t="shared" si="39"/>
        <v>640</v>
      </c>
      <c r="BK224" s="415">
        <f t="shared" si="40"/>
        <v>260</v>
      </c>
      <c r="BL224" s="415">
        <f t="shared" si="41"/>
        <v>260</v>
      </c>
      <c r="BM224" s="415">
        <f t="shared" si="42"/>
        <v>652.023</v>
      </c>
    </row>
    <row r="225" spans="1:65" s="129" customFormat="1" ht="18.75" outlineLevel="1">
      <c r="A225" s="141" t="s">
        <v>340</v>
      </c>
      <c r="B225" s="142" t="s">
        <v>659</v>
      </c>
      <c r="C225" s="158" t="s">
        <v>660</v>
      </c>
      <c r="D225" s="144">
        <v>6</v>
      </c>
      <c r="E225" s="145">
        <v>81</v>
      </c>
      <c r="F225" s="146">
        <v>15</v>
      </c>
      <c r="G225" s="146">
        <v>15</v>
      </c>
      <c r="H225" s="148">
        <v>71.098</v>
      </c>
      <c r="I225" s="149" t="s">
        <v>661</v>
      </c>
      <c r="J225" s="149">
        <v>8.18829</v>
      </c>
      <c r="K225" s="149">
        <v>14.5322</v>
      </c>
      <c r="L225" s="149">
        <v>5.746</v>
      </c>
      <c r="M225" s="149">
        <v>0</v>
      </c>
      <c r="N225" s="149">
        <v>0</v>
      </c>
      <c r="O225" s="149">
        <v>3.051</v>
      </c>
      <c r="P225" s="149">
        <v>101.09</v>
      </c>
      <c r="Q225" s="149">
        <v>7.2661</v>
      </c>
      <c r="R225" s="150" t="s">
        <v>119</v>
      </c>
      <c r="S225" s="151" t="s">
        <v>120</v>
      </c>
      <c r="T225" s="152"/>
      <c r="U225" s="153">
        <v>90</v>
      </c>
      <c r="V225" s="154">
        <f t="shared" si="1"/>
        <v>877.753086419753</v>
      </c>
      <c r="W225" s="154">
        <f t="shared" si="2"/>
        <v>4.739866666666667</v>
      </c>
      <c r="X225" s="155"/>
      <c r="Y225" s="146"/>
      <c r="Z225" s="146"/>
      <c r="AA225" s="148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56"/>
      <c r="AL225" s="156"/>
      <c r="AM225" s="156"/>
      <c r="AN225" s="153"/>
      <c r="AO225" s="154" t="e">
        <f t="shared" si="4"/>
        <v>#DIV/0!</v>
      </c>
      <c r="AP225" s="154" t="e">
        <f t="shared" si="5"/>
        <v>#DIV/0!</v>
      </c>
      <c r="AQ225" s="145"/>
      <c r="AR225" s="146"/>
      <c r="AS225" s="146"/>
      <c r="AT225" s="148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56"/>
      <c r="BE225" s="156"/>
      <c r="BF225" s="156"/>
      <c r="BG225" s="153"/>
      <c r="BH225" s="154" t="e">
        <f t="shared" si="43"/>
        <v>#DIV/0!</v>
      </c>
      <c r="BI225" s="154" t="e">
        <f t="shared" si="44"/>
        <v>#DIV/0!</v>
      </c>
      <c r="BJ225" s="415">
        <f t="shared" si="39"/>
        <v>81</v>
      </c>
      <c r="BK225" s="415">
        <f t="shared" si="40"/>
        <v>15</v>
      </c>
      <c r="BL225" s="415">
        <f t="shared" si="41"/>
        <v>15</v>
      </c>
      <c r="BM225" s="415">
        <f t="shared" si="42"/>
        <v>71.098</v>
      </c>
    </row>
    <row r="226" spans="1:65" s="129" customFormat="1" ht="18" customHeight="1" outlineLevel="1">
      <c r="A226" s="141" t="s">
        <v>343</v>
      </c>
      <c r="B226" s="142" t="s">
        <v>572</v>
      </c>
      <c r="C226" s="158" t="s">
        <v>573</v>
      </c>
      <c r="D226" s="144">
        <v>6</v>
      </c>
      <c r="E226" s="145">
        <v>110</v>
      </c>
      <c r="F226" s="146">
        <v>15</v>
      </c>
      <c r="G226" s="146">
        <v>15</v>
      </c>
      <c r="H226" s="148">
        <v>651.057</v>
      </c>
      <c r="I226" s="149">
        <v>521.973</v>
      </c>
      <c r="J226" s="149">
        <v>32.00108</v>
      </c>
      <c r="K226" s="149">
        <f>67.60215+105.1589+67.60215</f>
        <v>240.3632</v>
      </c>
      <c r="L226" s="149">
        <v>64.871</v>
      </c>
      <c r="M226" s="149">
        <v>0</v>
      </c>
      <c r="N226" s="149">
        <v>0</v>
      </c>
      <c r="O226" s="149">
        <v>27.302</v>
      </c>
      <c r="P226" s="149">
        <v>96.68</v>
      </c>
      <c r="Q226" s="149">
        <v>7.51135</v>
      </c>
      <c r="R226" s="150" t="s">
        <v>119</v>
      </c>
      <c r="S226" s="151" t="s">
        <v>120</v>
      </c>
      <c r="T226" s="152"/>
      <c r="U226" s="153">
        <v>224</v>
      </c>
      <c r="V226" s="154">
        <f t="shared" si="1"/>
        <v>5918.700000000001</v>
      </c>
      <c r="W226" s="154">
        <f t="shared" si="2"/>
        <v>43.403800000000004</v>
      </c>
      <c r="X226" s="155"/>
      <c r="Y226" s="146"/>
      <c r="Z226" s="146"/>
      <c r="AA226" s="148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56"/>
      <c r="AL226" s="156"/>
      <c r="AM226" s="156"/>
      <c r="AN226" s="153"/>
      <c r="AO226" s="154" t="e">
        <f t="shared" si="4"/>
        <v>#DIV/0!</v>
      </c>
      <c r="AP226" s="154" t="e">
        <f t="shared" si="5"/>
        <v>#DIV/0!</v>
      </c>
      <c r="AQ226" s="145"/>
      <c r="AR226" s="146"/>
      <c r="AS226" s="146"/>
      <c r="AT226" s="148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56"/>
      <c r="BE226" s="156"/>
      <c r="BF226" s="156"/>
      <c r="BG226" s="153"/>
      <c r="BH226" s="154" t="e">
        <f t="shared" si="43"/>
        <v>#DIV/0!</v>
      </c>
      <c r="BI226" s="154" t="e">
        <f t="shared" si="44"/>
        <v>#DIV/0!</v>
      </c>
      <c r="BJ226" s="415">
        <f t="shared" si="39"/>
        <v>110</v>
      </c>
      <c r="BK226" s="415">
        <f t="shared" si="40"/>
        <v>15</v>
      </c>
      <c r="BL226" s="415">
        <f t="shared" si="41"/>
        <v>15</v>
      </c>
      <c r="BM226" s="415">
        <f t="shared" si="42"/>
        <v>651.057</v>
      </c>
    </row>
    <row r="227" spans="1:65" s="129" customFormat="1" ht="18.75" outlineLevel="1">
      <c r="A227" s="141" t="s">
        <v>346</v>
      </c>
      <c r="B227" s="198" t="s">
        <v>622</v>
      </c>
      <c r="C227" s="158" t="s">
        <v>623</v>
      </c>
      <c r="D227" s="144">
        <v>6</v>
      </c>
      <c r="E227" s="145">
        <v>100</v>
      </c>
      <c r="F227" s="146">
        <v>15</v>
      </c>
      <c r="G227" s="146">
        <v>15</v>
      </c>
      <c r="H227" s="148">
        <v>178.281</v>
      </c>
      <c r="I227" s="149">
        <v>106.668</v>
      </c>
      <c r="J227" s="149">
        <v>30.327</v>
      </c>
      <c r="K227" s="149">
        <v>53.822</v>
      </c>
      <c r="L227" s="149">
        <v>16.003</v>
      </c>
      <c r="M227" s="149">
        <v>0</v>
      </c>
      <c r="N227" s="149">
        <v>0</v>
      </c>
      <c r="O227" s="149">
        <v>6.061</v>
      </c>
      <c r="P227" s="149">
        <v>101.09</v>
      </c>
      <c r="Q227" s="149">
        <v>7.2661</v>
      </c>
      <c r="R227" s="150" t="s">
        <v>119</v>
      </c>
      <c r="S227" s="151" t="s">
        <v>120</v>
      </c>
      <c r="T227" s="152"/>
      <c r="U227" s="153">
        <v>5</v>
      </c>
      <c r="V227" s="154">
        <f t="shared" si="1"/>
        <v>1782.81</v>
      </c>
      <c r="W227" s="154">
        <f t="shared" si="2"/>
        <v>11.8854</v>
      </c>
      <c r="X227" s="155"/>
      <c r="Y227" s="146"/>
      <c r="Z227" s="146"/>
      <c r="AA227" s="148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56"/>
      <c r="AL227" s="156"/>
      <c r="AM227" s="156"/>
      <c r="AN227" s="153"/>
      <c r="AO227" s="154" t="e">
        <f t="shared" si="4"/>
        <v>#DIV/0!</v>
      </c>
      <c r="AP227" s="154" t="e">
        <f t="shared" si="5"/>
        <v>#DIV/0!</v>
      </c>
      <c r="AQ227" s="145"/>
      <c r="AR227" s="146"/>
      <c r="AS227" s="146"/>
      <c r="AT227" s="148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56"/>
      <c r="BE227" s="156"/>
      <c r="BF227" s="156"/>
      <c r="BG227" s="153"/>
      <c r="BH227" s="154" t="e">
        <f t="shared" si="43"/>
        <v>#DIV/0!</v>
      </c>
      <c r="BI227" s="154" t="e">
        <f t="shared" si="44"/>
        <v>#DIV/0!</v>
      </c>
      <c r="BJ227" s="415">
        <f aca="true" t="shared" si="51" ref="BJ227:BJ290">E227+X227+AQ227</f>
        <v>100</v>
      </c>
      <c r="BK227" s="415">
        <f aca="true" t="shared" si="52" ref="BK227:BK290">F227+Y227+AR227</f>
        <v>15</v>
      </c>
      <c r="BL227" s="415">
        <f aca="true" t="shared" si="53" ref="BL227:BL290">G227+Z227+AS227</f>
        <v>15</v>
      </c>
      <c r="BM227" s="415">
        <f aca="true" t="shared" si="54" ref="BM227:BM290">H227+AA227+AT227</f>
        <v>178.281</v>
      </c>
    </row>
    <row r="228" spans="1:65" s="129" customFormat="1" ht="18.75" outlineLevel="1">
      <c r="A228" s="141" t="s">
        <v>349</v>
      </c>
      <c r="B228" s="142" t="s">
        <v>624</v>
      </c>
      <c r="C228" s="158" t="s">
        <v>625</v>
      </c>
      <c r="D228" s="144">
        <v>6</v>
      </c>
      <c r="E228" s="145">
        <v>150</v>
      </c>
      <c r="F228" s="146">
        <v>20</v>
      </c>
      <c r="G228" s="146">
        <v>20</v>
      </c>
      <c r="H228" s="148">
        <v>122.28</v>
      </c>
      <c r="I228" s="149">
        <v>102.276</v>
      </c>
      <c r="J228" s="149">
        <v>15.1635</v>
      </c>
      <c r="K228" s="149">
        <v>21.891</v>
      </c>
      <c r="L228" s="149">
        <v>9.375</v>
      </c>
      <c r="M228" s="149">
        <v>0</v>
      </c>
      <c r="N228" s="149">
        <v>0</v>
      </c>
      <c r="O228" s="149">
        <v>4.453</v>
      </c>
      <c r="P228" s="149">
        <v>101.09</v>
      </c>
      <c r="Q228" s="149">
        <v>7.297</v>
      </c>
      <c r="R228" s="150" t="s">
        <v>119</v>
      </c>
      <c r="S228" s="151" t="s">
        <v>120</v>
      </c>
      <c r="T228" s="152"/>
      <c r="U228" s="153">
        <v>380</v>
      </c>
      <c r="V228" s="154">
        <f t="shared" si="1"/>
        <v>815.2</v>
      </c>
      <c r="W228" s="154">
        <f t="shared" si="2"/>
        <v>6.114</v>
      </c>
      <c r="X228" s="155"/>
      <c r="Y228" s="146"/>
      <c r="Z228" s="146"/>
      <c r="AA228" s="148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56"/>
      <c r="AL228" s="156"/>
      <c r="AM228" s="156"/>
      <c r="AN228" s="153"/>
      <c r="AO228" s="154" t="e">
        <f t="shared" si="4"/>
        <v>#DIV/0!</v>
      </c>
      <c r="AP228" s="154" t="e">
        <f t="shared" si="5"/>
        <v>#DIV/0!</v>
      </c>
      <c r="AQ228" s="145"/>
      <c r="AR228" s="146"/>
      <c r="AS228" s="146"/>
      <c r="AT228" s="148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56"/>
      <c r="BE228" s="156"/>
      <c r="BF228" s="156"/>
      <c r="BG228" s="153"/>
      <c r="BH228" s="154" t="e">
        <f t="shared" si="43"/>
        <v>#DIV/0!</v>
      </c>
      <c r="BI228" s="154" t="e">
        <f t="shared" si="44"/>
        <v>#DIV/0!</v>
      </c>
      <c r="BJ228" s="415">
        <f t="shared" si="51"/>
        <v>150</v>
      </c>
      <c r="BK228" s="415">
        <f t="shared" si="52"/>
        <v>20</v>
      </c>
      <c r="BL228" s="415">
        <f t="shared" si="53"/>
        <v>20</v>
      </c>
      <c r="BM228" s="415">
        <f t="shared" si="54"/>
        <v>122.28</v>
      </c>
    </row>
    <row r="229" spans="1:65" s="129" customFormat="1" ht="18.75" outlineLevel="1">
      <c r="A229" s="141" t="s">
        <v>352</v>
      </c>
      <c r="B229" s="176" t="s">
        <v>341</v>
      </c>
      <c r="C229" s="158" t="s">
        <v>342</v>
      </c>
      <c r="D229" s="144">
        <v>6</v>
      </c>
      <c r="E229" s="161"/>
      <c r="F229" s="161"/>
      <c r="G229" s="161"/>
      <c r="H229" s="162"/>
      <c r="I229" s="149"/>
      <c r="J229" s="149"/>
      <c r="K229" s="149"/>
      <c r="L229" s="149"/>
      <c r="M229" s="149"/>
      <c r="N229" s="149"/>
      <c r="O229" s="149"/>
      <c r="P229" s="149"/>
      <c r="Q229" s="149"/>
      <c r="R229" s="156"/>
      <c r="S229" s="156"/>
      <c r="T229" s="152"/>
      <c r="U229" s="153"/>
      <c r="V229" s="154" t="e">
        <f t="shared" si="1"/>
        <v>#DIV/0!</v>
      </c>
      <c r="W229" s="154" t="e">
        <f t="shared" si="2"/>
        <v>#DIV/0!</v>
      </c>
      <c r="X229" s="163">
        <v>60</v>
      </c>
      <c r="Y229" s="161">
        <v>112</v>
      </c>
      <c r="Z229" s="161">
        <v>112</v>
      </c>
      <c r="AA229" s="162">
        <v>65.133</v>
      </c>
      <c r="AB229" s="149">
        <v>52.106</v>
      </c>
      <c r="AC229" s="149">
        <v>17.4024</v>
      </c>
      <c r="AD229" s="149">
        <v>0</v>
      </c>
      <c r="AE229" s="149">
        <v>0</v>
      </c>
      <c r="AF229" s="149">
        <v>0</v>
      </c>
      <c r="AG229" s="149">
        <v>0</v>
      </c>
      <c r="AH229" s="149">
        <v>0.95</v>
      </c>
      <c r="AI229" s="149">
        <v>96.68</v>
      </c>
      <c r="AJ229" s="149">
        <v>8.90738</v>
      </c>
      <c r="AK229" s="150" t="s">
        <v>119</v>
      </c>
      <c r="AL229" s="151" t="s">
        <v>120</v>
      </c>
      <c r="AM229" s="156"/>
      <c r="AN229" s="153">
        <v>193</v>
      </c>
      <c r="AO229" s="154">
        <f t="shared" si="4"/>
        <v>1085.55</v>
      </c>
      <c r="AP229" s="154">
        <f t="shared" si="5"/>
        <v>0.5815446428571428</v>
      </c>
      <c r="AQ229" s="161"/>
      <c r="AR229" s="161"/>
      <c r="AS229" s="161"/>
      <c r="AT229" s="162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56"/>
      <c r="BE229" s="156"/>
      <c r="BF229" s="156"/>
      <c r="BG229" s="153"/>
      <c r="BH229" s="154" t="e">
        <f t="shared" si="43"/>
        <v>#DIV/0!</v>
      </c>
      <c r="BI229" s="154" t="e">
        <f t="shared" si="44"/>
        <v>#DIV/0!</v>
      </c>
      <c r="BJ229" s="415">
        <f t="shared" si="51"/>
        <v>60</v>
      </c>
      <c r="BK229" s="415">
        <f t="shared" si="52"/>
        <v>112</v>
      </c>
      <c r="BL229" s="415">
        <f t="shared" si="53"/>
        <v>112</v>
      </c>
      <c r="BM229" s="415">
        <f t="shared" si="54"/>
        <v>65.133</v>
      </c>
    </row>
    <row r="230" spans="1:65" s="129" customFormat="1" ht="14.25">
      <c r="A230" s="141"/>
      <c r="B230" s="179"/>
      <c r="C230" s="158"/>
      <c r="D230" s="144">
        <v>6</v>
      </c>
      <c r="E230" s="145"/>
      <c r="F230" s="146"/>
      <c r="G230" s="165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56"/>
      <c r="S230" s="156"/>
      <c r="T230" s="152"/>
      <c r="U230" s="153"/>
      <c r="V230" s="154" t="e">
        <f t="shared" si="1"/>
        <v>#DIV/0!</v>
      </c>
      <c r="W230" s="154" t="e">
        <f t="shared" si="2"/>
        <v>#DIV/0!</v>
      </c>
      <c r="X230" s="155"/>
      <c r="Y230" s="146"/>
      <c r="Z230" s="165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56"/>
      <c r="AL230" s="156"/>
      <c r="AM230" s="156"/>
      <c r="AN230" s="153"/>
      <c r="AO230" s="154" t="e">
        <f t="shared" si="4"/>
        <v>#DIV/0!</v>
      </c>
      <c r="AP230" s="154" t="e">
        <f t="shared" si="5"/>
        <v>#DIV/0!</v>
      </c>
      <c r="AQ230" s="145"/>
      <c r="AR230" s="146"/>
      <c r="AS230" s="147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56"/>
      <c r="BE230" s="156"/>
      <c r="BF230" s="156"/>
      <c r="BG230" s="153"/>
      <c r="BH230" s="154" t="e">
        <f t="shared" si="43"/>
        <v>#DIV/0!</v>
      </c>
      <c r="BI230" s="154" t="e">
        <f t="shared" si="44"/>
        <v>#DIV/0!</v>
      </c>
      <c r="BJ230" s="415">
        <f t="shared" si="51"/>
        <v>0</v>
      </c>
      <c r="BK230" s="415">
        <f t="shared" si="52"/>
        <v>0</v>
      </c>
      <c r="BL230" s="415">
        <f t="shared" si="53"/>
        <v>0</v>
      </c>
      <c r="BM230" s="415">
        <f t="shared" si="54"/>
        <v>0</v>
      </c>
    </row>
    <row r="231" spans="1:65" s="129" customFormat="1" ht="24.75" customHeight="1">
      <c r="A231" s="130" t="s">
        <v>364</v>
      </c>
      <c r="B231" s="131" t="s">
        <v>662</v>
      </c>
      <c r="C231" s="132"/>
      <c r="D231" s="133">
        <v>6</v>
      </c>
      <c r="E231" s="134">
        <f aca="true" t="shared" si="55" ref="E231:Q231">SUM(E232:E244)</f>
        <v>800</v>
      </c>
      <c r="F231" s="134">
        <f t="shared" si="55"/>
        <v>650</v>
      </c>
      <c r="G231" s="134">
        <f>SUM(G232:G244)</f>
        <v>650</v>
      </c>
      <c r="H231" s="135">
        <f t="shared" si="55"/>
        <v>4132.164</v>
      </c>
      <c r="I231" s="135">
        <f t="shared" si="55"/>
        <v>3305.775</v>
      </c>
      <c r="J231" s="135">
        <f t="shared" si="55"/>
        <v>158.592</v>
      </c>
      <c r="K231" s="135">
        <f t="shared" si="55"/>
        <v>111.15924</v>
      </c>
      <c r="L231" s="135">
        <f t="shared" si="55"/>
        <v>60.20276</v>
      </c>
      <c r="M231" s="135">
        <f t="shared" si="55"/>
        <v>0</v>
      </c>
      <c r="N231" s="135">
        <f t="shared" si="55"/>
        <v>0</v>
      </c>
      <c r="O231" s="135">
        <f t="shared" si="55"/>
        <v>21.57592</v>
      </c>
      <c r="P231" s="135">
        <f t="shared" si="55"/>
        <v>66.08</v>
      </c>
      <c r="Q231" s="135">
        <f t="shared" si="55"/>
        <v>8.57148</v>
      </c>
      <c r="R231" s="136"/>
      <c r="S231" s="136"/>
      <c r="T231" s="137"/>
      <c r="U231" s="138"/>
      <c r="V231" s="200">
        <f t="shared" si="1"/>
        <v>5165.204999999999</v>
      </c>
      <c r="W231" s="139">
        <f t="shared" si="2"/>
        <v>6.357175384615385</v>
      </c>
      <c r="X231" s="140">
        <f aca="true" t="shared" si="56" ref="X231:AJ231">SUM(X232:X244)</f>
        <v>1652</v>
      </c>
      <c r="Y231" s="134">
        <f t="shared" si="56"/>
        <v>641</v>
      </c>
      <c r="Z231" s="134">
        <f t="shared" si="56"/>
        <v>641</v>
      </c>
      <c r="AA231" s="135">
        <f t="shared" si="56"/>
        <v>1763.7089999999998</v>
      </c>
      <c r="AB231" s="135">
        <f t="shared" si="56"/>
        <v>1386.34549</v>
      </c>
      <c r="AC231" s="135">
        <f t="shared" si="56"/>
        <v>382.90615</v>
      </c>
      <c r="AD231" s="135">
        <f>SUM(AE232:AE244)</f>
        <v>136.91884</v>
      </c>
      <c r="AE231" s="135">
        <f t="shared" si="56"/>
        <v>136.91884</v>
      </c>
      <c r="AF231" s="135">
        <f t="shared" si="56"/>
        <v>0</v>
      </c>
      <c r="AG231" s="135">
        <f>SUM(AE232:AE244)</f>
        <v>136.91884</v>
      </c>
      <c r="AH231" s="135">
        <f t="shared" si="56"/>
        <v>80.27372</v>
      </c>
      <c r="AI231" s="135">
        <f t="shared" si="56"/>
        <v>487.27</v>
      </c>
      <c r="AJ231" s="135">
        <f t="shared" si="56"/>
        <v>57.30986000000001</v>
      </c>
      <c r="AK231" s="136"/>
      <c r="AL231" s="136"/>
      <c r="AM231" s="136"/>
      <c r="AN231" s="138"/>
      <c r="AO231" s="200">
        <f t="shared" si="4"/>
        <v>1067.6204600484261</v>
      </c>
      <c r="AP231" s="139">
        <f t="shared" si="5"/>
        <v>2.7514960998439935</v>
      </c>
      <c r="AQ231" s="134">
        <f aca="true" t="shared" si="57" ref="AQ231:BC231">SUM(AQ232:AQ244)</f>
        <v>458.33333333333337</v>
      </c>
      <c r="AR231" s="134">
        <f t="shared" si="57"/>
        <v>550</v>
      </c>
      <c r="AS231" s="134">
        <f t="shared" si="57"/>
        <v>550</v>
      </c>
      <c r="AT231" s="135">
        <f t="shared" si="57"/>
        <v>534.634</v>
      </c>
      <c r="AU231" s="135">
        <f t="shared" si="57"/>
        <v>391.329</v>
      </c>
      <c r="AV231" s="135">
        <f t="shared" si="57"/>
        <v>73.00485</v>
      </c>
      <c r="AW231" s="135">
        <f>SUM(AX232:AX244)</f>
        <v>61.479</v>
      </c>
      <c r="AX231" s="135">
        <f t="shared" si="57"/>
        <v>61.479</v>
      </c>
      <c r="AY231" s="135">
        <f t="shared" si="57"/>
        <v>0</v>
      </c>
      <c r="AZ231" s="135">
        <f t="shared" si="57"/>
        <v>0</v>
      </c>
      <c r="BA231" s="135">
        <f t="shared" si="57"/>
        <v>33.818</v>
      </c>
      <c r="BB231" s="135">
        <f t="shared" si="57"/>
        <v>351.47999999999996</v>
      </c>
      <c r="BC231" s="135">
        <f t="shared" si="57"/>
        <v>28.961180000000002</v>
      </c>
      <c r="BD231" s="136"/>
      <c r="BE231" s="136"/>
      <c r="BF231" s="136"/>
      <c r="BG231" s="138"/>
      <c r="BH231" s="200">
        <f t="shared" si="43"/>
        <v>1166.474181818182</v>
      </c>
      <c r="BI231" s="139">
        <f t="shared" si="44"/>
        <v>0.9720618181818182</v>
      </c>
      <c r="BJ231" s="415">
        <f t="shared" si="51"/>
        <v>2910.3333333333335</v>
      </c>
      <c r="BK231" s="415">
        <f t="shared" si="52"/>
        <v>1841</v>
      </c>
      <c r="BL231" s="415">
        <f t="shared" si="53"/>
        <v>1841</v>
      </c>
      <c r="BM231" s="415">
        <f t="shared" si="54"/>
        <v>6430.507</v>
      </c>
    </row>
    <row r="232" spans="1:65" s="129" customFormat="1" ht="18.75" outlineLevel="1">
      <c r="A232" s="141" t="s">
        <v>366</v>
      </c>
      <c r="B232" s="142" t="s">
        <v>663</v>
      </c>
      <c r="C232" s="158" t="s">
        <v>664</v>
      </c>
      <c r="D232" s="144">
        <v>6</v>
      </c>
      <c r="E232" s="145">
        <v>800</v>
      </c>
      <c r="F232" s="146">
        <v>650</v>
      </c>
      <c r="G232" s="146">
        <v>650</v>
      </c>
      <c r="H232" s="148">
        <v>4132.164</v>
      </c>
      <c r="I232" s="149">
        <v>3305.775</v>
      </c>
      <c r="J232" s="149">
        <v>158.592</v>
      </c>
      <c r="K232" s="149">
        <f>42.5874+68.57184</f>
        <v>111.15924</v>
      </c>
      <c r="L232" s="149">
        <v>60.20276</v>
      </c>
      <c r="M232" s="149">
        <v>0</v>
      </c>
      <c r="N232" s="149">
        <v>0</v>
      </c>
      <c r="O232" s="149">
        <v>21.57592</v>
      </c>
      <c r="P232" s="149">
        <v>66.08</v>
      </c>
      <c r="Q232" s="149">
        <v>8.57148</v>
      </c>
      <c r="R232" s="150" t="s">
        <v>119</v>
      </c>
      <c r="S232" s="151" t="s">
        <v>120</v>
      </c>
      <c r="T232" s="152"/>
      <c r="U232" s="153">
        <v>394</v>
      </c>
      <c r="V232" s="201">
        <f t="shared" si="1"/>
        <v>5165.204999999999</v>
      </c>
      <c r="W232" s="154">
        <f t="shared" si="2"/>
        <v>6.357175384615385</v>
      </c>
      <c r="X232" s="155"/>
      <c r="Y232" s="146"/>
      <c r="Z232" s="146"/>
      <c r="AA232" s="148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56"/>
      <c r="AL232" s="156"/>
      <c r="AM232" s="156"/>
      <c r="AN232" s="153"/>
      <c r="AO232" s="201" t="e">
        <f t="shared" si="4"/>
        <v>#DIV/0!</v>
      </c>
      <c r="AP232" s="154" t="e">
        <f t="shared" si="5"/>
        <v>#DIV/0!</v>
      </c>
      <c r="AQ232" s="145"/>
      <c r="AR232" s="146"/>
      <c r="AS232" s="146"/>
      <c r="AT232" s="148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56"/>
      <c r="BE232" s="156"/>
      <c r="BF232" s="156"/>
      <c r="BG232" s="153"/>
      <c r="BH232" s="201" t="e">
        <f t="shared" si="43"/>
        <v>#DIV/0!</v>
      </c>
      <c r="BI232" s="154" t="e">
        <f t="shared" si="44"/>
        <v>#DIV/0!</v>
      </c>
      <c r="BJ232" s="415">
        <f t="shared" si="51"/>
        <v>800</v>
      </c>
      <c r="BK232" s="415">
        <f t="shared" si="52"/>
        <v>650</v>
      </c>
      <c r="BL232" s="415">
        <f t="shared" si="53"/>
        <v>650</v>
      </c>
      <c r="BM232" s="415">
        <f t="shared" si="54"/>
        <v>4132.164</v>
      </c>
    </row>
    <row r="233" spans="1:65" s="129" customFormat="1" ht="18.75" outlineLevel="1">
      <c r="A233" s="141" t="s">
        <v>369</v>
      </c>
      <c r="B233" s="176" t="s">
        <v>341</v>
      </c>
      <c r="C233" s="158" t="s">
        <v>342</v>
      </c>
      <c r="D233" s="144">
        <v>6</v>
      </c>
      <c r="E233" s="145"/>
      <c r="F233" s="146"/>
      <c r="G233" s="146"/>
      <c r="H233" s="162"/>
      <c r="I233" s="149"/>
      <c r="J233" s="149"/>
      <c r="K233" s="149"/>
      <c r="L233" s="149"/>
      <c r="M233" s="149"/>
      <c r="N233" s="149"/>
      <c r="O233" s="149"/>
      <c r="P233" s="149"/>
      <c r="Q233" s="149"/>
      <c r="R233" s="156"/>
      <c r="S233" s="156"/>
      <c r="T233" s="152"/>
      <c r="U233" s="153"/>
      <c r="V233" s="201" t="e">
        <f t="shared" si="1"/>
        <v>#DIV/0!</v>
      </c>
      <c r="W233" s="154" t="e">
        <f t="shared" si="2"/>
        <v>#DIV/0!</v>
      </c>
      <c r="X233" s="155">
        <v>428</v>
      </c>
      <c r="Y233" s="146">
        <v>112</v>
      </c>
      <c r="Z233" s="146">
        <v>112</v>
      </c>
      <c r="AA233" s="162">
        <v>293.097</v>
      </c>
      <c r="AB233" s="149">
        <v>234.478</v>
      </c>
      <c r="AC233" s="149">
        <v>84.9128</v>
      </c>
      <c r="AD233" s="149">
        <v>71.259</v>
      </c>
      <c r="AE233" s="149">
        <v>0</v>
      </c>
      <c r="AF233" s="149">
        <v>0</v>
      </c>
      <c r="AG233" s="149">
        <v>0</v>
      </c>
      <c r="AH233" s="149">
        <v>5.446</v>
      </c>
      <c r="AI233" s="149">
        <v>66.08</v>
      </c>
      <c r="AJ233" s="149">
        <v>8.90738</v>
      </c>
      <c r="AK233" s="150" t="s">
        <v>119</v>
      </c>
      <c r="AL233" s="151" t="s">
        <v>120</v>
      </c>
      <c r="AM233" s="156"/>
      <c r="AN233" s="153">
        <v>193</v>
      </c>
      <c r="AO233" s="201">
        <f t="shared" si="4"/>
        <v>684.8060747663551</v>
      </c>
      <c r="AP233" s="154">
        <f t="shared" si="5"/>
        <v>2.6169374999999997</v>
      </c>
      <c r="AQ233" s="145"/>
      <c r="AR233" s="146"/>
      <c r="AS233" s="146"/>
      <c r="AT233" s="162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56"/>
      <c r="BE233" s="156"/>
      <c r="BF233" s="156"/>
      <c r="BG233" s="153"/>
      <c r="BH233" s="201" t="e">
        <f t="shared" si="43"/>
        <v>#DIV/0!</v>
      </c>
      <c r="BI233" s="154" t="e">
        <f t="shared" si="44"/>
        <v>#DIV/0!</v>
      </c>
      <c r="BJ233" s="415">
        <f t="shared" si="51"/>
        <v>428</v>
      </c>
      <c r="BK233" s="415">
        <f t="shared" si="52"/>
        <v>112</v>
      </c>
      <c r="BL233" s="415">
        <f t="shared" si="53"/>
        <v>112</v>
      </c>
      <c r="BM233" s="415">
        <f t="shared" si="54"/>
        <v>293.097</v>
      </c>
    </row>
    <row r="234" spans="1:65" s="129" customFormat="1" ht="18.75" outlineLevel="1">
      <c r="A234" s="141" t="s">
        <v>372</v>
      </c>
      <c r="B234" s="173" t="s">
        <v>665</v>
      </c>
      <c r="C234" s="158" t="s">
        <v>666</v>
      </c>
      <c r="D234" s="144">
        <v>6</v>
      </c>
      <c r="E234" s="161"/>
      <c r="F234" s="161"/>
      <c r="G234" s="161"/>
      <c r="H234" s="162"/>
      <c r="I234" s="149"/>
      <c r="J234" s="149"/>
      <c r="K234" s="149"/>
      <c r="L234" s="149"/>
      <c r="M234" s="149"/>
      <c r="N234" s="149"/>
      <c r="O234" s="149"/>
      <c r="P234" s="149"/>
      <c r="Q234" s="149"/>
      <c r="R234" s="156"/>
      <c r="S234" s="156"/>
      <c r="T234" s="152"/>
      <c r="U234" s="153"/>
      <c r="V234" s="201" t="e">
        <f t="shared" si="1"/>
        <v>#DIV/0!</v>
      </c>
      <c r="W234" s="154" t="e">
        <f t="shared" si="2"/>
        <v>#DIV/0!</v>
      </c>
      <c r="X234" s="163">
        <v>37</v>
      </c>
      <c r="Y234" s="161">
        <v>100</v>
      </c>
      <c r="Z234" s="161">
        <v>100</v>
      </c>
      <c r="AA234" s="162">
        <f>118.32933+20.229</f>
        <v>138.55833</v>
      </c>
      <c r="AB234" s="149">
        <f>104.93408+16.76853</f>
        <v>121.70260999999999</v>
      </c>
      <c r="AC234" s="149">
        <v>8.3864</v>
      </c>
      <c r="AD234" s="149">
        <v>29.86272</v>
      </c>
      <c r="AE234" s="149">
        <f>6.30812+1.0697</f>
        <v>7.37782</v>
      </c>
      <c r="AF234" s="149">
        <v>0</v>
      </c>
      <c r="AG234" s="149">
        <v>0</v>
      </c>
      <c r="AH234" s="149">
        <f>1.99412+0.88427</f>
        <v>2.87839</v>
      </c>
      <c r="AI234" s="149">
        <v>76.24</v>
      </c>
      <c r="AJ234" s="149">
        <v>9.95424</v>
      </c>
      <c r="AK234" s="150" t="s">
        <v>119</v>
      </c>
      <c r="AL234" s="151" t="s">
        <v>120</v>
      </c>
      <c r="AM234" s="156"/>
      <c r="AN234" s="153">
        <v>43</v>
      </c>
      <c r="AO234" s="201">
        <f t="shared" si="4"/>
        <v>3744.81972972973</v>
      </c>
      <c r="AP234" s="154">
        <f t="shared" si="5"/>
        <v>1.3855833000000002</v>
      </c>
      <c r="AQ234" s="161"/>
      <c r="AR234" s="161"/>
      <c r="AS234" s="161"/>
      <c r="AT234" s="162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56"/>
      <c r="BE234" s="156"/>
      <c r="BF234" s="156"/>
      <c r="BG234" s="153"/>
      <c r="BH234" s="201" t="e">
        <f t="shared" si="43"/>
        <v>#DIV/0!</v>
      </c>
      <c r="BI234" s="154" t="e">
        <f t="shared" si="44"/>
        <v>#DIV/0!</v>
      </c>
      <c r="BJ234" s="415">
        <f t="shared" si="51"/>
        <v>37</v>
      </c>
      <c r="BK234" s="415">
        <f t="shared" si="52"/>
        <v>100</v>
      </c>
      <c r="BL234" s="415">
        <f t="shared" si="53"/>
        <v>100</v>
      </c>
      <c r="BM234" s="415">
        <f t="shared" si="54"/>
        <v>138.55833</v>
      </c>
    </row>
    <row r="235" spans="1:65" s="129" customFormat="1" ht="18.75" outlineLevel="1">
      <c r="A235" s="141" t="s">
        <v>375</v>
      </c>
      <c r="B235" s="173" t="s">
        <v>667</v>
      </c>
      <c r="C235" s="158" t="s">
        <v>668</v>
      </c>
      <c r="D235" s="144">
        <v>6</v>
      </c>
      <c r="E235" s="161"/>
      <c r="F235" s="161"/>
      <c r="G235" s="161"/>
      <c r="H235" s="162"/>
      <c r="I235" s="149"/>
      <c r="J235" s="149"/>
      <c r="K235" s="149"/>
      <c r="L235" s="149"/>
      <c r="M235" s="149"/>
      <c r="N235" s="149"/>
      <c r="O235" s="149"/>
      <c r="P235" s="149"/>
      <c r="Q235" s="149"/>
      <c r="R235" s="156"/>
      <c r="S235" s="156"/>
      <c r="T235" s="152"/>
      <c r="U235" s="153"/>
      <c r="V235" s="201" t="e">
        <f t="shared" si="1"/>
        <v>#DIV/0!</v>
      </c>
      <c r="W235" s="154" t="e">
        <f t="shared" si="2"/>
        <v>#DIV/0!</v>
      </c>
      <c r="X235" s="163">
        <v>15</v>
      </c>
      <c r="Y235" s="161">
        <v>15</v>
      </c>
      <c r="Z235" s="161">
        <v>15</v>
      </c>
      <c r="AA235" s="162">
        <v>43.16107</v>
      </c>
      <c r="AB235" s="149">
        <v>39.4</v>
      </c>
      <c r="AC235" s="149">
        <v>3.4308</v>
      </c>
      <c r="AD235" s="149">
        <v>5.969</v>
      </c>
      <c r="AE235" s="149">
        <v>1.272</v>
      </c>
      <c r="AF235" s="149">
        <v>0</v>
      </c>
      <c r="AG235" s="149">
        <v>0</v>
      </c>
      <c r="AH235" s="149">
        <v>0.629</v>
      </c>
      <c r="AI235" s="149">
        <v>76.24</v>
      </c>
      <c r="AJ235" s="149">
        <v>9.954</v>
      </c>
      <c r="AK235" s="150" t="s">
        <v>119</v>
      </c>
      <c r="AL235" s="151" t="s">
        <v>120</v>
      </c>
      <c r="AM235" s="156"/>
      <c r="AN235" s="153">
        <v>197</v>
      </c>
      <c r="AO235" s="201">
        <f t="shared" si="4"/>
        <v>2877.404666666667</v>
      </c>
      <c r="AP235" s="154">
        <f t="shared" si="5"/>
        <v>2.8774046666666666</v>
      </c>
      <c r="AQ235" s="161"/>
      <c r="AR235" s="161"/>
      <c r="AS235" s="161"/>
      <c r="AT235" s="162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56"/>
      <c r="BE235" s="156"/>
      <c r="BF235" s="156"/>
      <c r="BG235" s="153"/>
      <c r="BH235" s="201" t="e">
        <f t="shared" si="43"/>
        <v>#DIV/0!</v>
      </c>
      <c r="BI235" s="154" t="e">
        <f t="shared" si="44"/>
        <v>#DIV/0!</v>
      </c>
      <c r="BJ235" s="415">
        <f t="shared" si="51"/>
        <v>15</v>
      </c>
      <c r="BK235" s="415">
        <f t="shared" si="52"/>
        <v>15</v>
      </c>
      <c r="BL235" s="415">
        <f t="shared" si="53"/>
        <v>15</v>
      </c>
      <c r="BM235" s="415">
        <f t="shared" si="54"/>
        <v>43.16107</v>
      </c>
    </row>
    <row r="236" spans="1:65" s="129" customFormat="1" ht="18.75" outlineLevel="1">
      <c r="A236" s="141" t="s">
        <v>378</v>
      </c>
      <c r="B236" s="176" t="s">
        <v>282</v>
      </c>
      <c r="C236" s="158" t="s">
        <v>283</v>
      </c>
      <c r="D236" s="144">
        <v>6</v>
      </c>
      <c r="E236" s="161"/>
      <c r="F236" s="161"/>
      <c r="G236" s="161"/>
      <c r="H236" s="162"/>
      <c r="I236" s="149"/>
      <c r="J236" s="149"/>
      <c r="K236" s="149"/>
      <c r="L236" s="149"/>
      <c r="M236" s="149"/>
      <c r="N236" s="149"/>
      <c r="O236" s="149"/>
      <c r="P236" s="149"/>
      <c r="Q236" s="149"/>
      <c r="R236" s="156"/>
      <c r="S236" s="156"/>
      <c r="T236" s="152"/>
      <c r="U236" s="153"/>
      <c r="V236" s="201" t="e">
        <f t="shared" si="1"/>
        <v>#DIV/0!</v>
      </c>
      <c r="W236" s="154" t="e">
        <f t="shared" si="2"/>
        <v>#DIV/0!</v>
      </c>
      <c r="X236" s="163">
        <v>762</v>
      </c>
      <c r="Y236" s="161">
        <v>64</v>
      </c>
      <c r="Z236" s="161">
        <v>64</v>
      </c>
      <c r="AA236" s="162">
        <f>723.097+71.97983</f>
        <v>795.07683</v>
      </c>
      <c r="AB236" s="149">
        <f>540.798+65.39883</f>
        <v>606.19683</v>
      </c>
      <c r="AC236" s="149">
        <v>204.66745</v>
      </c>
      <c r="AD236" s="149">
        <v>130.66592</v>
      </c>
      <c r="AE236" s="149">
        <f>81.455+3.73167</f>
        <v>85.18666999999999</v>
      </c>
      <c r="AF236" s="149">
        <v>0</v>
      </c>
      <c r="AG236" s="149">
        <v>0</v>
      </c>
      <c r="AH236" s="149">
        <f>44.085+1.24351</f>
        <v>45.32851</v>
      </c>
      <c r="AI236" s="149">
        <v>89.57</v>
      </c>
      <c r="AJ236" s="149">
        <v>9.33328</v>
      </c>
      <c r="AK236" s="150" t="s">
        <v>119</v>
      </c>
      <c r="AL236" s="151" t="s">
        <v>120</v>
      </c>
      <c r="AM236" s="156"/>
      <c r="AN236" s="153">
        <v>229</v>
      </c>
      <c r="AO236" s="201">
        <f t="shared" si="4"/>
        <v>1043.4079133858268</v>
      </c>
      <c r="AP236" s="154">
        <f t="shared" si="5"/>
        <v>12.42307546875</v>
      </c>
      <c r="AQ236" s="161"/>
      <c r="AR236" s="161"/>
      <c r="AS236" s="161"/>
      <c r="AT236" s="162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56"/>
      <c r="BE236" s="156"/>
      <c r="BF236" s="156"/>
      <c r="BG236" s="153"/>
      <c r="BH236" s="201" t="e">
        <f t="shared" si="43"/>
        <v>#DIV/0!</v>
      </c>
      <c r="BI236" s="154" t="e">
        <f t="shared" si="44"/>
        <v>#DIV/0!</v>
      </c>
      <c r="BJ236" s="415">
        <f t="shared" si="51"/>
        <v>762</v>
      </c>
      <c r="BK236" s="415">
        <f t="shared" si="52"/>
        <v>64</v>
      </c>
      <c r="BL236" s="415">
        <f t="shared" si="53"/>
        <v>64</v>
      </c>
      <c r="BM236" s="415">
        <f t="shared" si="54"/>
        <v>795.07683</v>
      </c>
    </row>
    <row r="237" spans="1:65" s="129" customFormat="1" ht="18.75" outlineLevel="1">
      <c r="A237" s="141" t="s">
        <v>381</v>
      </c>
      <c r="B237" s="173" t="s">
        <v>421</v>
      </c>
      <c r="C237" s="158" t="s">
        <v>422</v>
      </c>
      <c r="D237" s="144">
        <v>6</v>
      </c>
      <c r="E237" s="161"/>
      <c r="F237" s="161"/>
      <c r="G237" s="161"/>
      <c r="H237" s="162"/>
      <c r="I237" s="149"/>
      <c r="J237" s="149"/>
      <c r="K237" s="149"/>
      <c r="L237" s="149"/>
      <c r="M237" s="149"/>
      <c r="N237" s="149"/>
      <c r="O237" s="149"/>
      <c r="P237" s="149"/>
      <c r="Q237" s="149"/>
      <c r="R237" s="156"/>
      <c r="S237" s="156"/>
      <c r="T237" s="152"/>
      <c r="U237" s="153"/>
      <c r="V237" s="201" t="e">
        <f t="shared" si="1"/>
        <v>#DIV/0!</v>
      </c>
      <c r="W237" s="154" t="e">
        <f t="shared" si="2"/>
        <v>#DIV/0!</v>
      </c>
      <c r="X237" s="163">
        <v>183</v>
      </c>
      <c r="Y237" s="161">
        <v>100</v>
      </c>
      <c r="Z237" s="161">
        <v>100</v>
      </c>
      <c r="AA237" s="162">
        <v>253.515</v>
      </c>
      <c r="AB237" s="149">
        <v>186.483</v>
      </c>
      <c r="AC237" s="149">
        <v>49.2635</v>
      </c>
      <c r="AD237" s="149">
        <v>37.33312</v>
      </c>
      <c r="AE237" s="149">
        <v>22.758</v>
      </c>
      <c r="AF237" s="149">
        <v>0</v>
      </c>
      <c r="AG237" s="149">
        <v>0</v>
      </c>
      <c r="AH237" s="149">
        <v>17.46</v>
      </c>
      <c r="AI237" s="149">
        <v>89.57</v>
      </c>
      <c r="AJ237" s="149">
        <v>9.33328</v>
      </c>
      <c r="AK237" s="150" t="s">
        <v>119</v>
      </c>
      <c r="AL237" s="151" t="s">
        <v>120</v>
      </c>
      <c r="AM237" s="156"/>
      <c r="AN237" s="153">
        <v>275</v>
      </c>
      <c r="AO237" s="201">
        <f t="shared" si="4"/>
        <v>1385.3278688524588</v>
      </c>
      <c r="AP237" s="154">
        <f t="shared" si="5"/>
        <v>2.53515</v>
      </c>
      <c r="AQ237" s="161"/>
      <c r="AR237" s="161"/>
      <c r="AS237" s="161"/>
      <c r="AT237" s="162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56"/>
      <c r="BE237" s="156"/>
      <c r="BF237" s="156"/>
      <c r="BG237" s="153"/>
      <c r="BH237" s="201" t="e">
        <f t="shared" si="43"/>
        <v>#DIV/0!</v>
      </c>
      <c r="BI237" s="154" t="e">
        <f t="shared" si="44"/>
        <v>#DIV/0!</v>
      </c>
      <c r="BJ237" s="415">
        <f t="shared" si="51"/>
        <v>183</v>
      </c>
      <c r="BK237" s="415">
        <f t="shared" si="52"/>
        <v>100</v>
      </c>
      <c r="BL237" s="415">
        <f t="shared" si="53"/>
        <v>100</v>
      </c>
      <c r="BM237" s="415">
        <f t="shared" si="54"/>
        <v>253.515</v>
      </c>
    </row>
    <row r="238" spans="1:65" s="129" customFormat="1" ht="18.75" outlineLevel="1">
      <c r="A238" s="141" t="s">
        <v>384</v>
      </c>
      <c r="B238" s="173" t="s">
        <v>669</v>
      </c>
      <c r="C238" s="158" t="s">
        <v>670</v>
      </c>
      <c r="D238" s="144">
        <v>6</v>
      </c>
      <c r="E238" s="161"/>
      <c r="F238" s="161"/>
      <c r="G238" s="161"/>
      <c r="H238" s="162"/>
      <c r="I238" s="149"/>
      <c r="J238" s="149"/>
      <c r="K238" s="149"/>
      <c r="L238" s="149"/>
      <c r="M238" s="149"/>
      <c r="N238" s="149"/>
      <c r="O238" s="149"/>
      <c r="P238" s="149"/>
      <c r="Q238" s="149"/>
      <c r="R238" s="156"/>
      <c r="S238" s="156"/>
      <c r="T238" s="152"/>
      <c r="U238" s="153"/>
      <c r="V238" s="201" t="e">
        <f t="shared" si="1"/>
        <v>#DIV/0!</v>
      </c>
      <c r="W238" s="154" t="e">
        <f t="shared" si="2"/>
        <v>#DIV/0!</v>
      </c>
      <c r="X238" s="163">
        <v>107</v>
      </c>
      <c r="Y238" s="161">
        <v>200</v>
      </c>
      <c r="Z238" s="161">
        <v>200</v>
      </c>
      <c r="AA238" s="162">
        <v>159.07892</v>
      </c>
      <c r="AB238" s="149">
        <v>136.714</v>
      </c>
      <c r="AC238" s="149">
        <v>0</v>
      </c>
      <c r="AD238" s="149">
        <f>49.1384+39.31072</f>
        <v>88.44912</v>
      </c>
      <c r="AE238" s="149">
        <v>11.692</v>
      </c>
      <c r="AF238" s="149">
        <v>0</v>
      </c>
      <c r="AG238" s="149">
        <v>0</v>
      </c>
      <c r="AH238" s="149">
        <v>3.554</v>
      </c>
      <c r="AI238" s="149">
        <v>0</v>
      </c>
      <c r="AJ238" s="149">
        <v>9.82768</v>
      </c>
      <c r="AK238" s="150" t="s">
        <v>119</v>
      </c>
      <c r="AL238" s="151" t="s">
        <v>120</v>
      </c>
      <c r="AM238" s="156"/>
      <c r="AN238" s="202"/>
      <c r="AO238" s="201">
        <f t="shared" si="4"/>
        <v>1486.718878504673</v>
      </c>
      <c r="AP238" s="154">
        <f t="shared" si="5"/>
        <v>0.7953946000000001</v>
      </c>
      <c r="AQ238" s="161"/>
      <c r="AR238" s="161"/>
      <c r="AS238" s="161"/>
      <c r="AT238" s="162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56"/>
      <c r="BE238" s="156"/>
      <c r="BF238" s="156"/>
      <c r="BG238" s="153"/>
      <c r="BH238" s="201" t="e">
        <f t="shared" si="43"/>
        <v>#DIV/0!</v>
      </c>
      <c r="BI238" s="154" t="e">
        <f t="shared" si="44"/>
        <v>#DIV/0!</v>
      </c>
      <c r="BJ238" s="415">
        <f t="shared" si="51"/>
        <v>107</v>
      </c>
      <c r="BK238" s="415">
        <f t="shared" si="52"/>
        <v>200</v>
      </c>
      <c r="BL238" s="415">
        <f t="shared" si="53"/>
        <v>200</v>
      </c>
      <c r="BM238" s="415">
        <f t="shared" si="54"/>
        <v>159.07892</v>
      </c>
    </row>
    <row r="239" spans="1:65" s="129" customFormat="1" ht="18.75" outlineLevel="1">
      <c r="A239" s="141" t="s">
        <v>387</v>
      </c>
      <c r="B239" s="159" t="s">
        <v>671</v>
      </c>
      <c r="C239" s="160" t="s">
        <v>672</v>
      </c>
      <c r="D239" s="144">
        <v>6</v>
      </c>
      <c r="E239" s="145"/>
      <c r="F239" s="161"/>
      <c r="G239" s="161"/>
      <c r="H239" s="162"/>
      <c r="I239" s="149"/>
      <c r="J239" s="149"/>
      <c r="K239" s="149"/>
      <c r="L239" s="149"/>
      <c r="M239" s="149"/>
      <c r="N239" s="149"/>
      <c r="O239" s="149"/>
      <c r="P239" s="149"/>
      <c r="Q239" s="149"/>
      <c r="R239" s="156"/>
      <c r="S239" s="156"/>
      <c r="T239" s="152"/>
      <c r="U239" s="153"/>
      <c r="V239" s="201" t="e">
        <f t="shared" si="1"/>
        <v>#DIV/0!</v>
      </c>
      <c r="W239" s="154" t="e">
        <f t="shared" si="2"/>
        <v>#DIV/0!</v>
      </c>
      <c r="X239" s="155">
        <v>120</v>
      </c>
      <c r="Y239" s="161">
        <v>50</v>
      </c>
      <c r="Z239" s="161">
        <v>50</v>
      </c>
      <c r="AA239" s="162">
        <v>81.22185</v>
      </c>
      <c r="AB239" s="149">
        <v>61.37105</v>
      </c>
      <c r="AC239" s="149">
        <v>32.2452</v>
      </c>
      <c r="AD239" s="149">
        <v>29.126</v>
      </c>
      <c r="AE239" s="149">
        <v>8.63235</v>
      </c>
      <c r="AF239" s="149">
        <v>0</v>
      </c>
      <c r="AG239" s="149">
        <v>0</v>
      </c>
      <c r="AH239" s="149">
        <v>4.97782</v>
      </c>
      <c r="AI239" s="149">
        <v>89.57</v>
      </c>
      <c r="AJ239" s="149">
        <v>0</v>
      </c>
      <c r="AK239" s="150" t="s">
        <v>119</v>
      </c>
      <c r="AL239" s="151" t="s">
        <v>120</v>
      </c>
      <c r="AM239" s="156"/>
      <c r="AN239" s="153">
        <v>133</v>
      </c>
      <c r="AO239" s="201">
        <f t="shared" si="4"/>
        <v>676.84875</v>
      </c>
      <c r="AP239" s="154">
        <f t="shared" si="5"/>
        <v>1.6244370000000001</v>
      </c>
      <c r="AQ239" s="145"/>
      <c r="AR239" s="161"/>
      <c r="AS239" s="161"/>
      <c r="AT239" s="162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56"/>
      <c r="BE239" s="156"/>
      <c r="BF239" s="156"/>
      <c r="BG239" s="153"/>
      <c r="BH239" s="201" t="e">
        <f t="shared" si="43"/>
        <v>#DIV/0!</v>
      </c>
      <c r="BI239" s="154" t="e">
        <f t="shared" si="44"/>
        <v>#DIV/0!</v>
      </c>
      <c r="BJ239" s="415">
        <f t="shared" si="51"/>
        <v>120</v>
      </c>
      <c r="BK239" s="415">
        <f t="shared" si="52"/>
        <v>50</v>
      </c>
      <c r="BL239" s="415">
        <f t="shared" si="53"/>
        <v>50</v>
      </c>
      <c r="BM239" s="415">
        <f t="shared" si="54"/>
        <v>81.22185</v>
      </c>
    </row>
    <row r="240" spans="1:65" s="129" customFormat="1" ht="18.75" outlineLevel="1">
      <c r="A240" s="141" t="s">
        <v>390</v>
      </c>
      <c r="B240" s="177" t="s">
        <v>513</v>
      </c>
      <c r="C240" s="158" t="s">
        <v>514</v>
      </c>
      <c r="D240" s="144">
        <v>6</v>
      </c>
      <c r="E240" s="145"/>
      <c r="F240" s="146"/>
      <c r="G240" s="165"/>
      <c r="H240" s="166"/>
      <c r="I240" s="149"/>
      <c r="J240" s="149"/>
      <c r="K240" s="149"/>
      <c r="L240" s="149"/>
      <c r="M240" s="149"/>
      <c r="N240" s="149"/>
      <c r="O240" s="149"/>
      <c r="P240" s="149"/>
      <c r="Q240" s="149"/>
      <c r="R240" s="156"/>
      <c r="S240" s="156"/>
      <c r="T240" s="152"/>
      <c r="U240" s="153"/>
      <c r="V240" s="201" t="e">
        <f t="shared" si="1"/>
        <v>#DIV/0!</v>
      </c>
      <c r="W240" s="154" t="e">
        <f t="shared" si="2"/>
        <v>#DIV/0!</v>
      </c>
      <c r="X240" s="155"/>
      <c r="Y240" s="146"/>
      <c r="Z240" s="165"/>
      <c r="AA240" s="166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56"/>
      <c r="AL240" s="156"/>
      <c r="AM240" s="156"/>
      <c r="AN240" s="153"/>
      <c r="AO240" s="201" t="e">
        <f t="shared" si="4"/>
        <v>#DIV/0!</v>
      </c>
      <c r="AP240" s="154" t="e">
        <f t="shared" si="5"/>
        <v>#DIV/0!</v>
      </c>
      <c r="AQ240" s="145">
        <f>550/3</f>
        <v>183.33333333333334</v>
      </c>
      <c r="AR240" s="146">
        <v>15</v>
      </c>
      <c r="AS240" s="147">
        <v>15</v>
      </c>
      <c r="AT240" s="166">
        <v>366.905</v>
      </c>
      <c r="AU240" s="149">
        <v>255.054</v>
      </c>
      <c r="AV240" s="149">
        <v>49.2635</v>
      </c>
      <c r="AW240" s="149">
        <f>76.14912+38.07456+28.55592</f>
        <v>142.77960000000002</v>
      </c>
      <c r="AX240" s="149">
        <v>50.527</v>
      </c>
      <c r="AY240" s="149">
        <v>0</v>
      </c>
      <c r="AZ240" s="149">
        <v>0</v>
      </c>
      <c r="BA240" s="149">
        <v>26.074</v>
      </c>
      <c r="BB240" s="149">
        <v>89.57</v>
      </c>
      <c r="BC240" s="149">
        <v>9.51864</v>
      </c>
      <c r="BD240" s="150" t="s">
        <v>119</v>
      </c>
      <c r="BE240" s="151" t="s">
        <v>120</v>
      </c>
      <c r="BF240" s="156"/>
      <c r="BG240" s="153">
        <v>24</v>
      </c>
      <c r="BH240" s="201">
        <f t="shared" si="43"/>
        <v>2001.2999999999997</v>
      </c>
      <c r="BI240" s="154">
        <f t="shared" si="44"/>
        <v>24.46033333333333</v>
      </c>
      <c r="BJ240" s="415">
        <f t="shared" si="51"/>
        <v>183.33333333333334</v>
      </c>
      <c r="BK240" s="415">
        <f t="shared" si="52"/>
        <v>15</v>
      </c>
      <c r="BL240" s="415">
        <f t="shared" si="53"/>
        <v>15</v>
      </c>
      <c r="BM240" s="415">
        <f t="shared" si="54"/>
        <v>366.905</v>
      </c>
    </row>
    <row r="241" spans="1:65" s="129" customFormat="1" ht="18.75" outlineLevel="1">
      <c r="A241" s="141" t="s">
        <v>393</v>
      </c>
      <c r="B241" s="177" t="s">
        <v>673</v>
      </c>
      <c r="C241" s="158" t="s">
        <v>674</v>
      </c>
      <c r="D241" s="144">
        <v>6</v>
      </c>
      <c r="E241" s="145"/>
      <c r="F241" s="146"/>
      <c r="G241" s="165"/>
      <c r="H241" s="166"/>
      <c r="I241" s="149"/>
      <c r="J241" s="149"/>
      <c r="K241" s="149"/>
      <c r="L241" s="149"/>
      <c r="M241" s="149"/>
      <c r="N241" s="149"/>
      <c r="O241" s="149"/>
      <c r="P241" s="149"/>
      <c r="Q241" s="149"/>
      <c r="R241" s="156"/>
      <c r="S241" s="156"/>
      <c r="T241" s="152"/>
      <c r="U241" s="153"/>
      <c r="V241" s="201" t="e">
        <f t="shared" si="1"/>
        <v>#DIV/0!</v>
      </c>
      <c r="W241" s="154" t="e">
        <f t="shared" si="2"/>
        <v>#DIV/0!</v>
      </c>
      <c r="X241" s="155"/>
      <c r="Y241" s="146"/>
      <c r="Z241" s="165"/>
      <c r="AA241" s="166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56"/>
      <c r="AL241" s="156"/>
      <c r="AM241" s="156"/>
      <c r="AN241" s="153"/>
      <c r="AO241" s="201" t="e">
        <f t="shared" si="4"/>
        <v>#DIV/0!</v>
      </c>
      <c r="AP241" s="154" t="e">
        <f t="shared" si="5"/>
        <v>#DIV/0!</v>
      </c>
      <c r="AQ241" s="145">
        <v>70</v>
      </c>
      <c r="AR241" s="146">
        <v>100</v>
      </c>
      <c r="AS241" s="147">
        <v>100</v>
      </c>
      <c r="AT241" s="166">
        <v>52.253</v>
      </c>
      <c r="AU241" s="149">
        <v>35.402</v>
      </c>
      <c r="AV241" s="149">
        <v>6.104</v>
      </c>
      <c r="AW241" s="149">
        <v>17.946</v>
      </c>
      <c r="AX241" s="149">
        <v>6.26</v>
      </c>
      <c r="AY241" s="149">
        <v>0</v>
      </c>
      <c r="AZ241" s="149">
        <v>0</v>
      </c>
      <c r="BA241" s="149">
        <v>4.386</v>
      </c>
      <c r="BB241" s="149">
        <v>87.2</v>
      </c>
      <c r="BC241" s="149">
        <v>8.973</v>
      </c>
      <c r="BD241" s="150" t="s">
        <v>119</v>
      </c>
      <c r="BE241" s="151" t="s">
        <v>120</v>
      </c>
      <c r="BF241" s="156"/>
      <c r="BG241" s="153">
        <v>95</v>
      </c>
      <c r="BH241" s="201">
        <f t="shared" si="43"/>
        <v>746.4714285714285</v>
      </c>
      <c r="BI241" s="154">
        <f t="shared" si="44"/>
        <v>0.52253</v>
      </c>
      <c r="BJ241" s="415">
        <f t="shared" si="51"/>
        <v>70</v>
      </c>
      <c r="BK241" s="415">
        <f t="shared" si="52"/>
        <v>100</v>
      </c>
      <c r="BL241" s="415">
        <f t="shared" si="53"/>
        <v>100</v>
      </c>
      <c r="BM241" s="415">
        <f t="shared" si="54"/>
        <v>52.253</v>
      </c>
    </row>
    <row r="242" spans="1:65" s="129" customFormat="1" ht="18.75" outlineLevel="1">
      <c r="A242" s="141" t="s">
        <v>396</v>
      </c>
      <c r="B242" s="177" t="s">
        <v>675</v>
      </c>
      <c r="C242" s="158" t="s">
        <v>676</v>
      </c>
      <c r="D242" s="144">
        <v>6</v>
      </c>
      <c r="E242" s="145"/>
      <c r="F242" s="146"/>
      <c r="G242" s="165"/>
      <c r="H242" s="166"/>
      <c r="I242" s="149"/>
      <c r="J242" s="149"/>
      <c r="K242" s="149"/>
      <c r="L242" s="149"/>
      <c r="M242" s="149"/>
      <c r="N242" s="149"/>
      <c r="O242" s="149"/>
      <c r="P242" s="149"/>
      <c r="Q242" s="149"/>
      <c r="R242" s="156"/>
      <c r="S242" s="156"/>
      <c r="T242" s="152"/>
      <c r="U242" s="153"/>
      <c r="V242" s="201" t="e">
        <f t="shared" si="1"/>
        <v>#DIV/0!</v>
      </c>
      <c r="W242" s="154" t="e">
        <f t="shared" si="2"/>
        <v>#DIV/0!</v>
      </c>
      <c r="X242" s="155"/>
      <c r="Y242" s="146"/>
      <c r="Z242" s="165"/>
      <c r="AA242" s="166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56"/>
      <c r="AL242" s="156"/>
      <c r="AM242" s="156"/>
      <c r="AN242" s="153"/>
      <c r="AO242" s="201" t="e">
        <f t="shared" si="4"/>
        <v>#DIV/0!</v>
      </c>
      <c r="AP242" s="154" t="e">
        <f t="shared" si="5"/>
        <v>#DIV/0!</v>
      </c>
      <c r="AQ242" s="145">
        <v>55</v>
      </c>
      <c r="AR242" s="146">
        <v>50</v>
      </c>
      <c r="AS242" s="147">
        <v>50</v>
      </c>
      <c r="AT242" s="166">
        <v>32.762</v>
      </c>
      <c r="AU242" s="149">
        <v>27.662</v>
      </c>
      <c r="AV242" s="149">
        <v>4.92635</v>
      </c>
      <c r="AW242" s="149">
        <v>2.9836</v>
      </c>
      <c r="AX242" s="149">
        <v>0</v>
      </c>
      <c r="AY242" s="149">
        <v>0</v>
      </c>
      <c r="AZ242" s="149">
        <v>0</v>
      </c>
      <c r="BA242" s="149">
        <v>1.189</v>
      </c>
      <c r="BB242" s="149">
        <v>89.57</v>
      </c>
      <c r="BC242" s="149">
        <v>1.4918</v>
      </c>
      <c r="BD242" s="150" t="s">
        <v>119</v>
      </c>
      <c r="BE242" s="151" t="s">
        <v>120</v>
      </c>
      <c r="BF242" s="156"/>
      <c r="BG242" s="153">
        <v>207</v>
      </c>
      <c r="BH242" s="201">
        <f t="shared" si="43"/>
        <v>595.6727272727272</v>
      </c>
      <c r="BI242" s="154">
        <f t="shared" si="44"/>
        <v>0.65524</v>
      </c>
      <c r="BJ242" s="415">
        <f t="shared" si="51"/>
        <v>55</v>
      </c>
      <c r="BK242" s="415">
        <f t="shared" si="52"/>
        <v>50</v>
      </c>
      <c r="BL242" s="415">
        <f t="shared" si="53"/>
        <v>50</v>
      </c>
      <c r="BM242" s="415">
        <f t="shared" si="54"/>
        <v>32.762</v>
      </c>
    </row>
    <row r="243" spans="1:65" s="129" customFormat="1" ht="18.75" outlineLevel="1">
      <c r="A243" s="141" t="s">
        <v>399</v>
      </c>
      <c r="B243" s="177" t="s">
        <v>677</v>
      </c>
      <c r="C243" s="158" t="s">
        <v>678</v>
      </c>
      <c r="D243" s="144">
        <v>6</v>
      </c>
      <c r="E243" s="145"/>
      <c r="F243" s="146"/>
      <c r="G243" s="165"/>
      <c r="H243" s="166"/>
      <c r="I243" s="149"/>
      <c r="J243" s="149"/>
      <c r="K243" s="149"/>
      <c r="L243" s="149"/>
      <c r="M243" s="149"/>
      <c r="N243" s="149"/>
      <c r="O243" s="149"/>
      <c r="P243" s="149"/>
      <c r="Q243" s="149"/>
      <c r="R243" s="156"/>
      <c r="S243" s="156"/>
      <c r="T243" s="152"/>
      <c r="U243" s="153"/>
      <c r="V243" s="201" t="e">
        <f t="shared" si="1"/>
        <v>#DIV/0!</v>
      </c>
      <c r="W243" s="154" t="e">
        <f t="shared" si="2"/>
        <v>#DIV/0!</v>
      </c>
      <c r="X243" s="155"/>
      <c r="Y243" s="146"/>
      <c r="Z243" s="165"/>
      <c r="AA243" s="166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56"/>
      <c r="AL243" s="156"/>
      <c r="AM243" s="156"/>
      <c r="AN243" s="153"/>
      <c r="AO243" s="201" t="e">
        <f t="shared" si="4"/>
        <v>#DIV/0!</v>
      </c>
      <c r="AP243" s="154" t="e">
        <f t="shared" si="5"/>
        <v>#DIV/0!</v>
      </c>
      <c r="AQ243" s="145">
        <v>150</v>
      </c>
      <c r="AR243" s="146">
        <v>385</v>
      </c>
      <c r="AS243" s="147">
        <v>385</v>
      </c>
      <c r="AT243" s="166">
        <v>82.714</v>
      </c>
      <c r="AU243" s="149">
        <v>73.211</v>
      </c>
      <c r="AV243" s="149">
        <v>12.711</v>
      </c>
      <c r="AW243" s="149">
        <v>17.95548</v>
      </c>
      <c r="AX243" s="149">
        <v>4.692</v>
      </c>
      <c r="AY243" s="149">
        <v>0</v>
      </c>
      <c r="AZ243" s="149">
        <v>0</v>
      </c>
      <c r="BA243" s="149">
        <v>2.169</v>
      </c>
      <c r="BB243" s="149">
        <v>85.14</v>
      </c>
      <c r="BC243" s="149">
        <v>8.97774</v>
      </c>
      <c r="BD243" s="150" t="s">
        <v>119</v>
      </c>
      <c r="BE243" s="151" t="s">
        <v>120</v>
      </c>
      <c r="BF243" s="156"/>
      <c r="BG243" s="153">
        <v>321</v>
      </c>
      <c r="BH243" s="201">
        <f t="shared" si="43"/>
        <v>551.4266666666666</v>
      </c>
      <c r="BI243" s="154">
        <f t="shared" si="44"/>
        <v>0.21484155844155844</v>
      </c>
      <c r="BJ243" s="415">
        <f t="shared" si="51"/>
        <v>150</v>
      </c>
      <c r="BK243" s="415">
        <f t="shared" si="52"/>
        <v>385</v>
      </c>
      <c r="BL243" s="415">
        <f t="shared" si="53"/>
        <v>385</v>
      </c>
      <c r="BM243" s="415">
        <f t="shared" si="54"/>
        <v>82.714</v>
      </c>
    </row>
    <row r="244" spans="1:65" s="129" customFormat="1" ht="14.25">
      <c r="A244" s="141"/>
      <c r="B244" s="179"/>
      <c r="C244" s="190"/>
      <c r="D244" s="144"/>
      <c r="E244" s="165"/>
      <c r="F244" s="165"/>
      <c r="G244" s="165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56"/>
      <c r="S244" s="156"/>
      <c r="T244" s="152"/>
      <c r="U244" s="153"/>
      <c r="V244" s="201" t="e">
        <f t="shared" si="1"/>
        <v>#DIV/0!</v>
      </c>
      <c r="W244" s="154" t="e">
        <f t="shared" si="2"/>
        <v>#DIV/0!</v>
      </c>
      <c r="X244" s="203"/>
      <c r="Y244" s="165"/>
      <c r="Z244" s="165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56"/>
      <c r="AL244" s="156"/>
      <c r="AM244" s="156"/>
      <c r="AN244" s="153"/>
      <c r="AO244" s="201" t="e">
        <f t="shared" si="4"/>
        <v>#DIV/0!</v>
      </c>
      <c r="AP244" s="154" t="e">
        <f t="shared" si="5"/>
        <v>#DIV/0!</v>
      </c>
      <c r="AQ244" s="165"/>
      <c r="AR244" s="147"/>
      <c r="AS244" s="147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56"/>
      <c r="BE244" s="156"/>
      <c r="BF244" s="156"/>
      <c r="BG244" s="153"/>
      <c r="BH244" s="201" t="e">
        <f t="shared" si="43"/>
        <v>#DIV/0!</v>
      </c>
      <c r="BI244" s="154" t="e">
        <f t="shared" si="44"/>
        <v>#DIV/0!</v>
      </c>
      <c r="BJ244" s="415">
        <f t="shared" si="51"/>
        <v>0</v>
      </c>
      <c r="BK244" s="415">
        <f t="shared" si="52"/>
        <v>0</v>
      </c>
      <c r="BL244" s="415">
        <f t="shared" si="53"/>
        <v>0</v>
      </c>
      <c r="BM244" s="415">
        <f t="shared" si="54"/>
        <v>0</v>
      </c>
    </row>
    <row r="245" spans="1:65" s="129" customFormat="1" ht="86.25" customHeight="1">
      <c r="A245" s="119" t="s">
        <v>679</v>
      </c>
      <c r="B245" s="120" t="s">
        <v>680</v>
      </c>
      <c r="C245" s="121"/>
      <c r="D245" s="122"/>
      <c r="E245" s="123">
        <f aca="true" t="shared" si="58" ref="E245:Q245">E246+E249</f>
        <v>0</v>
      </c>
      <c r="F245" s="123">
        <f t="shared" si="58"/>
        <v>0</v>
      </c>
      <c r="G245" s="123">
        <f>G246+G249</f>
        <v>0</v>
      </c>
      <c r="H245" s="124">
        <f t="shared" si="58"/>
        <v>0</v>
      </c>
      <c r="I245" s="124">
        <f t="shared" si="58"/>
        <v>0</v>
      </c>
      <c r="J245" s="124">
        <f t="shared" si="58"/>
        <v>0</v>
      </c>
      <c r="K245" s="124">
        <f t="shared" si="58"/>
        <v>0</v>
      </c>
      <c r="L245" s="124">
        <f t="shared" si="58"/>
        <v>0</v>
      </c>
      <c r="M245" s="124">
        <f t="shared" si="58"/>
        <v>0</v>
      </c>
      <c r="N245" s="124">
        <f t="shared" si="58"/>
        <v>0</v>
      </c>
      <c r="O245" s="124">
        <f t="shared" si="58"/>
        <v>0</v>
      </c>
      <c r="P245" s="124">
        <f t="shared" si="58"/>
        <v>0</v>
      </c>
      <c r="Q245" s="124">
        <f t="shared" si="58"/>
        <v>0</v>
      </c>
      <c r="R245" s="125"/>
      <c r="S245" s="125"/>
      <c r="T245" s="126"/>
      <c r="U245" s="127"/>
      <c r="V245" s="128" t="e">
        <f t="shared" si="1"/>
        <v>#DIV/0!</v>
      </c>
      <c r="W245" s="128" t="e">
        <f t="shared" si="2"/>
        <v>#DIV/0!</v>
      </c>
      <c r="X245" s="191">
        <f aca="true" t="shared" si="59" ref="X245:AJ245">X246+X249</f>
        <v>0</v>
      </c>
      <c r="Y245" s="123">
        <f t="shared" si="59"/>
        <v>0</v>
      </c>
      <c r="Z245" s="123">
        <f t="shared" si="59"/>
        <v>0</v>
      </c>
      <c r="AA245" s="124">
        <f t="shared" si="59"/>
        <v>0</v>
      </c>
      <c r="AB245" s="124">
        <f t="shared" si="59"/>
        <v>0</v>
      </c>
      <c r="AC245" s="124">
        <f t="shared" si="59"/>
        <v>0</v>
      </c>
      <c r="AD245" s="124">
        <f>AE246+AE249</f>
        <v>0</v>
      </c>
      <c r="AE245" s="124">
        <f t="shared" si="59"/>
        <v>0</v>
      </c>
      <c r="AF245" s="124">
        <f t="shared" si="59"/>
        <v>0</v>
      </c>
      <c r="AG245" s="124">
        <f>AE246+AE249</f>
        <v>0</v>
      </c>
      <c r="AH245" s="124">
        <f t="shared" si="59"/>
        <v>0</v>
      </c>
      <c r="AI245" s="124">
        <f t="shared" si="59"/>
        <v>0</v>
      </c>
      <c r="AJ245" s="124">
        <f t="shared" si="59"/>
        <v>0</v>
      </c>
      <c r="AK245" s="125"/>
      <c r="AL245" s="125"/>
      <c r="AM245" s="125"/>
      <c r="AN245" s="127"/>
      <c r="AO245" s="128" t="e">
        <f t="shared" si="4"/>
        <v>#DIV/0!</v>
      </c>
      <c r="AP245" s="128" t="e">
        <f t="shared" si="5"/>
        <v>#DIV/0!</v>
      </c>
      <c r="AQ245" s="123">
        <f aca="true" t="shared" si="60" ref="AQ245:BC245">AQ246+AQ249</f>
        <v>220</v>
      </c>
      <c r="AR245" s="123">
        <f t="shared" si="60"/>
        <v>350</v>
      </c>
      <c r="AS245" s="123">
        <f t="shared" si="60"/>
        <v>350</v>
      </c>
      <c r="AT245" s="124">
        <f t="shared" si="60"/>
        <v>245.348</v>
      </c>
      <c r="AU245" s="124">
        <f t="shared" si="60"/>
        <v>180.803</v>
      </c>
      <c r="AV245" s="124">
        <f t="shared" si="60"/>
        <v>73.0092</v>
      </c>
      <c r="AW245" s="124">
        <f>AX246+AX249</f>
        <v>29.853</v>
      </c>
      <c r="AX245" s="124">
        <f t="shared" si="60"/>
        <v>29.853</v>
      </c>
      <c r="AY245" s="124">
        <f t="shared" si="60"/>
        <v>0</v>
      </c>
      <c r="AZ245" s="124">
        <f t="shared" si="60"/>
        <v>0</v>
      </c>
      <c r="BA245" s="124">
        <f t="shared" si="60"/>
        <v>15.389</v>
      </c>
      <c r="BB245" s="124">
        <f t="shared" si="60"/>
        <v>331.86</v>
      </c>
      <c r="BC245" s="124">
        <f t="shared" si="60"/>
        <v>8.97358</v>
      </c>
      <c r="BD245" s="125"/>
      <c r="BE245" s="125"/>
      <c r="BF245" s="125"/>
      <c r="BG245" s="127"/>
      <c r="BH245" s="128">
        <f t="shared" si="43"/>
        <v>1115.2181818181818</v>
      </c>
      <c r="BI245" s="128">
        <f t="shared" si="44"/>
        <v>0.7009942857142858</v>
      </c>
      <c r="BJ245" s="415">
        <f t="shared" si="51"/>
        <v>220</v>
      </c>
      <c r="BK245" s="415">
        <f t="shared" si="52"/>
        <v>350</v>
      </c>
      <c r="BL245" s="415">
        <f t="shared" si="53"/>
        <v>350</v>
      </c>
      <c r="BM245" s="415">
        <f t="shared" si="54"/>
        <v>245.348</v>
      </c>
    </row>
    <row r="246" spans="1:65" s="129" customFormat="1" ht="24.75" customHeight="1">
      <c r="A246" s="130" t="s">
        <v>114</v>
      </c>
      <c r="B246" s="131" t="s">
        <v>681</v>
      </c>
      <c r="C246" s="132"/>
      <c r="D246" s="133">
        <v>0.4</v>
      </c>
      <c r="E246" s="134">
        <f aca="true" t="shared" si="61" ref="E246:Q246">SUM(E247:E248)</f>
        <v>0</v>
      </c>
      <c r="F246" s="134">
        <f t="shared" si="61"/>
        <v>0</v>
      </c>
      <c r="G246" s="134">
        <f>SUM(G247:G248)</f>
        <v>0</v>
      </c>
      <c r="H246" s="135">
        <f t="shared" si="61"/>
        <v>0</v>
      </c>
      <c r="I246" s="135">
        <f t="shared" si="61"/>
        <v>0</v>
      </c>
      <c r="J246" s="135">
        <f t="shared" si="61"/>
        <v>0</v>
      </c>
      <c r="K246" s="135">
        <f t="shared" si="61"/>
        <v>0</v>
      </c>
      <c r="L246" s="135">
        <f t="shared" si="61"/>
        <v>0</v>
      </c>
      <c r="M246" s="135">
        <f t="shared" si="61"/>
        <v>0</v>
      </c>
      <c r="N246" s="135">
        <f t="shared" si="61"/>
        <v>0</v>
      </c>
      <c r="O246" s="135">
        <f t="shared" si="61"/>
        <v>0</v>
      </c>
      <c r="P246" s="135">
        <f t="shared" si="61"/>
        <v>0</v>
      </c>
      <c r="Q246" s="135">
        <f t="shared" si="61"/>
        <v>0</v>
      </c>
      <c r="R246" s="136"/>
      <c r="S246" s="136"/>
      <c r="T246" s="137"/>
      <c r="U246" s="138"/>
      <c r="V246" s="139" t="e">
        <f t="shared" si="1"/>
        <v>#DIV/0!</v>
      </c>
      <c r="W246" s="139" t="e">
        <f t="shared" si="2"/>
        <v>#DIV/0!</v>
      </c>
      <c r="X246" s="140">
        <f aca="true" t="shared" si="62" ref="X246:AJ246">SUM(X247:X248)</f>
        <v>0</v>
      </c>
      <c r="Y246" s="134">
        <f t="shared" si="62"/>
        <v>0</v>
      </c>
      <c r="Z246" s="134">
        <f t="shared" si="62"/>
        <v>0</v>
      </c>
      <c r="AA246" s="135">
        <f t="shared" si="62"/>
        <v>0</v>
      </c>
      <c r="AB246" s="135">
        <f t="shared" si="62"/>
        <v>0</v>
      </c>
      <c r="AC246" s="135">
        <f t="shared" si="62"/>
        <v>0</v>
      </c>
      <c r="AD246" s="135">
        <f>SUM(AE247:AE248)</f>
        <v>0</v>
      </c>
      <c r="AE246" s="135">
        <f t="shared" si="62"/>
        <v>0</v>
      </c>
      <c r="AF246" s="135">
        <f t="shared" si="62"/>
        <v>0</v>
      </c>
      <c r="AG246" s="135">
        <f>SUM(AE247:AE248)</f>
        <v>0</v>
      </c>
      <c r="AH246" s="135">
        <f t="shared" si="62"/>
        <v>0</v>
      </c>
      <c r="AI246" s="135">
        <f t="shared" si="62"/>
        <v>0</v>
      </c>
      <c r="AJ246" s="135">
        <f t="shared" si="62"/>
        <v>0</v>
      </c>
      <c r="AK246" s="136"/>
      <c r="AL246" s="136"/>
      <c r="AM246" s="136"/>
      <c r="AN246" s="138"/>
      <c r="AO246" s="139" t="e">
        <f t="shared" si="4"/>
        <v>#DIV/0!</v>
      </c>
      <c r="AP246" s="139" t="e">
        <f t="shared" si="5"/>
        <v>#DIV/0!</v>
      </c>
      <c r="AQ246" s="134">
        <f aca="true" t="shared" si="63" ref="AQ246:BC246">SUM(AQ247:AQ248)</f>
        <v>0</v>
      </c>
      <c r="AR246" s="134">
        <f t="shared" si="63"/>
        <v>0</v>
      </c>
      <c r="AS246" s="134">
        <f t="shared" si="63"/>
        <v>0</v>
      </c>
      <c r="AT246" s="135">
        <f t="shared" si="63"/>
        <v>0</v>
      </c>
      <c r="AU246" s="135">
        <f t="shared" si="63"/>
        <v>0</v>
      </c>
      <c r="AV246" s="135">
        <f t="shared" si="63"/>
        <v>0</v>
      </c>
      <c r="AW246" s="135">
        <f>SUM(AX247:AX248)</f>
        <v>0</v>
      </c>
      <c r="AX246" s="135">
        <f t="shared" si="63"/>
        <v>0</v>
      </c>
      <c r="AY246" s="135">
        <f t="shared" si="63"/>
        <v>0</v>
      </c>
      <c r="AZ246" s="135">
        <f t="shared" si="63"/>
        <v>0</v>
      </c>
      <c r="BA246" s="135">
        <f t="shared" si="63"/>
        <v>0</v>
      </c>
      <c r="BB246" s="135">
        <f t="shared" si="63"/>
        <v>0</v>
      </c>
      <c r="BC246" s="135">
        <f t="shared" si="63"/>
        <v>0</v>
      </c>
      <c r="BD246" s="136"/>
      <c r="BE246" s="136"/>
      <c r="BF246" s="136"/>
      <c r="BG246" s="138"/>
      <c r="BH246" s="139" t="e">
        <f t="shared" si="43"/>
        <v>#DIV/0!</v>
      </c>
      <c r="BI246" s="139" t="e">
        <f t="shared" si="44"/>
        <v>#DIV/0!</v>
      </c>
      <c r="BJ246" s="415">
        <f t="shared" si="51"/>
        <v>0</v>
      </c>
      <c r="BK246" s="415">
        <f t="shared" si="52"/>
        <v>0</v>
      </c>
      <c r="BL246" s="415">
        <f t="shared" si="53"/>
        <v>0</v>
      </c>
      <c r="BM246" s="415">
        <f t="shared" si="54"/>
        <v>0</v>
      </c>
    </row>
    <row r="247" spans="1:65" s="129" customFormat="1" ht="14.25">
      <c r="A247" s="141" t="s">
        <v>116</v>
      </c>
      <c r="B247" s="179"/>
      <c r="C247" s="204"/>
      <c r="D247" s="144">
        <v>0.4</v>
      </c>
      <c r="E247" s="205"/>
      <c r="F247" s="205"/>
      <c r="G247" s="165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56"/>
      <c r="S247" s="156"/>
      <c r="T247" s="152"/>
      <c r="U247" s="153"/>
      <c r="V247" s="154" t="e">
        <f t="shared" si="1"/>
        <v>#DIV/0!</v>
      </c>
      <c r="W247" s="154" t="e">
        <f t="shared" si="2"/>
        <v>#DIV/0!</v>
      </c>
      <c r="X247" s="155"/>
      <c r="Y247" s="205"/>
      <c r="Z247" s="165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56"/>
      <c r="AL247" s="156"/>
      <c r="AM247" s="156"/>
      <c r="AN247" s="153"/>
      <c r="AO247" s="154" t="e">
        <f t="shared" si="4"/>
        <v>#DIV/0!</v>
      </c>
      <c r="AP247" s="154" t="e">
        <f t="shared" si="5"/>
        <v>#DIV/0!</v>
      </c>
      <c r="AQ247" s="205"/>
      <c r="AR247" s="205"/>
      <c r="AS247" s="147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56"/>
      <c r="BE247" s="156"/>
      <c r="BF247" s="156"/>
      <c r="BG247" s="153"/>
      <c r="BH247" s="154" t="e">
        <f t="shared" si="43"/>
        <v>#DIV/0!</v>
      </c>
      <c r="BI247" s="154" t="e">
        <f t="shared" si="44"/>
        <v>#DIV/0!</v>
      </c>
      <c r="BJ247" s="415">
        <f t="shared" si="51"/>
        <v>0</v>
      </c>
      <c r="BK247" s="415">
        <f t="shared" si="52"/>
        <v>0</v>
      </c>
      <c r="BL247" s="415">
        <f t="shared" si="53"/>
        <v>0</v>
      </c>
      <c r="BM247" s="415">
        <f t="shared" si="54"/>
        <v>0</v>
      </c>
    </row>
    <row r="248" spans="1:65" s="129" customFormat="1" ht="14.25">
      <c r="A248" s="141"/>
      <c r="B248" s="179"/>
      <c r="C248" s="204"/>
      <c r="D248" s="144"/>
      <c r="E248" s="205"/>
      <c r="F248" s="205"/>
      <c r="G248" s="165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56"/>
      <c r="S248" s="156"/>
      <c r="T248" s="152"/>
      <c r="U248" s="153"/>
      <c r="V248" s="154" t="e">
        <f t="shared" si="1"/>
        <v>#DIV/0!</v>
      </c>
      <c r="W248" s="154" t="e">
        <f t="shared" si="2"/>
        <v>#DIV/0!</v>
      </c>
      <c r="X248" s="155"/>
      <c r="Y248" s="205"/>
      <c r="Z248" s="165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56"/>
      <c r="AL248" s="156"/>
      <c r="AM248" s="156"/>
      <c r="AN248" s="153"/>
      <c r="AO248" s="154" t="e">
        <f t="shared" si="4"/>
        <v>#DIV/0!</v>
      </c>
      <c r="AP248" s="154" t="e">
        <f t="shared" si="5"/>
        <v>#DIV/0!</v>
      </c>
      <c r="AQ248" s="205"/>
      <c r="AR248" s="205"/>
      <c r="AS248" s="147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56"/>
      <c r="BE248" s="156"/>
      <c r="BF248" s="156"/>
      <c r="BG248" s="153"/>
      <c r="BH248" s="154" t="e">
        <f t="shared" si="43"/>
        <v>#DIV/0!</v>
      </c>
      <c r="BI248" s="154" t="e">
        <f t="shared" si="44"/>
        <v>#DIV/0!</v>
      </c>
      <c r="BJ248" s="415">
        <f t="shared" si="51"/>
        <v>0</v>
      </c>
      <c r="BK248" s="415">
        <f t="shared" si="52"/>
        <v>0</v>
      </c>
      <c r="BL248" s="415">
        <f t="shared" si="53"/>
        <v>0</v>
      </c>
      <c r="BM248" s="415">
        <f t="shared" si="54"/>
        <v>0</v>
      </c>
    </row>
    <row r="249" spans="1:65" s="129" customFormat="1" ht="24.75" customHeight="1">
      <c r="A249" s="130" t="s">
        <v>144</v>
      </c>
      <c r="B249" s="131" t="s">
        <v>682</v>
      </c>
      <c r="C249" s="132"/>
      <c r="D249" s="133">
        <v>0.4</v>
      </c>
      <c r="E249" s="134">
        <f aca="true" t="shared" si="64" ref="E249:Q249">SUM(E250:E251)</f>
        <v>0</v>
      </c>
      <c r="F249" s="134">
        <f t="shared" si="64"/>
        <v>0</v>
      </c>
      <c r="G249" s="134">
        <f>SUM(G250:G251)</f>
        <v>0</v>
      </c>
      <c r="H249" s="135">
        <f t="shared" si="64"/>
        <v>0</v>
      </c>
      <c r="I249" s="135">
        <f t="shared" si="64"/>
        <v>0</v>
      </c>
      <c r="J249" s="135">
        <f t="shared" si="64"/>
        <v>0</v>
      </c>
      <c r="K249" s="135">
        <f t="shared" si="64"/>
        <v>0</v>
      </c>
      <c r="L249" s="135">
        <f t="shared" si="64"/>
        <v>0</v>
      </c>
      <c r="M249" s="135">
        <f t="shared" si="64"/>
        <v>0</v>
      </c>
      <c r="N249" s="135">
        <f t="shared" si="64"/>
        <v>0</v>
      </c>
      <c r="O249" s="135">
        <f t="shared" si="64"/>
        <v>0</v>
      </c>
      <c r="P249" s="135">
        <f t="shared" si="64"/>
        <v>0</v>
      </c>
      <c r="Q249" s="135">
        <f t="shared" si="64"/>
        <v>0</v>
      </c>
      <c r="R249" s="136"/>
      <c r="S249" s="136"/>
      <c r="T249" s="137"/>
      <c r="U249" s="138"/>
      <c r="V249" s="139" t="e">
        <f t="shared" si="1"/>
        <v>#DIV/0!</v>
      </c>
      <c r="W249" s="139" t="e">
        <f t="shared" si="2"/>
        <v>#DIV/0!</v>
      </c>
      <c r="X249" s="140">
        <f aca="true" t="shared" si="65" ref="X249:AJ249">SUM(X250:X251)</f>
        <v>0</v>
      </c>
      <c r="Y249" s="134">
        <f t="shared" si="65"/>
        <v>0</v>
      </c>
      <c r="Z249" s="134">
        <f t="shared" si="65"/>
        <v>0</v>
      </c>
      <c r="AA249" s="135">
        <f t="shared" si="65"/>
        <v>0</v>
      </c>
      <c r="AB249" s="135">
        <f t="shared" si="65"/>
        <v>0</v>
      </c>
      <c r="AC249" s="135">
        <f t="shared" si="65"/>
        <v>0</v>
      </c>
      <c r="AD249" s="135">
        <f>SUM(AE250:AE251)</f>
        <v>0</v>
      </c>
      <c r="AE249" s="135">
        <f t="shared" si="65"/>
        <v>0</v>
      </c>
      <c r="AF249" s="135">
        <f t="shared" si="65"/>
        <v>0</v>
      </c>
      <c r="AG249" s="135">
        <f>SUM(AE250:AE251)</f>
        <v>0</v>
      </c>
      <c r="AH249" s="135">
        <f t="shared" si="65"/>
        <v>0</v>
      </c>
      <c r="AI249" s="135">
        <f t="shared" si="65"/>
        <v>0</v>
      </c>
      <c r="AJ249" s="135">
        <f t="shared" si="65"/>
        <v>0</v>
      </c>
      <c r="AK249" s="136"/>
      <c r="AL249" s="136"/>
      <c r="AM249" s="136"/>
      <c r="AN249" s="138"/>
      <c r="AO249" s="139" t="e">
        <f t="shared" si="4"/>
        <v>#DIV/0!</v>
      </c>
      <c r="AP249" s="139" t="e">
        <f t="shared" si="5"/>
        <v>#DIV/0!</v>
      </c>
      <c r="AQ249" s="134">
        <f aca="true" t="shared" si="66" ref="AQ249:BC249">SUM(AQ250:AQ251)</f>
        <v>220</v>
      </c>
      <c r="AR249" s="134">
        <f t="shared" si="66"/>
        <v>350</v>
      </c>
      <c r="AS249" s="134">
        <f t="shared" si="66"/>
        <v>350</v>
      </c>
      <c r="AT249" s="135">
        <f t="shared" si="66"/>
        <v>245.348</v>
      </c>
      <c r="AU249" s="135">
        <f t="shared" si="66"/>
        <v>180.803</v>
      </c>
      <c r="AV249" s="135">
        <f t="shared" si="66"/>
        <v>73.0092</v>
      </c>
      <c r="AW249" s="135">
        <f>SUM(AX250:AX251)</f>
        <v>29.853</v>
      </c>
      <c r="AX249" s="135">
        <f t="shared" si="66"/>
        <v>29.853</v>
      </c>
      <c r="AY249" s="135">
        <f t="shared" si="66"/>
        <v>0</v>
      </c>
      <c r="AZ249" s="135">
        <f t="shared" si="66"/>
        <v>0</v>
      </c>
      <c r="BA249" s="135">
        <f t="shared" si="66"/>
        <v>15.389</v>
      </c>
      <c r="BB249" s="135">
        <f t="shared" si="66"/>
        <v>331.86</v>
      </c>
      <c r="BC249" s="135">
        <f t="shared" si="66"/>
        <v>8.97358</v>
      </c>
      <c r="BD249" s="136"/>
      <c r="BE249" s="136"/>
      <c r="BF249" s="136"/>
      <c r="BG249" s="138"/>
      <c r="BH249" s="139">
        <f t="shared" si="43"/>
        <v>1115.2181818181818</v>
      </c>
      <c r="BI249" s="139">
        <f t="shared" si="44"/>
        <v>0.7009942857142858</v>
      </c>
      <c r="BJ249" s="415">
        <f t="shared" si="51"/>
        <v>220</v>
      </c>
      <c r="BK249" s="415">
        <f t="shared" si="52"/>
        <v>350</v>
      </c>
      <c r="BL249" s="415">
        <f t="shared" si="53"/>
        <v>350</v>
      </c>
      <c r="BM249" s="415">
        <f t="shared" si="54"/>
        <v>245.348</v>
      </c>
    </row>
    <row r="250" spans="1:65" s="129" customFormat="1" ht="18.75" outlineLevel="1">
      <c r="A250" s="141" t="s">
        <v>146</v>
      </c>
      <c r="B250" s="177" t="s">
        <v>683</v>
      </c>
      <c r="C250" s="158" t="s">
        <v>684</v>
      </c>
      <c r="D250" s="144">
        <v>0.4</v>
      </c>
      <c r="E250" s="206"/>
      <c r="F250" s="146"/>
      <c r="G250" s="165"/>
      <c r="H250" s="166"/>
      <c r="I250" s="149"/>
      <c r="J250" s="149"/>
      <c r="K250" s="149"/>
      <c r="L250" s="149"/>
      <c r="M250" s="149"/>
      <c r="N250" s="149"/>
      <c r="O250" s="149"/>
      <c r="P250" s="149"/>
      <c r="Q250" s="149"/>
      <c r="R250" s="156"/>
      <c r="S250" s="156"/>
      <c r="T250" s="152"/>
      <c r="U250" s="153"/>
      <c r="V250" s="154" t="e">
        <f t="shared" si="1"/>
        <v>#DIV/0!</v>
      </c>
      <c r="W250" s="154" t="e">
        <f t="shared" si="2"/>
        <v>#DIV/0!</v>
      </c>
      <c r="X250" s="155"/>
      <c r="Y250" s="146"/>
      <c r="Z250" s="165"/>
      <c r="AA250" s="166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56"/>
      <c r="AL250" s="156"/>
      <c r="AM250" s="156"/>
      <c r="AN250" s="153"/>
      <c r="AO250" s="154" t="e">
        <f t="shared" si="4"/>
        <v>#DIV/0!</v>
      </c>
      <c r="AP250" s="154" t="e">
        <f aca="true" t="shared" si="67" ref="AP250:AP301">AA250/Y250</f>
        <v>#DIV/0!</v>
      </c>
      <c r="AQ250" s="206">
        <v>220</v>
      </c>
      <c r="AR250" s="146">
        <v>350</v>
      </c>
      <c r="AS250" s="147">
        <v>350</v>
      </c>
      <c r="AT250" s="166">
        <v>245.348</v>
      </c>
      <c r="AU250" s="149">
        <v>180.803</v>
      </c>
      <c r="AV250" s="149">
        <v>73.0092</v>
      </c>
      <c r="AW250" s="149">
        <f>53.84148+35.89432</f>
        <v>89.7358</v>
      </c>
      <c r="AX250" s="149">
        <v>29.853</v>
      </c>
      <c r="AY250" s="149">
        <v>0</v>
      </c>
      <c r="AZ250" s="149">
        <v>0</v>
      </c>
      <c r="BA250" s="149">
        <v>15.389</v>
      </c>
      <c r="BB250" s="149">
        <v>331.86</v>
      </c>
      <c r="BC250" s="149">
        <v>8.97358</v>
      </c>
      <c r="BD250" s="150" t="s">
        <v>119</v>
      </c>
      <c r="BE250" s="151" t="s">
        <v>120</v>
      </c>
      <c r="BF250" s="156"/>
      <c r="BG250" s="153">
        <v>117</v>
      </c>
      <c r="BH250" s="154">
        <f t="shared" si="43"/>
        <v>1115.2181818181818</v>
      </c>
      <c r="BI250" s="154">
        <f t="shared" si="44"/>
        <v>0.7009942857142858</v>
      </c>
      <c r="BJ250" s="415">
        <f t="shared" si="51"/>
        <v>220</v>
      </c>
      <c r="BK250" s="415">
        <f t="shared" si="52"/>
        <v>350</v>
      </c>
      <c r="BL250" s="415">
        <f t="shared" si="53"/>
        <v>350</v>
      </c>
      <c r="BM250" s="415">
        <f t="shared" si="54"/>
        <v>245.348</v>
      </c>
    </row>
    <row r="251" spans="1:65" s="129" customFormat="1" ht="14.25">
      <c r="A251" s="141"/>
      <c r="B251" s="179"/>
      <c r="C251" s="158"/>
      <c r="D251" s="144"/>
      <c r="E251" s="206"/>
      <c r="F251" s="146"/>
      <c r="G251" s="165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56"/>
      <c r="S251" s="156"/>
      <c r="T251" s="152"/>
      <c r="U251" s="153"/>
      <c r="V251" s="154" t="e">
        <f t="shared" si="1"/>
        <v>#DIV/0!</v>
      </c>
      <c r="W251" s="154" t="e">
        <f t="shared" si="2"/>
        <v>#DIV/0!</v>
      </c>
      <c r="X251" s="155"/>
      <c r="Y251" s="146"/>
      <c r="Z251" s="165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56"/>
      <c r="AL251" s="156"/>
      <c r="AM251" s="156"/>
      <c r="AN251" s="153"/>
      <c r="AO251" s="154" t="e">
        <f t="shared" si="4"/>
        <v>#DIV/0!</v>
      </c>
      <c r="AP251" s="154" t="e">
        <f t="shared" si="67"/>
        <v>#DIV/0!</v>
      </c>
      <c r="AQ251" s="206"/>
      <c r="AR251" s="146"/>
      <c r="AS251" s="147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56"/>
      <c r="BE251" s="156"/>
      <c r="BF251" s="156"/>
      <c r="BG251" s="153"/>
      <c r="BH251" s="154" t="e">
        <f t="shared" si="43"/>
        <v>#DIV/0!</v>
      </c>
      <c r="BI251" s="154" t="e">
        <f t="shared" si="44"/>
        <v>#DIV/0!</v>
      </c>
      <c r="BJ251" s="415">
        <f t="shared" si="51"/>
        <v>0</v>
      </c>
      <c r="BK251" s="415">
        <f t="shared" si="52"/>
        <v>0</v>
      </c>
      <c r="BL251" s="415">
        <f t="shared" si="53"/>
        <v>0</v>
      </c>
      <c r="BM251" s="415">
        <f t="shared" si="54"/>
        <v>0</v>
      </c>
    </row>
    <row r="252" spans="1:65" s="129" customFormat="1" ht="75.75" customHeight="1">
      <c r="A252" s="207" t="s">
        <v>685</v>
      </c>
      <c r="B252" s="208" t="s">
        <v>686</v>
      </c>
      <c r="C252" s="209"/>
      <c r="D252" s="210"/>
      <c r="E252" s="211">
        <f aca="true" t="shared" si="68" ref="E252:Q252">E253+E256</f>
        <v>100</v>
      </c>
      <c r="F252" s="211">
        <f t="shared" si="68"/>
        <v>60</v>
      </c>
      <c r="G252" s="211">
        <f>G253+G256</f>
        <v>60</v>
      </c>
      <c r="H252" s="212">
        <f t="shared" si="68"/>
        <v>127.21655</v>
      </c>
      <c r="I252" s="212">
        <f t="shared" si="68"/>
        <v>84.22908</v>
      </c>
      <c r="J252" s="212">
        <f t="shared" si="68"/>
        <v>60.764</v>
      </c>
      <c r="K252" s="212">
        <f t="shared" si="68"/>
        <v>23.465</v>
      </c>
      <c r="L252" s="212">
        <f t="shared" si="68"/>
        <v>17.72009</v>
      </c>
      <c r="M252" s="212">
        <f t="shared" si="68"/>
        <v>0</v>
      </c>
      <c r="N252" s="212">
        <f t="shared" si="68"/>
        <v>0</v>
      </c>
      <c r="O252" s="212">
        <f t="shared" si="68"/>
        <v>9.05354</v>
      </c>
      <c r="P252" s="212">
        <f t="shared" si="68"/>
        <v>276.2</v>
      </c>
      <c r="Q252" s="212">
        <f t="shared" si="68"/>
        <v>107.16</v>
      </c>
      <c r="R252" s="213"/>
      <c r="S252" s="213"/>
      <c r="T252" s="214"/>
      <c r="U252" s="215"/>
      <c r="V252" s="216">
        <f t="shared" si="1"/>
        <v>1272.1655</v>
      </c>
      <c r="W252" s="217">
        <f t="shared" si="2"/>
        <v>2.1202758333333334</v>
      </c>
      <c r="X252" s="218">
        <f aca="true" t="shared" si="69" ref="X252:AJ252">X253+X256</f>
        <v>0</v>
      </c>
      <c r="Y252" s="211">
        <f t="shared" si="69"/>
        <v>0</v>
      </c>
      <c r="Z252" s="211">
        <f t="shared" si="69"/>
        <v>0</v>
      </c>
      <c r="AA252" s="212">
        <f t="shared" si="69"/>
        <v>0</v>
      </c>
      <c r="AB252" s="212">
        <f t="shared" si="69"/>
        <v>0</v>
      </c>
      <c r="AC252" s="212">
        <f t="shared" si="69"/>
        <v>0</v>
      </c>
      <c r="AD252" s="212">
        <f>AE253+AE256</f>
        <v>0</v>
      </c>
      <c r="AE252" s="212">
        <f t="shared" si="69"/>
        <v>0</v>
      </c>
      <c r="AF252" s="212">
        <f t="shared" si="69"/>
        <v>0</v>
      </c>
      <c r="AG252" s="212">
        <f>AE253+AE256</f>
        <v>0</v>
      </c>
      <c r="AH252" s="212">
        <f t="shared" si="69"/>
        <v>0</v>
      </c>
      <c r="AI252" s="212">
        <f t="shared" si="69"/>
        <v>0</v>
      </c>
      <c r="AJ252" s="212">
        <f t="shared" si="69"/>
        <v>0</v>
      </c>
      <c r="AK252" s="213"/>
      <c r="AL252" s="213"/>
      <c r="AM252" s="213"/>
      <c r="AN252" s="215"/>
      <c r="AO252" s="217" t="e">
        <f t="shared" si="4"/>
        <v>#DIV/0!</v>
      </c>
      <c r="AP252" s="217" t="e">
        <f t="shared" si="67"/>
        <v>#DIV/0!</v>
      </c>
      <c r="AQ252" s="211">
        <f aca="true" t="shared" si="70" ref="AQ252:BC252">AQ253+AQ256</f>
        <v>0</v>
      </c>
      <c r="AR252" s="211">
        <f t="shared" si="70"/>
        <v>0</v>
      </c>
      <c r="AS252" s="211">
        <f t="shared" si="70"/>
        <v>0</v>
      </c>
      <c r="AT252" s="212">
        <f t="shared" si="70"/>
        <v>0</v>
      </c>
      <c r="AU252" s="212">
        <f t="shared" si="70"/>
        <v>0</v>
      </c>
      <c r="AV252" s="212">
        <f t="shared" si="70"/>
        <v>0</v>
      </c>
      <c r="AW252" s="212">
        <f>AX253+AX256</f>
        <v>0</v>
      </c>
      <c r="AX252" s="212">
        <f t="shared" si="70"/>
        <v>0</v>
      </c>
      <c r="AY252" s="212">
        <f t="shared" si="70"/>
        <v>0</v>
      </c>
      <c r="AZ252" s="212">
        <f t="shared" si="70"/>
        <v>0</v>
      </c>
      <c r="BA252" s="212">
        <f t="shared" si="70"/>
        <v>0</v>
      </c>
      <c r="BB252" s="212">
        <f t="shared" si="70"/>
        <v>0</v>
      </c>
      <c r="BC252" s="212">
        <f t="shared" si="70"/>
        <v>0</v>
      </c>
      <c r="BD252" s="213"/>
      <c r="BE252" s="213"/>
      <c r="BF252" s="213"/>
      <c r="BG252" s="215"/>
      <c r="BH252" s="216" t="e">
        <f t="shared" si="43"/>
        <v>#DIV/0!</v>
      </c>
      <c r="BI252" s="217" t="e">
        <f t="shared" si="44"/>
        <v>#DIV/0!</v>
      </c>
      <c r="BJ252" s="415">
        <f t="shared" si="51"/>
        <v>100</v>
      </c>
      <c r="BK252" s="415">
        <f t="shared" si="52"/>
        <v>60</v>
      </c>
      <c r="BL252" s="415">
        <f t="shared" si="53"/>
        <v>60</v>
      </c>
      <c r="BM252" s="415">
        <f t="shared" si="54"/>
        <v>127.21655</v>
      </c>
    </row>
    <row r="253" spans="1:65" s="129" customFormat="1" ht="24.75" customHeight="1">
      <c r="A253" s="130" t="s">
        <v>114</v>
      </c>
      <c r="B253" s="131" t="s">
        <v>687</v>
      </c>
      <c r="C253" s="132"/>
      <c r="D253" s="133">
        <v>0.4</v>
      </c>
      <c r="E253" s="134">
        <f aca="true" t="shared" si="71" ref="E253:Q253">SUM(E254:E255)</f>
        <v>100</v>
      </c>
      <c r="F253" s="134">
        <f t="shared" si="71"/>
        <v>60</v>
      </c>
      <c r="G253" s="134">
        <f>SUM(G254:G255)</f>
        <v>60</v>
      </c>
      <c r="H253" s="135">
        <f t="shared" si="71"/>
        <v>127.21655</v>
      </c>
      <c r="I253" s="135">
        <f t="shared" si="71"/>
        <v>84.22908</v>
      </c>
      <c r="J253" s="135">
        <f t="shared" si="71"/>
        <v>60.764</v>
      </c>
      <c r="K253" s="135">
        <f t="shared" si="71"/>
        <v>23.465</v>
      </c>
      <c r="L253" s="135">
        <f t="shared" si="71"/>
        <v>17.72009</v>
      </c>
      <c r="M253" s="135">
        <f t="shared" si="71"/>
        <v>0</v>
      </c>
      <c r="N253" s="135">
        <f t="shared" si="71"/>
        <v>0</v>
      </c>
      <c r="O253" s="135">
        <f t="shared" si="71"/>
        <v>9.05354</v>
      </c>
      <c r="P253" s="135">
        <f t="shared" si="71"/>
        <v>276.2</v>
      </c>
      <c r="Q253" s="135">
        <f t="shared" si="71"/>
        <v>107.16</v>
      </c>
      <c r="R253" s="136"/>
      <c r="S253" s="136"/>
      <c r="T253" s="137"/>
      <c r="U253" s="138"/>
      <c r="V253" s="200">
        <f t="shared" si="1"/>
        <v>1272.1655</v>
      </c>
      <c r="W253" s="139">
        <f t="shared" si="2"/>
        <v>2.1202758333333334</v>
      </c>
      <c r="X253" s="140">
        <f aca="true" t="shared" si="72" ref="X253:AJ253">SUM(X254:X255)</f>
        <v>0</v>
      </c>
      <c r="Y253" s="134">
        <f t="shared" si="72"/>
        <v>0</v>
      </c>
      <c r="Z253" s="134">
        <f t="shared" si="72"/>
        <v>0</v>
      </c>
      <c r="AA253" s="135">
        <f t="shared" si="72"/>
        <v>0</v>
      </c>
      <c r="AB253" s="135">
        <f t="shared" si="72"/>
        <v>0</v>
      </c>
      <c r="AC253" s="135">
        <f t="shared" si="72"/>
        <v>0</v>
      </c>
      <c r="AD253" s="135">
        <f>SUM(AE254:AE255)</f>
        <v>0</v>
      </c>
      <c r="AE253" s="135">
        <f t="shared" si="72"/>
        <v>0</v>
      </c>
      <c r="AF253" s="135">
        <f t="shared" si="72"/>
        <v>0</v>
      </c>
      <c r="AG253" s="135">
        <f>SUM(AE254:AE255)</f>
        <v>0</v>
      </c>
      <c r="AH253" s="135">
        <f t="shared" si="72"/>
        <v>0</v>
      </c>
      <c r="AI253" s="135">
        <f t="shared" si="72"/>
        <v>0</v>
      </c>
      <c r="AJ253" s="135">
        <f t="shared" si="72"/>
        <v>0</v>
      </c>
      <c r="AK253" s="136"/>
      <c r="AL253" s="136"/>
      <c r="AM253" s="136"/>
      <c r="AN253" s="138"/>
      <c r="AO253" s="139" t="e">
        <f aca="true" t="shared" si="73" ref="AO253:AO301">AA253/X253*1000</f>
        <v>#DIV/0!</v>
      </c>
      <c r="AP253" s="139" t="e">
        <f t="shared" si="67"/>
        <v>#DIV/0!</v>
      </c>
      <c r="AQ253" s="134">
        <f aca="true" t="shared" si="74" ref="AQ253:BC253">SUM(AQ254:AQ255)</f>
        <v>0</v>
      </c>
      <c r="AR253" s="134">
        <f t="shared" si="74"/>
        <v>0</v>
      </c>
      <c r="AS253" s="134">
        <f t="shared" si="74"/>
        <v>0</v>
      </c>
      <c r="AT253" s="135">
        <f t="shared" si="74"/>
        <v>0</v>
      </c>
      <c r="AU253" s="135">
        <f t="shared" si="74"/>
        <v>0</v>
      </c>
      <c r="AV253" s="135">
        <f t="shared" si="74"/>
        <v>0</v>
      </c>
      <c r="AW253" s="135">
        <f>SUM(AX254:AX255)</f>
        <v>0</v>
      </c>
      <c r="AX253" s="135">
        <f t="shared" si="74"/>
        <v>0</v>
      </c>
      <c r="AY253" s="135">
        <f t="shared" si="74"/>
        <v>0</v>
      </c>
      <c r="AZ253" s="135">
        <f t="shared" si="74"/>
        <v>0</v>
      </c>
      <c r="BA253" s="135">
        <f t="shared" si="74"/>
        <v>0</v>
      </c>
      <c r="BB253" s="135">
        <f t="shared" si="74"/>
        <v>0</v>
      </c>
      <c r="BC253" s="135">
        <f t="shared" si="74"/>
        <v>0</v>
      </c>
      <c r="BD253" s="136"/>
      <c r="BE253" s="136"/>
      <c r="BF253" s="136"/>
      <c r="BG253" s="138"/>
      <c r="BH253" s="200" t="e">
        <f t="shared" si="43"/>
        <v>#DIV/0!</v>
      </c>
      <c r="BI253" s="139" t="e">
        <f t="shared" si="44"/>
        <v>#DIV/0!</v>
      </c>
      <c r="BJ253" s="415">
        <f t="shared" si="51"/>
        <v>100</v>
      </c>
      <c r="BK253" s="415">
        <f t="shared" si="52"/>
        <v>60</v>
      </c>
      <c r="BL253" s="415">
        <f t="shared" si="53"/>
        <v>60</v>
      </c>
      <c r="BM253" s="415">
        <f t="shared" si="54"/>
        <v>127.21655</v>
      </c>
    </row>
    <row r="254" spans="1:65" s="129" customFormat="1" ht="18.75" outlineLevel="1">
      <c r="A254" s="141" t="s">
        <v>116</v>
      </c>
      <c r="B254" s="142" t="s">
        <v>688</v>
      </c>
      <c r="C254" s="158" t="s">
        <v>689</v>
      </c>
      <c r="D254" s="144">
        <v>0.4</v>
      </c>
      <c r="E254" s="145">
        <v>100</v>
      </c>
      <c r="F254" s="146">
        <v>60</v>
      </c>
      <c r="G254" s="146">
        <v>60</v>
      </c>
      <c r="H254" s="171">
        <v>127.21655</v>
      </c>
      <c r="I254" s="172">
        <v>84.22908</v>
      </c>
      <c r="J254" s="172">
        <v>60.764</v>
      </c>
      <c r="K254" s="172">
        <v>23.465</v>
      </c>
      <c r="L254" s="172">
        <v>17.72009</v>
      </c>
      <c r="M254" s="172">
        <v>0</v>
      </c>
      <c r="N254" s="172">
        <v>0</v>
      </c>
      <c r="O254" s="172">
        <v>9.05354</v>
      </c>
      <c r="P254" s="172">
        <v>276.2</v>
      </c>
      <c r="Q254" s="172">
        <v>107.16</v>
      </c>
      <c r="R254" s="150" t="s">
        <v>119</v>
      </c>
      <c r="S254" s="151" t="s">
        <v>120</v>
      </c>
      <c r="T254" s="152"/>
      <c r="U254" s="153">
        <v>102</v>
      </c>
      <c r="V254" s="201">
        <f aca="true" t="shared" si="75" ref="V254:V301">H254/E254*1000</f>
        <v>1272.1655</v>
      </c>
      <c r="W254" s="154">
        <f aca="true" t="shared" si="76" ref="W254:W369">H254/F254</f>
        <v>2.1202758333333334</v>
      </c>
      <c r="X254" s="155"/>
      <c r="Y254" s="146"/>
      <c r="Z254" s="146"/>
      <c r="AA254" s="185"/>
      <c r="AB254" s="186"/>
      <c r="AC254" s="186"/>
      <c r="AD254" s="186"/>
      <c r="AE254" s="186"/>
      <c r="AF254" s="186"/>
      <c r="AG254" s="186"/>
      <c r="AH254" s="186"/>
      <c r="AI254" s="149"/>
      <c r="AJ254" s="149"/>
      <c r="AK254" s="156"/>
      <c r="AL254" s="156"/>
      <c r="AM254" s="156"/>
      <c r="AN254" s="153"/>
      <c r="AO254" s="154" t="e">
        <f t="shared" si="73"/>
        <v>#DIV/0!</v>
      </c>
      <c r="AP254" s="154" t="e">
        <f t="shared" si="67"/>
        <v>#DIV/0!</v>
      </c>
      <c r="AQ254" s="145"/>
      <c r="AR254" s="146"/>
      <c r="AS254" s="146"/>
      <c r="AT254" s="185"/>
      <c r="AU254" s="186"/>
      <c r="AV254" s="186"/>
      <c r="AW254" s="186"/>
      <c r="AX254" s="186"/>
      <c r="AY254" s="186"/>
      <c r="AZ254" s="186"/>
      <c r="BA254" s="186"/>
      <c r="BB254" s="149"/>
      <c r="BC254" s="149"/>
      <c r="BD254" s="156"/>
      <c r="BE254" s="156"/>
      <c r="BF254" s="156"/>
      <c r="BG254" s="153"/>
      <c r="BH254" s="201" t="e">
        <f t="shared" si="43"/>
        <v>#DIV/0!</v>
      </c>
      <c r="BI254" s="154" t="e">
        <f t="shared" si="44"/>
        <v>#DIV/0!</v>
      </c>
      <c r="BJ254" s="415">
        <f t="shared" si="51"/>
        <v>100</v>
      </c>
      <c r="BK254" s="415">
        <f t="shared" si="52"/>
        <v>60</v>
      </c>
      <c r="BL254" s="415">
        <f t="shared" si="53"/>
        <v>60</v>
      </c>
      <c r="BM254" s="415">
        <f t="shared" si="54"/>
        <v>127.21655</v>
      </c>
    </row>
    <row r="255" spans="1:65" s="129" customFormat="1" ht="14.25">
      <c r="A255" s="141"/>
      <c r="B255" s="179"/>
      <c r="C255" s="158"/>
      <c r="D255" s="144"/>
      <c r="E255" s="145"/>
      <c r="F255" s="146"/>
      <c r="G255" s="146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56"/>
      <c r="S255" s="156"/>
      <c r="T255" s="152"/>
      <c r="U255" s="153"/>
      <c r="V255" s="201" t="e">
        <f t="shared" si="75"/>
        <v>#DIV/0!</v>
      </c>
      <c r="W255" s="154" t="e">
        <f t="shared" si="76"/>
        <v>#DIV/0!</v>
      </c>
      <c r="X255" s="155"/>
      <c r="Y255" s="146"/>
      <c r="Z255" s="146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56"/>
      <c r="AL255" s="156"/>
      <c r="AM255" s="156"/>
      <c r="AN255" s="153"/>
      <c r="AO255" s="154" t="e">
        <f t="shared" si="73"/>
        <v>#DIV/0!</v>
      </c>
      <c r="AP255" s="154" t="e">
        <f t="shared" si="67"/>
        <v>#DIV/0!</v>
      </c>
      <c r="AQ255" s="145"/>
      <c r="AR255" s="146"/>
      <c r="AS255" s="146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56"/>
      <c r="BE255" s="156"/>
      <c r="BF255" s="156"/>
      <c r="BG255" s="153"/>
      <c r="BH255" s="201" t="e">
        <f t="shared" si="43"/>
        <v>#DIV/0!</v>
      </c>
      <c r="BI255" s="154" t="e">
        <f t="shared" si="44"/>
        <v>#DIV/0!</v>
      </c>
      <c r="BJ255" s="415">
        <f t="shared" si="51"/>
        <v>0</v>
      </c>
      <c r="BK255" s="415">
        <f t="shared" si="52"/>
        <v>0</v>
      </c>
      <c r="BL255" s="415">
        <f t="shared" si="53"/>
        <v>0</v>
      </c>
      <c r="BM255" s="415">
        <f t="shared" si="54"/>
        <v>0</v>
      </c>
    </row>
    <row r="256" spans="1:65" s="129" customFormat="1" ht="24.75" customHeight="1">
      <c r="A256" s="130" t="s">
        <v>144</v>
      </c>
      <c r="B256" s="131" t="s">
        <v>690</v>
      </c>
      <c r="C256" s="132"/>
      <c r="D256" s="133">
        <v>0.4</v>
      </c>
      <c r="E256" s="134">
        <f aca="true" t="shared" si="77" ref="E256:Q256">SUM(E257:E258)</f>
        <v>0</v>
      </c>
      <c r="F256" s="134">
        <f t="shared" si="77"/>
        <v>0</v>
      </c>
      <c r="G256" s="134">
        <f>SUM(G257:G258)</f>
        <v>0</v>
      </c>
      <c r="H256" s="135">
        <f t="shared" si="77"/>
        <v>0</v>
      </c>
      <c r="I256" s="135">
        <f t="shared" si="77"/>
        <v>0</v>
      </c>
      <c r="J256" s="135">
        <f t="shared" si="77"/>
        <v>0</v>
      </c>
      <c r="K256" s="135">
        <f t="shared" si="77"/>
        <v>0</v>
      </c>
      <c r="L256" s="135">
        <f t="shared" si="77"/>
        <v>0</v>
      </c>
      <c r="M256" s="135">
        <f t="shared" si="77"/>
        <v>0</v>
      </c>
      <c r="N256" s="135">
        <f t="shared" si="77"/>
        <v>0</v>
      </c>
      <c r="O256" s="135">
        <f t="shared" si="77"/>
        <v>0</v>
      </c>
      <c r="P256" s="135">
        <f t="shared" si="77"/>
        <v>0</v>
      </c>
      <c r="Q256" s="135">
        <f t="shared" si="77"/>
        <v>0</v>
      </c>
      <c r="R256" s="136"/>
      <c r="S256" s="136"/>
      <c r="T256" s="137"/>
      <c r="U256" s="138"/>
      <c r="V256" s="200" t="e">
        <f t="shared" si="75"/>
        <v>#DIV/0!</v>
      </c>
      <c r="W256" s="139" t="e">
        <f t="shared" si="76"/>
        <v>#DIV/0!</v>
      </c>
      <c r="X256" s="140">
        <f aca="true" t="shared" si="78" ref="X256:AJ256">SUM(X257:X258)</f>
        <v>0</v>
      </c>
      <c r="Y256" s="134">
        <f t="shared" si="78"/>
        <v>0</v>
      </c>
      <c r="Z256" s="134">
        <f t="shared" si="78"/>
        <v>0</v>
      </c>
      <c r="AA256" s="135">
        <f t="shared" si="78"/>
        <v>0</v>
      </c>
      <c r="AB256" s="135">
        <f t="shared" si="78"/>
        <v>0</v>
      </c>
      <c r="AC256" s="135">
        <f t="shared" si="78"/>
        <v>0</v>
      </c>
      <c r="AD256" s="135">
        <f>SUM(AE257:AE258)</f>
        <v>0</v>
      </c>
      <c r="AE256" s="135">
        <f t="shared" si="78"/>
        <v>0</v>
      </c>
      <c r="AF256" s="135">
        <f t="shared" si="78"/>
        <v>0</v>
      </c>
      <c r="AG256" s="135">
        <f>SUM(AE257:AE258)</f>
        <v>0</v>
      </c>
      <c r="AH256" s="135">
        <f t="shared" si="78"/>
        <v>0</v>
      </c>
      <c r="AI256" s="135">
        <f t="shared" si="78"/>
        <v>0</v>
      </c>
      <c r="AJ256" s="135">
        <f t="shared" si="78"/>
        <v>0</v>
      </c>
      <c r="AK256" s="136"/>
      <c r="AL256" s="136"/>
      <c r="AM256" s="136"/>
      <c r="AN256" s="138"/>
      <c r="AO256" s="139" t="e">
        <f t="shared" si="73"/>
        <v>#DIV/0!</v>
      </c>
      <c r="AP256" s="139" t="e">
        <f t="shared" si="67"/>
        <v>#DIV/0!</v>
      </c>
      <c r="AQ256" s="134">
        <f aca="true" t="shared" si="79" ref="AQ256:BC256">SUM(AQ257:AQ258)</f>
        <v>0</v>
      </c>
      <c r="AR256" s="134">
        <f t="shared" si="79"/>
        <v>0</v>
      </c>
      <c r="AS256" s="134">
        <f t="shared" si="79"/>
        <v>0</v>
      </c>
      <c r="AT256" s="135">
        <f t="shared" si="79"/>
        <v>0</v>
      </c>
      <c r="AU256" s="135">
        <f t="shared" si="79"/>
        <v>0</v>
      </c>
      <c r="AV256" s="135">
        <f t="shared" si="79"/>
        <v>0</v>
      </c>
      <c r="AW256" s="135">
        <f>SUM(AX257:AX258)</f>
        <v>0</v>
      </c>
      <c r="AX256" s="135">
        <f t="shared" si="79"/>
        <v>0</v>
      </c>
      <c r="AY256" s="135">
        <f t="shared" si="79"/>
        <v>0</v>
      </c>
      <c r="AZ256" s="135">
        <f t="shared" si="79"/>
        <v>0</v>
      </c>
      <c r="BA256" s="135">
        <f t="shared" si="79"/>
        <v>0</v>
      </c>
      <c r="BB256" s="135">
        <f t="shared" si="79"/>
        <v>0</v>
      </c>
      <c r="BC256" s="135">
        <f t="shared" si="79"/>
        <v>0</v>
      </c>
      <c r="BD256" s="136"/>
      <c r="BE256" s="136"/>
      <c r="BF256" s="136"/>
      <c r="BG256" s="138"/>
      <c r="BH256" s="200" t="e">
        <f t="shared" si="43"/>
        <v>#DIV/0!</v>
      </c>
      <c r="BI256" s="139" t="e">
        <f t="shared" si="44"/>
        <v>#DIV/0!</v>
      </c>
      <c r="BJ256" s="415">
        <f t="shared" si="51"/>
        <v>0</v>
      </c>
      <c r="BK256" s="415">
        <f t="shared" si="52"/>
        <v>0</v>
      </c>
      <c r="BL256" s="415">
        <f t="shared" si="53"/>
        <v>0</v>
      </c>
      <c r="BM256" s="415">
        <f t="shared" si="54"/>
        <v>0</v>
      </c>
    </row>
    <row r="257" spans="1:65" s="129" customFormat="1" ht="14.25">
      <c r="A257" s="141" t="s">
        <v>146</v>
      </c>
      <c r="B257" s="179"/>
      <c r="C257" s="158"/>
      <c r="D257" s="144">
        <v>0.4</v>
      </c>
      <c r="E257" s="145"/>
      <c r="F257" s="146"/>
      <c r="G257" s="146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56"/>
      <c r="S257" s="156"/>
      <c r="T257" s="152"/>
      <c r="U257" s="153"/>
      <c r="V257" s="201" t="e">
        <f t="shared" si="75"/>
        <v>#DIV/0!</v>
      </c>
      <c r="W257" s="154" t="e">
        <f t="shared" si="76"/>
        <v>#DIV/0!</v>
      </c>
      <c r="X257" s="155"/>
      <c r="Y257" s="146"/>
      <c r="Z257" s="146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56"/>
      <c r="AL257" s="156"/>
      <c r="AM257" s="156"/>
      <c r="AN257" s="153"/>
      <c r="AO257" s="154" t="e">
        <f t="shared" si="73"/>
        <v>#DIV/0!</v>
      </c>
      <c r="AP257" s="154" t="e">
        <f t="shared" si="67"/>
        <v>#DIV/0!</v>
      </c>
      <c r="AQ257" s="145"/>
      <c r="AR257" s="146"/>
      <c r="AS257" s="146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56"/>
      <c r="BE257" s="156"/>
      <c r="BF257" s="156"/>
      <c r="BG257" s="153"/>
      <c r="BH257" s="201" t="e">
        <f t="shared" si="43"/>
        <v>#DIV/0!</v>
      </c>
      <c r="BI257" s="154" t="e">
        <f t="shared" si="44"/>
        <v>#DIV/0!</v>
      </c>
      <c r="BJ257" s="415">
        <f t="shared" si="51"/>
        <v>0</v>
      </c>
      <c r="BK257" s="415">
        <f t="shared" si="52"/>
        <v>0</v>
      </c>
      <c r="BL257" s="415">
        <f t="shared" si="53"/>
        <v>0</v>
      </c>
      <c r="BM257" s="415">
        <f t="shared" si="54"/>
        <v>0</v>
      </c>
    </row>
    <row r="258" spans="1:65" s="129" customFormat="1" ht="14.25">
      <c r="A258" s="141"/>
      <c r="B258" s="179"/>
      <c r="C258" s="158"/>
      <c r="D258" s="144"/>
      <c r="E258" s="145"/>
      <c r="F258" s="146"/>
      <c r="G258" s="146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56"/>
      <c r="S258" s="156"/>
      <c r="T258" s="152"/>
      <c r="U258" s="153"/>
      <c r="V258" s="201" t="e">
        <f t="shared" si="75"/>
        <v>#DIV/0!</v>
      </c>
      <c r="W258" s="154" t="e">
        <f t="shared" si="76"/>
        <v>#DIV/0!</v>
      </c>
      <c r="X258" s="155"/>
      <c r="Y258" s="146"/>
      <c r="Z258" s="146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56"/>
      <c r="AL258" s="156"/>
      <c r="AM258" s="156"/>
      <c r="AN258" s="153"/>
      <c r="AO258" s="154" t="e">
        <f t="shared" si="73"/>
        <v>#DIV/0!</v>
      </c>
      <c r="AP258" s="154" t="e">
        <f t="shared" si="67"/>
        <v>#DIV/0!</v>
      </c>
      <c r="AQ258" s="145"/>
      <c r="AR258" s="146"/>
      <c r="AS258" s="146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56"/>
      <c r="BE258" s="156"/>
      <c r="BF258" s="156"/>
      <c r="BG258" s="153"/>
      <c r="BH258" s="201" t="e">
        <f t="shared" si="43"/>
        <v>#DIV/0!</v>
      </c>
      <c r="BI258" s="154" t="e">
        <f t="shared" si="44"/>
        <v>#DIV/0!</v>
      </c>
      <c r="BJ258" s="415">
        <f t="shared" si="51"/>
        <v>0</v>
      </c>
      <c r="BK258" s="415">
        <f t="shared" si="52"/>
        <v>0</v>
      </c>
      <c r="BL258" s="415">
        <f t="shared" si="53"/>
        <v>0</v>
      </c>
      <c r="BM258" s="415">
        <f t="shared" si="54"/>
        <v>0</v>
      </c>
    </row>
    <row r="259" spans="1:65" s="129" customFormat="1" ht="73.5" customHeight="1">
      <c r="A259" s="207" t="s">
        <v>691</v>
      </c>
      <c r="B259" s="208" t="s">
        <v>692</v>
      </c>
      <c r="C259" s="209"/>
      <c r="D259" s="210"/>
      <c r="E259" s="211">
        <f aca="true" t="shared" si="80" ref="E259:Q259">E260+E267+E276+E281+E289</f>
        <v>3156</v>
      </c>
      <c r="F259" s="211">
        <f t="shared" si="80"/>
        <v>2626</v>
      </c>
      <c r="G259" s="211">
        <f>G260+G267+G276+G281+G289</f>
        <v>2626</v>
      </c>
      <c r="H259" s="212">
        <f t="shared" si="80"/>
        <v>7534.169260000001</v>
      </c>
      <c r="I259" s="212">
        <f t="shared" si="80"/>
        <v>4232.524</v>
      </c>
      <c r="J259" s="212">
        <f t="shared" si="80"/>
        <v>3116.34701</v>
      </c>
      <c r="K259" s="212">
        <f t="shared" si="80"/>
        <v>350.05</v>
      </c>
      <c r="L259" s="212">
        <f t="shared" si="80"/>
        <v>830.078</v>
      </c>
      <c r="M259" s="212">
        <f t="shared" si="80"/>
        <v>0</v>
      </c>
      <c r="N259" s="212">
        <f t="shared" si="80"/>
        <v>0</v>
      </c>
      <c r="O259" s="212">
        <f t="shared" si="80"/>
        <v>201.22899999999998</v>
      </c>
      <c r="P259" s="212">
        <f t="shared" si="80"/>
        <v>4404.998240000001</v>
      </c>
      <c r="Q259" s="212">
        <f t="shared" si="80"/>
        <v>857.28</v>
      </c>
      <c r="R259" s="213"/>
      <c r="S259" s="213"/>
      <c r="T259" s="214"/>
      <c r="U259" s="215"/>
      <c r="V259" s="216">
        <f t="shared" si="75"/>
        <v>2387.2526172370094</v>
      </c>
      <c r="W259" s="217">
        <f t="shared" si="76"/>
        <v>2.869066740289414</v>
      </c>
      <c r="X259" s="218">
        <f aca="true" t="shared" si="81" ref="X259:AJ259">X260+X267+X276+X281+X289</f>
        <v>2708</v>
      </c>
      <c r="Y259" s="211">
        <f t="shared" si="81"/>
        <v>1550</v>
      </c>
      <c r="Z259" s="211">
        <f t="shared" si="81"/>
        <v>1550</v>
      </c>
      <c r="AA259" s="212">
        <f t="shared" si="81"/>
        <v>2011.13168</v>
      </c>
      <c r="AB259" s="212">
        <f t="shared" si="81"/>
        <v>1617.35806</v>
      </c>
      <c r="AC259" s="212">
        <f t="shared" si="81"/>
        <v>1320.64239</v>
      </c>
      <c r="AD259" s="212">
        <f>AE260+AE267+AE276+AE281+AE289</f>
        <v>102.10055</v>
      </c>
      <c r="AE259" s="212">
        <f t="shared" si="81"/>
        <v>102.10055</v>
      </c>
      <c r="AF259" s="212">
        <f t="shared" si="81"/>
        <v>0</v>
      </c>
      <c r="AG259" s="212">
        <f>AE260+AE267+AE276+AE281+AE289</f>
        <v>102.10055</v>
      </c>
      <c r="AH259" s="212">
        <f t="shared" si="81"/>
        <v>58.34163000000001</v>
      </c>
      <c r="AI259" s="212">
        <f t="shared" si="81"/>
        <v>2556.43</v>
      </c>
      <c r="AJ259" s="212">
        <f t="shared" si="81"/>
        <v>535.8</v>
      </c>
      <c r="AK259" s="213"/>
      <c r="AL259" s="213"/>
      <c r="AM259" s="213"/>
      <c r="AN259" s="215"/>
      <c r="AO259" s="217">
        <f t="shared" si="73"/>
        <v>742.6631019202363</v>
      </c>
      <c r="AP259" s="217">
        <f t="shared" si="67"/>
        <v>1.2975043096774193</v>
      </c>
      <c r="AQ259" s="211">
        <f aca="true" t="shared" si="82" ref="AQ259:BC259">AQ260+AQ267+AQ276+AQ281+AQ289</f>
        <v>2119</v>
      </c>
      <c r="AR259" s="211">
        <f t="shared" si="82"/>
        <v>2128</v>
      </c>
      <c r="AS259" s="211">
        <f t="shared" si="82"/>
        <v>2128</v>
      </c>
      <c r="AT259" s="212">
        <f t="shared" si="82"/>
        <v>3114.84949</v>
      </c>
      <c r="AU259" s="212">
        <f t="shared" si="82"/>
        <v>2551.33893</v>
      </c>
      <c r="AV259" s="212">
        <f t="shared" si="82"/>
        <v>2237.1156</v>
      </c>
      <c r="AW259" s="212">
        <f>AX260+AX267+AX276+AX281+AX289</f>
        <v>185.8525</v>
      </c>
      <c r="AX259" s="212">
        <f t="shared" si="82"/>
        <v>185.8525</v>
      </c>
      <c r="AY259" s="212">
        <f t="shared" si="82"/>
        <v>0</v>
      </c>
      <c r="AZ259" s="212">
        <f t="shared" si="82"/>
        <v>0</v>
      </c>
      <c r="BA259" s="212">
        <f t="shared" si="82"/>
        <v>160.09648</v>
      </c>
      <c r="BB259" s="212">
        <f t="shared" si="82"/>
        <v>4631.66</v>
      </c>
      <c r="BC259" s="212">
        <f t="shared" si="82"/>
        <v>857.2799999999999</v>
      </c>
      <c r="BD259" s="213"/>
      <c r="BE259" s="213"/>
      <c r="BF259" s="213"/>
      <c r="BG259" s="215"/>
      <c r="BH259" s="216">
        <f t="shared" si="43"/>
        <v>1469.9620056630488</v>
      </c>
      <c r="BI259" s="217">
        <f t="shared" si="44"/>
        <v>1.4637450610902256</v>
      </c>
      <c r="BJ259" s="415">
        <f t="shared" si="51"/>
        <v>7983</v>
      </c>
      <c r="BK259" s="415">
        <f t="shared" si="52"/>
        <v>6304</v>
      </c>
      <c r="BL259" s="415">
        <f t="shared" si="53"/>
        <v>6304</v>
      </c>
      <c r="BM259" s="415">
        <f t="shared" si="54"/>
        <v>12660.150430000002</v>
      </c>
    </row>
    <row r="260" spans="1:65" s="129" customFormat="1" ht="24.75" customHeight="1">
      <c r="A260" s="130" t="s">
        <v>114</v>
      </c>
      <c r="B260" s="131" t="s">
        <v>693</v>
      </c>
      <c r="C260" s="132"/>
      <c r="D260" s="133">
        <v>0.4</v>
      </c>
      <c r="E260" s="134">
        <f aca="true" t="shared" si="83" ref="E260:Q260">SUM(E261:E266)</f>
        <v>283</v>
      </c>
      <c r="F260" s="134">
        <f t="shared" si="83"/>
        <v>560</v>
      </c>
      <c r="G260" s="134">
        <f>SUM(G261:G266)</f>
        <v>560</v>
      </c>
      <c r="H260" s="135">
        <f t="shared" si="83"/>
        <v>930.737</v>
      </c>
      <c r="I260" s="135">
        <f t="shared" si="83"/>
        <v>222.07299999999998</v>
      </c>
      <c r="J260" s="135">
        <f t="shared" si="83"/>
        <v>222.0739</v>
      </c>
      <c r="K260" s="135">
        <f t="shared" si="83"/>
        <v>30.326999999999998</v>
      </c>
      <c r="L260" s="135">
        <f t="shared" si="83"/>
        <v>65.214</v>
      </c>
      <c r="M260" s="135">
        <f t="shared" si="83"/>
        <v>0</v>
      </c>
      <c r="N260" s="135">
        <f t="shared" si="83"/>
        <v>0</v>
      </c>
      <c r="O260" s="135">
        <f t="shared" si="83"/>
        <v>25.35</v>
      </c>
      <c r="P260" s="135">
        <f t="shared" si="83"/>
        <v>788.32824</v>
      </c>
      <c r="Q260" s="135">
        <f t="shared" si="83"/>
        <v>214.32</v>
      </c>
      <c r="R260" s="136"/>
      <c r="S260" s="136"/>
      <c r="T260" s="137"/>
      <c r="U260" s="138"/>
      <c r="V260" s="200">
        <f t="shared" si="75"/>
        <v>3288.8233215547702</v>
      </c>
      <c r="W260" s="139">
        <f t="shared" si="76"/>
        <v>1.6620303571428572</v>
      </c>
      <c r="X260" s="140">
        <f aca="true" t="shared" si="84" ref="X260:AJ260">SUM(X261:X266)</f>
        <v>0</v>
      </c>
      <c r="Y260" s="134">
        <f t="shared" si="84"/>
        <v>0</v>
      </c>
      <c r="Z260" s="134">
        <f t="shared" si="84"/>
        <v>0</v>
      </c>
      <c r="AA260" s="135">
        <f t="shared" si="84"/>
        <v>0</v>
      </c>
      <c r="AB260" s="135">
        <f t="shared" si="84"/>
        <v>0</v>
      </c>
      <c r="AC260" s="135">
        <f t="shared" si="84"/>
        <v>0</v>
      </c>
      <c r="AD260" s="135">
        <f>SUM(AE261:AE266)</f>
        <v>0</v>
      </c>
      <c r="AE260" s="135">
        <f t="shared" si="84"/>
        <v>0</v>
      </c>
      <c r="AF260" s="135">
        <f t="shared" si="84"/>
        <v>0</v>
      </c>
      <c r="AG260" s="135">
        <f>SUM(AE261:AE266)</f>
        <v>0</v>
      </c>
      <c r="AH260" s="135">
        <f t="shared" si="84"/>
        <v>0</v>
      </c>
      <c r="AI260" s="135">
        <f t="shared" si="84"/>
        <v>0</v>
      </c>
      <c r="AJ260" s="135">
        <f t="shared" si="84"/>
        <v>0</v>
      </c>
      <c r="AK260" s="136"/>
      <c r="AL260" s="136"/>
      <c r="AM260" s="136"/>
      <c r="AN260" s="138"/>
      <c r="AO260" s="139" t="e">
        <f t="shared" si="73"/>
        <v>#DIV/0!</v>
      </c>
      <c r="AP260" s="139" t="e">
        <f t="shared" si="67"/>
        <v>#DIV/0!</v>
      </c>
      <c r="AQ260" s="134">
        <f aca="true" t="shared" si="85" ref="AQ260:BC260">SUM(AQ261:AQ266)</f>
        <v>1046</v>
      </c>
      <c r="AR260" s="134">
        <f t="shared" si="85"/>
        <v>574</v>
      </c>
      <c r="AS260" s="134">
        <f t="shared" si="85"/>
        <v>574</v>
      </c>
      <c r="AT260" s="135">
        <f t="shared" si="85"/>
        <v>812.3974000000001</v>
      </c>
      <c r="AU260" s="135">
        <f t="shared" si="85"/>
        <v>679.11685</v>
      </c>
      <c r="AV260" s="135">
        <f t="shared" si="85"/>
        <v>582.1496</v>
      </c>
      <c r="AW260" s="135">
        <f>SUM(AX261:AX266)</f>
        <v>84.61042</v>
      </c>
      <c r="AX260" s="135">
        <f t="shared" si="85"/>
        <v>84.61042</v>
      </c>
      <c r="AY260" s="135">
        <f t="shared" si="85"/>
        <v>0</v>
      </c>
      <c r="AZ260" s="135">
        <f t="shared" si="85"/>
        <v>0</v>
      </c>
      <c r="BA260" s="135">
        <f t="shared" si="85"/>
        <v>40.952600000000004</v>
      </c>
      <c r="BB260" s="135">
        <f t="shared" si="85"/>
        <v>1702.53</v>
      </c>
      <c r="BC260" s="135">
        <f t="shared" si="85"/>
        <v>321.48</v>
      </c>
      <c r="BD260" s="136"/>
      <c r="BE260" s="136"/>
      <c r="BF260" s="136"/>
      <c r="BG260" s="138"/>
      <c r="BH260" s="200">
        <f t="shared" si="43"/>
        <v>776.6705544933079</v>
      </c>
      <c r="BI260" s="139">
        <f t="shared" si="44"/>
        <v>1.4153264808362371</v>
      </c>
      <c r="BJ260" s="415">
        <f t="shared" si="51"/>
        <v>1329</v>
      </c>
      <c r="BK260" s="415">
        <f t="shared" si="52"/>
        <v>1134</v>
      </c>
      <c r="BL260" s="415">
        <f t="shared" si="53"/>
        <v>1134</v>
      </c>
      <c r="BM260" s="415">
        <f t="shared" si="54"/>
        <v>1743.1344</v>
      </c>
    </row>
    <row r="261" spans="1:65" s="129" customFormat="1" ht="21.75" customHeight="1" outlineLevel="1">
      <c r="A261" s="141" t="s">
        <v>116</v>
      </c>
      <c r="B261" s="142" t="s">
        <v>694</v>
      </c>
      <c r="C261" s="190" t="s">
        <v>695</v>
      </c>
      <c r="D261" s="144">
        <v>0.4</v>
      </c>
      <c r="E261" s="219">
        <v>135</v>
      </c>
      <c r="F261" s="193">
        <v>280</v>
      </c>
      <c r="G261" s="193">
        <v>280</v>
      </c>
      <c r="H261" s="148">
        <v>286.15</v>
      </c>
      <c r="I261" s="149">
        <v>117.047</v>
      </c>
      <c r="J261" s="149">
        <v>117.0477</v>
      </c>
      <c r="K261" s="149">
        <v>14.467</v>
      </c>
      <c r="L261" s="149">
        <v>38.15</v>
      </c>
      <c r="M261" s="149">
        <v>0</v>
      </c>
      <c r="N261" s="149">
        <v>0</v>
      </c>
      <c r="O261" s="149">
        <v>13.2</v>
      </c>
      <c r="P261" s="149">
        <v>433.51</v>
      </c>
      <c r="Q261" s="149">
        <v>107.16</v>
      </c>
      <c r="R261" s="150" t="s">
        <v>119</v>
      </c>
      <c r="S261" s="151" t="s">
        <v>120</v>
      </c>
      <c r="T261" s="152"/>
      <c r="U261" s="153">
        <v>349</v>
      </c>
      <c r="V261" s="201">
        <f t="shared" si="75"/>
        <v>2119.6296296296296</v>
      </c>
      <c r="W261" s="154">
        <f t="shared" si="76"/>
        <v>1.0219642857142857</v>
      </c>
      <c r="X261" s="194"/>
      <c r="Y261" s="193"/>
      <c r="Z261" s="193"/>
      <c r="AA261" s="148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56"/>
      <c r="AL261" s="156"/>
      <c r="AM261" s="156"/>
      <c r="AN261" s="153"/>
      <c r="AO261" s="154" t="e">
        <f t="shared" si="73"/>
        <v>#DIV/0!</v>
      </c>
      <c r="AP261" s="154" t="e">
        <f t="shared" si="67"/>
        <v>#DIV/0!</v>
      </c>
      <c r="AQ261" s="219"/>
      <c r="AR261" s="193"/>
      <c r="AS261" s="193"/>
      <c r="AT261" s="148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56"/>
      <c r="BE261" s="156"/>
      <c r="BF261" s="156"/>
      <c r="BG261" s="153"/>
      <c r="BH261" s="201" t="e">
        <f t="shared" si="43"/>
        <v>#DIV/0!</v>
      </c>
      <c r="BI261" s="154" t="e">
        <f t="shared" si="44"/>
        <v>#DIV/0!</v>
      </c>
      <c r="BJ261" s="415">
        <f t="shared" si="51"/>
        <v>135</v>
      </c>
      <c r="BK261" s="415">
        <f t="shared" si="52"/>
        <v>280</v>
      </c>
      <c r="BL261" s="415">
        <f t="shared" si="53"/>
        <v>280</v>
      </c>
      <c r="BM261" s="415">
        <f t="shared" si="54"/>
        <v>286.15</v>
      </c>
    </row>
    <row r="262" spans="1:65" s="129" customFormat="1" ht="18.75" outlineLevel="1">
      <c r="A262" s="141" t="s">
        <v>121</v>
      </c>
      <c r="B262" s="142" t="s">
        <v>694</v>
      </c>
      <c r="C262" s="190" t="s">
        <v>696</v>
      </c>
      <c r="D262" s="144">
        <v>0.4</v>
      </c>
      <c r="E262" s="219">
        <v>148</v>
      </c>
      <c r="F262" s="193">
        <v>280</v>
      </c>
      <c r="G262" s="193">
        <v>280</v>
      </c>
      <c r="H262" s="148">
        <v>644.587</v>
      </c>
      <c r="I262" s="149">
        <v>105.026</v>
      </c>
      <c r="J262" s="149">
        <v>105.0262</v>
      </c>
      <c r="K262" s="149">
        <v>15.86</v>
      </c>
      <c r="L262" s="149">
        <v>27.064</v>
      </c>
      <c r="M262" s="149">
        <v>0</v>
      </c>
      <c r="N262" s="149">
        <v>0</v>
      </c>
      <c r="O262" s="149">
        <v>12.15</v>
      </c>
      <c r="P262" s="149">
        <v>354.81824</v>
      </c>
      <c r="Q262" s="149">
        <v>107.16</v>
      </c>
      <c r="R262" s="150" t="s">
        <v>119</v>
      </c>
      <c r="S262" s="151" t="s">
        <v>120</v>
      </c>
      <c r="T262" s="152"/>
      <c r="U262" s="153">
        <v>361</v>
      </c>
      <c r="V262" s="201">
        <f t="shared" si="75"/>
        <v>4355.3175675675675</v>
      </c>
      <c r="W262" s="154">
        <f t="shared" si="76"/>
        <v>2.3020964285714287</v>
      </c>
      <c r="X262" s="194"/>
      <c r="Y262" s="193"/>
      <c r="Z262" s="193"/>
      <c r="AA262" s="148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56"/>
      <c r="AL262" s="156"/>
      <c r="AM262" s="156"/>
      <c r="AN262" s="153"/>
      <c r="AO262" s="154" t="e">
        <f t="shared" si="73"/>
        <v>#DIV/0!</v>
      </c>
      <c r="AP262" s="154" t="e">
        <f t="shared" si="67"/>
        <v>#DIV/0!</v>
      </c>
      <c r="AQ262" s="219"/>
      <c r="AR262" s="193"/>
      <c r="AS262" s="193"/>
      <c r="AT262" s="148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56"/>
      <c r="BE262" s="156"/>
      <c r="BF262" s="156"/>
      <c r="BG262" s="153"/>
      <c r="BH262" s="201" t="e">
        <f t="shared" si="43"/>
        <v>#DIV/0!</v>
      </c>
      <c r="BI262" s="154" t="e">
        <f t="shared" si="44"/>
        <v>#DIV/0!</v>
      </c>
      <c r="BJ262" s="415">
        <f t="shared" si="51"/>
        <v>148</v>
      </c>
      <c r="BK262" s="415">
        <f t="shared" si="52"/>
        <v>280</v>
      </c>
      <c r="BL262" s="415">
        <f t="shared" si="53"/>
        <v>280</v>
      </c>
      <c r="BM262" s="415">
        <f t="shared" si="54"/>
        <v>644.587</v>
      </c>
    </row>
    <row r="263" spans="1:65" s="129" customFormat="1" ht="18.75" outlineLevel="1">
      <c r="A263" s="141" t="s">
        <v>124</v>
      </c>
      <c r="B263" s="177" t="s">
        <v>694</v>
      </c>
      <c r="C263" s="158" t="s">
        <v>697</v>
      </c>
      <c r="D263" s="144">
        <v>0.4</v>
      </c>
      <c r="E263" s="145"/>
      <c r="F263" s="146"/>
      <c r="G263" s="165"/>
      <c r="H263" s="220"/>
      <c r="I263" s="149"/>
      <c r="J263" s="149"/>
      <c r="K263" s="149"/>
      <c r="L263" s="149"/>
      <c r="M263" s="149"/>
      <c r="N263" s="149"/>
      <c r="O263" s="149"/>
      <c r="P263" s="149"/>
      <c r="Q263" s="149"/>
      <c r="R263" s="156"/>
      <c r="S263" s="156"/>
      <c r="T263" s="152"/>
      <c r="U263" s="153"/>
      <c r="V263" s="201" t="e">
        <f t="shared" si="75"/>
        <v>#DIV/0!</v>
      </c>
      <c r="W263" s="154" t="e">
        <f t="shared" si="76"/>
        <v>#DIV/0!</v>
      </c>
      <c r="X263" s="155"/>
      <c r="Y263" s="146"/>
      <c r="Z263" s="165"/>
      <c r="AA263" s="220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56"/>
      <c r="AL263" s="156"/>
      <c r="AM263" s="156"/>
      <c r="AN263" s="153"/>
      <c r="AO263" s="154" t="e">
        <f t="shared" si="73"/>
        <v>#DIV/0!</v>
      </c>
      <c r="AP263" s="154" t="e">
        <f t="shared" si="67"/>
        <v>#DIV/0!</v>
      </c>
      <c r="AQ263" s="145">
        <v>482</v>
      </c>
      <c r="AR263" s="146">
        <v>275</v>
      </c>
      <c r="AS263" s="147">
        <v>275</v>
      </c>
      <c r="AT263" s="220">
        <v>354.9954</v>
      </c>
      <c r="AU263" s="149">
        <v>301.60385</v>
      </c>
      <c r="AV263" s="149">
        <v>244.2776</v>
      </c>
      <c r="AW263" s="149">
        <v>57.326</v>
      </c>
      <c r="AX263" s="149">
        <v>1.23042</v>
      </c>
      <c r="AY263" s="149">
        <v>0</v>
      </c>
      <c r="AZ263" s="149">
        <v>0</v>
      </c>
      <c r="BA263" s="149">
        <v>17.0666</v>
      </c>
      <c r="BB263" s="149">
        <v>506.8</v>
      </c>
      <c r="BC263" s="149">
        <v>107.16</v>
      </c>
      <c r="BD263" s="150" t="s">
        <v>119</v>
      </c>
      <c r="BE263" s="151" t="s">
        <v>120</v>
      </c>
      <c r="BF263" s="156"/>
      <c r="BG263" s="153">
        <v>44</v>
      </c>
      <c r="BH263" s="201">
        <f t="shared" si="43"/>
        <v>736.5049792531121</v>
      </c>
      <c r="BI263" s="154">
        <f t="shared" si="44"/>
        <v>1.2908923636363636</v>
      </c>
      <c r="BJ263" s="415">
        <f t="shared" si="51"/>
        <v>482</v>
      </c>
      <c r="BK263" s="415">
        <f t="shared" si="52"/>
        <v>275</v>
      </c>
      <c r="BL263" s="415">
        <f t="shared" si="53"/>
        <v>275</v>
      </c>
      <c r="BM263" s="415">
        <f t="shared" si="54"/>
        <v>354.9954</v>
      </c>
    </row>
    <row r="264" spans="1:65" s="129" customFormat="1" ht="18.75" outlineLevel="1">
      <c r="A264" s="141" t="s">
        <v>127</v>
      </c>
      <c r="B264" s="177" t="s">
        <v>604</v>
      </c>
      <c r="C264" s="158" t="s">
        <v>605</v>
      </c>
      <c r="D264" s="144">
        <v>0.4</v>
      </c>
      <c r="E264" s="145"/>
      <c r="F264" s="146"/>
      <c r="G264" s="165"/>
      <c r="H264" s="166"/>
      <c r="I264" s="149"/>
      <c r="J264" s="149"/>
      <c r="K264" s="149"/>
      <c r="L264" s="149"/>
      <c r="M264" s="149"/>
      <c r="N264" s="149"/>
      <c r="O264" s="149"/>
      <c r="P264" s="149"/>
      <c r="Q264" s="149"/>
      <c r="R264" s="156"/>
      <c r="S264" s="156"/>
      <c r="T264" s="152"/>
      <c r="U264" s="153"/>
      <c r="V264" s="201" t="e">
        <f t="shared" si="75"/>
        <v>#DIV/0!</v>
      </c>
      <c r="W264" s="154" t="e">
        <f t="shared" si="76"/>
        <v>#DIV/0!</v>
      </c>
      <c r="X264" s="155"/>
      <c r="Y264" s="146"/>
      <c r="Z264" s="165"/>
      <c r="AA264" s="166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56"/>
      <c r="AL264" s="156"/>
      <c r="AM264" s="156"/>
      <c r="AN264" s="153"/>
      <c r="AO264" s="154" t="e">
        <f t="shared" si="73"/>
        <v>#DIV/0!</v>
      </c>
      <c r="AP264" s="154" t="e">
        <f t="shared" si="67"/>
        <v>#DIV/0!</v>
      </c>
      <c r="AQ264" s="145">
        <v>164</v>
      </c>
      <c r="AR264" s="146">
        <v>150</v>
      </c>
      <c r="AS264" s="147">
        <v>150</v>
      </c>
      <c r="AT264" s="220">
        <v>147.163</v>
      </c>
      <c r="AU264" s="149">
        <v>116.467</v>
      </c>
      <c r="AV264" s="149">
        <v>97.58</v>
      </c>
      <c r="AW264" s="149">
        <v>18.887</v>
      </c>
      <c r="AX264" s="149">
        <v>2.651</v>
      </c>
      <c r="AY264" s="149">
        <v>0</v>
      </c>
      <c r="AZ264" s="149">
        <v>0</v>
      </c>
      <c r="BA264" s="149">
        <v>9.462</v>
      </c>
      <c r="BB264" s="149">
        <v>595</v>
      </c>
      <c r="BC264" s="149">
        <v>107.16</v>
      </c>
      <c r="BD264" s="150" t="s">
        <v>119</v>
      </c>
      <c r="BE264" s="151" t="s">
        <v>120</v>
      </c>
      <c r="BF264" s="156"/>
      <c r="BG264" s="153">
        <v>137</v>
      </c>
      <c r="BH264" s="201">
        <f t="shared" si="43"/>
        <v>897.3353658536586</v>
      </c>
      <c r="BI264" s="154">
        <f t="shared" si="44"/>
        <v>0.9810866666666668</v>
      </c>
      <c r="BJ264" s="415">
        <f t="shared" si="51"/>
        <v>164</v>
      </c>
      <c r="BK264" s="415">
        <f t="shared" si="52"/>
        <v>150</v>
      </c>
      <c r="BL264" s="415">
        <f t="shared" si="53"/>
        <v>150</v>
      </c>
      <c r="BM264" s="415">
        <f t="shared" si="54"/>
        <v>147.163</v>
      </c>
    </row>
    <row r="265" spans="1:65" s="129" customFormat="1" ht="18.75" outlineLevel="1">
      <c r="A265" s="141" t="s">
        <v>130</v>
      </c>
      <c r="B265" s="177" t="s">
        <v>698</v>
      </c>
      <c r="C265" s="158" t="s">
        <v>699</v>
      </c>
      <c r="D265" s="144">
        <v>0.4</v>
      </c>
      <c r="E265" s="145"/>
      <c r="F265" s="146"/>
      <c r="G265" s="165"/>
      <c r="H265" s="220"/>
      <c r="I265" s="149"/>
      <c r="J265" s="149"/>
      <c r="K265" s="149"/>
      <c r="L265" s="149"/>
      <c r="M265" s="149"/>
      <c r="N265" s="149"/>
      <c r="O265" s="149"/>
      <c r="P265" s="149"/>
      <c r="Q265" s="149"/>
      <c r="R265" s="156"/>
      <c r="S265" s="156"/>
      <c r="T265" s="152"/>
      <c r="U265" s="153"/>
      <c r="V265" s="201" t="e">
        <f t="shared" si="75"/>
        <v>#DIV/0!</v>
      </c>
      <c r="W265" s="154" t="e">
        <f t="shared" si="76"/>
        <v>#DIV/0!</v>
      </c>
      <c r="X265" s="155"/>
      <c r="Y265" s="146"/>
      <c r="Z265" s="165"/>
      <c r="AA265" s="220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56"/>
      <c r="AL265" s="156"/>
      <c r="AM265" s="156"/>
      <c r="AN265" s="153"/>
      <c r="AO265" s="154" t="e">
        <f t="shared" si="73"/>
        <v>#DIV/0!</v>
      </c>
      <c r="AP265" s="154" t="e">
        <f t="shared" si="67"/>
        <v>#DIV/0!</v>
      </c>
      <c r="AQ265" s="145">
        <v>400</v>
      </c>
      <c r="AR265" s="146">
        <v>149</v>
      </c>
      <c r="AS265" s="147">
        <v>149</v>
      </c>
      <c r="AT265" s="220">
        <v>310.239</v>
      </c>
      <c r="AU265" s="149">
        <v>261.046</v>
      </c>
      <c r="AV265" s="149">
        <v>240.292</v>
      </c>
      <c r="AW265" s="149">
        <v>20.754</v>
      </c>
      <c r="AX265" s="149">
        <v>80.729</v>
      </c>
      <c r="AY265" s="149">
        <v>0</v>
      </c>
      <c r="AZ265" s="149">
        <v>0</v>
      </c>
      <c r="BA265" s="149">
        <v>14.424</v>
      </c>
      <c r="BB265" s="149">
        <v>600.73</v>
      </c>
      <c r="BC265" s="149">
        <v>107.16</v>
      </c>
      <c r="BD265" s="150" t="s">
        <v>119</v>
      </c>
      <c r="BE265" s="151" t="s">
        <v>120</v>
      </c>
      <c r="BF265" s="156"/>
      <c r="BG265" s="153">
        <v>276</v>
      </c>
      <c r="BH265" s="201">
        <f t="shared" si="43"/>
        <v>775.5975</v>
      </c>
      <c r="BI265" s="154">
        <f t="shared" si="44"/>
        <v>2.0821409395973154</v>
      </c>
      <c r="BJ265" s="415">
        <f t="shared" si="51"/>
        <v>400</v>
      </c>
      <c r="BK265" s="415">
        <f t="shared" si="52"/>
        <v>149</v>
      </c>
      <c r="BL265" s="415">
        <f t="shared" si="53"/>
        <v>149</v>
      </c>
      <c r="BM265" s="415">
        <f t="shared" si="54"/>
        <v>310.239</v>
      </c>
    </row>
    <row r="266" spans="1:65" s="129" customFormat="1" ht="14.25">
      <c r="A266" s="141"/>
      <c r="B266" s="179"/>
      <c r="C266" s="158"/>
      <c r="D266" s="144"/>
      <c r="E266" s="145"/>
      <c r="F266" s="146"/>
      <c r="G266" s="165"/>
      <c r="H266" s="221"/>
      <c r="I266" s="149"/>
      <c r="J266" s="149"/>
      <c r="K266" s="149"/>
      <c r="L266" s="149"/>
      <c r="M266" s="149"/>
      <c r="N266" s="149"/>
      <c r="O266" s="149"/>
      <c r="P266" s="149"/>
      <c r="Q266" s="149"/>
      <c r="R266" s="156"/>
      <c r="S266" s="156"/>
      <c r="T266" s="152"/>
      <c r="U266" s="153"/>
      <c r="V266" s="201" t="e">
        <f t="shared" si="75"/>
        <v>#DIV/0!</v>
      </c>
      <c r="W266" s="154" t="e">
        <f t="shared" si="76"/>
        <v>#DIV/0!</v>
      </c>
      <c r="X266" s="155"/>
      <c r="Y266" s="146"/>
      <c r="Z266" s="165"/>
      <c r="AA266" s="221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56"/>
      <c r="AL266" s="156"/>
      <c r="AM266" s="156"/>
      <c r="AN266" s="153"/>
      <c r="AO266" s="154" t="e">
        <f t="shared" si="73"/>
        <v>#DIV/0!</v>
      </c>
      <c r="AP266" s="154" t="e">
        <f t="shared" si="67"/>
        <v>#DIV/0!</v>
      </c>
      <c r="AQ266" s="145"/>
      <c r="AR266" s="146"/>
      <c r="AS266" s="147"/>
      <c r="AT266" s="221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56"/>
      <c r="BE266" s="156"/>
      <c r="BF266" s="156"/>
      <c r="BG266" s="153"/>
      <c r="BH266" s="201" t="e">
        <f t="shared" si="43"/>
        <v>#DIV/0!</v>
      </c>
      <c r="BI266" s="154" t="e">
        <f t="shared" si="44"/>
        <v>#DIV/0!</v>
      </c>
      <c r="BJ266" s="415">
        <f t="shared" si="51"/>
        <v>0</v>
      </c>
      <c r="BK266" s="415">
        <f t="shared" si="52"/>
        <v>0</v>
      </c>
      <c r="BL266" s="415">
        <f t="shared" si="53"/>
        <v>0</v>
      </c>
      <c r="BM266" s="415">
        <f t="shared" si="54"/>
        <v>0</v>
      </c>
    </row>
    <row r="267" spans="1:65" s="129" customFormat="1" ht="24.75" customHeight="1">
      <c r="A267" s="130" t="s">
        <v>144</v>
      </c>
      <c r="B267" s="131" t="s">
        <v>700</v>
      </c>
      <c r="C267" s="132"/>
      <c r="D267" s="133">
        <v>0.4</v>
      </c>
      <c r="E267" s="134">
        <f aca="true" t="shared" si="86" ref="E267:Q267">SUM(E268:E275)</f>
        <v>100</v>
      </c>
      <c r="F267" s="134">
        <f t="shared" si="86"/>
        <v>298</v>
      </c>
      <c r="G267" s="134">
        <f>SUM(G268:G275)</f>
        <v>298</v>
      </c>
      <c r="H267" s="135">
        <f t="shared" si="86"/>
        <v>198.351</v>
      </c>
      <c r="I267" s="135">
        <f t="shared" si="86"/>
        <v>175.693</v>
      </c>
      <c r="J267" s="135">
        <f t="shared" si="86"/>
        <v>96.642</v>
      </c>
      <c r="K267" s="135">
        <f t="shared" si="86"/>
        <v>19.001</v>
      </c>
      <c r="L267" s="135">
        <f t="shared" si="86"/>
        <v>32.508</v>
      </c>
      <c r="M267" s="135">
        <f t="shared" si="86"/>
        <v>0</v>
      </c>
      <c r="N267" s="135">
        <f t="shared" si="86"/>
        <v>0</v>
      </c>
      <c r="O267" s="135">
        <f t="shared" si="86"/>
        <v>10.042</v>
      </c>
      <c r="P267" s="135">
        <f t="shared" si="86"/>
        <v>483.21</v>
      </c>
      <c r="Q267" s="135">
        <f t="shared" si="86"/>
        <v>107.16</v>
      </c>
      <c r="R267" s="136"/>
      <c r="S267" s="136"/>
      <c r="T267" s="137"/>
      <c r="U267" s="138"/>
      <c r="V267" s="200">
        <f t="shared" si="75"/>
        <v>1983.51</v>
      </c>
      <c r="W267" s="139">
        <f t="shared" si="76"/>
        <v>0.6656073825503356</v>
      </c>
      <c r="X267" s="140">
        <f aca="true" t="shared" si="87" ref="X267:AJ267">SUM(X268:X275)</f>
        <v>2496</v>
      </c>
      <c r="Y267" s="134">
        <f t="shared" si="87"/>
        <v>1150</v>
      </c>
      <c r="Z267" s="134">
        <f t="shared" si="87"/>
        <v>1150</v>
      </c>
      <c r="AA267" s="135">
        <f t="shared" si="87"/>
        <v>1800.3490299999999</v>
      </c>
      <c r="AB267" s="135">
        <f t="shared" si="87"/>
        <v>1434.34207</v>
      </c>
      <c r="AC267" s="135">
        <f t="shared" si="87"/>
        <v>1188.44131</v>
      </c>
      <c r="AD267" s="135">
        <f>SUM(AE268:AE275)</f>
        <v>80.80755</v>
      </c>
      <c r="AE267" s="135">
        <f t="shared" si="87"/>
        <v>80.80755</v>
      </c>
      <c r="AF267" s="135">
        <f t="shared" si="87"/>
        <v>0</v>
      </c>
      <c r="AG267" s="135">
        <f>SUM(AE268:AE275)</f>
        <v>80.80755</v>
      </c>
      <c r="AH267" s="135">
        <f t="shared" si="87"/>
        <v>51.86842000000001</v>
      </c>
      <c r="AI267" s="135">
        <f t="shared" si="87"/>
        <v>1932.84</v>
      </c>
      <c r="AJ267" s="135">
        <f t="shared" si="87"/>
        <v>428.64</v>
      </c>
      <c r="AK267" s="136"/>
      <c r="AL267" s="136"/>
      <c r="AM267" s="136"/>
      <c r="AN267" s="138"/>
      <c r="AO267" s="139">
        <f t="shared" si="73"/>
        <v>721.2936818910256</v>
      </c>
      <c r="AP267" s="139">
        <f t="shared" si="67"/>
        <v>1.5655208956521738</v>
      </c>
      <c r="AQ267" s="134">
        <f aca="true" t="shared" si="88" ref="AQ267:BC267">SUM(AQ268:AQ275)</f>
        <v>502</v>
      </c>
      <c r="AR267" s="134">
        <f t="shared" si="88"/>
        <v>635</v>
      </c>
      <c r="AS267" s="134">
        <f t="shared" si="88"/>
        <v>635</v>
      </c>
      <c r="AT267" s="135">
        <f t="shared" si="88"/>
        <v>791.84509</v>
      </c>
      <c r="AU267" s="135">
        <f t="shared" si="88"/>
        <v>630.16808</v>
      </c>
      <c r="AV267" s="135">
        <f t="shared" si="88"/>
        <v>583.52836</v>
      </c>
      <c r="AW267" s="135">
        <f>SUM(AX268:AX275)</f>
        <v>54.37008</v>
      </c>
      <c r="AX267" s="135">
        <f t="shared" si="88"/>
        <v>54.37008</v>
      </c>
      <c r="AY267" s="135">
        <f t="shared" si="88"/>
        <v>0</v>
      </c>
      <c r="AZ267" s="135">
        <f t="shared" si="88"/>
        <v>0</v>
      </c>
      <c r="BA267" s="135">
        <f t="shared" si="88"/>
        <v>41.536880000000004</v>
      </c>
      <c r="BB267" s="135">
        <f t="shared" si="88"/>
        <v>1104.09</v>
      </c>
      <c r="BC267" s="135">
        <f t="shared" si="88"/>
        <v>214.32</v>
      </c>
      <c r="BD267" s="136"/>
      <c r="BE267" s="136"/>
      <c r="BF267" s="136"/>
      <c r="BG267" s="138"/>
      <c r="BH267" s="200">
        <f t="shared" si="43"/>
        <v>1577.380657370518</v>
      </c>
      <c r="BI267" s="139">
        <f t="shared" si="44"/>
        <v>1.2470001417322836</v>
      </c>
      <c r="BJ267" s="415">
        <f t="shared" si="51"/>
        <v>3098</v>
      </c>
      <c r="BK267" s="415">
        <f t="shared" si="52"/>
        <v>2083</v>
      </c>
      <c r="BL267" s="415">
        <f t="shared" si="53"/>
        <v>2083</v>
      </c>
      <c r="BM267" s="415">
        <f t="shared" si="54"/>
        <v>2790.5451199999998</v>
      </c>
    </row>
    <row r="268" spans="1:65" s="129" customFormat="1" ht="18" customHeight="1" outlineLevel="1">
      <c r="A268" s="141" t="s">
        <v>146</v>
      </c>
      <c r="B268" s="142" t="s">
        <v>701</v>
      </c>
      <c r="C268" s="190" t="s">
        <v>702</v>
      </c>
      <c r="D268" s="144">
        <v>0.4</v>
      </c>
      <c r="E268" s="219">
        <v>100</v>
      </c>
      <c r="F268" s="193">
        <v>298</v>
      </c>
      <c r="G268" s="193">
        <v>298</v>
      </c>
      <c r="H268" s="148">
        <v>198.351</v>
      </c>
      <c r="I268" s="149">
        <v>175.693</v>
      </c>
      <c r="J268" s="149">
        <v>96.642</v>
      </c>
      <c r="K268" s="149">
        <v>19.001</v>
      </c>
      <c r="L268" s="149">
        <v>32.508</v>
      </c>
      <c r="M268" s="149">
        <v>0</v>
      </c>
      <c r="N268" s="149">
        <v>0</v>
      </c>
      <c r="O268" s="149">
        <v>10.042</v>
      </c>
      <c r="P268" s="149">
        <v>483.21</v>
      </c>
      <c r="Q268" s="149">
        <v>107.16</v>
      </c>
      <c r="R268" s="150" t="s">
        <v>119</v>
      </c>
      <c r="S268" s="151" t="s">
        <v>120</v>
      </c>
      <c r="T268" s="152"/>
      <c r="U268" s="153">
        <v>373</v>
      </c>
      <c r="V268" s="201">
        <f t="shared" si="75"/>
        <v>1983.51</v>
      </c>
      <c r="W268" s="154">
        <f t="shared" si="76"/>
        <v>0.6656073825503356</v>
      </c>
      <c r="X268" s="194"/>
      <c r="Y268" s="193"/>
      <c r="Z268" s="193"/>
      <c r="AA268" s="148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56"/>
      <c r="AL268" s="156"/>
      <c r="AM268" s="156"/>
      <c r="AN268" s="153"/>
      <c r="AO268" s="154" t="e">
        <f t="shared" si="73"/>
        <v>#DIV/0!</v>
      </c>
      <c r="AP268" s="154" t="e">
        <f t="shared" si="67"/>
        <v>#DIV/0!</v>
      </c>
      <c r="AQ268" s="219"/>
      <c r="AR268" s="193"/>
      <c r="AS268" s="193"/>
      <c r="AT268" s="148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56"/>
      <c r="BE268" s="156"/>
      <c r="BF268" s="156"/>
      <c r="BG268" s="153"/>
      <c r="BH268" s="201" t="e">
        <f t="shared" si="43"/>
        <v>#DIV/0!</v>
      </c>
      <c r="BI268" s="154" t="e">
        <f t="shared" si="44"/>
        <v>#DIV/0!</v>
      </c>
      <c r="BJ268" s="415">
        <f t="shared" si="51"/>
        <v>100</v>
      </c>
      <c r="BK268" s="415">
        <f t="shared" si="52"/>
        <v>298</v>
      </c>
      <c r="BL268" s="415">
        <f t="shared" si="53"/>
        <v>298</v>
      </c>
      <c r="BM268" s="415">
        <f t="shared" si="54"/>
        <v>198.351</v>
      </c>
    </row>
    <row r="269" spans="1:65" s="129" customFormat="1" ht="28.5" outlineLevel="1">
      <c r="A269" s="141" t="s">
        <v>149</v>
      </c>
      <c r="B269" s="173" t="s">
        <v>703</v>
      </c>
      <c r="C269" s="180" t="s">
        <v>704</v>
      </c>
      <c r="D269" s="144">
        <v>0.4</v>
      </c>
      <c r="E269" s="161"/>
      <c r="F269" s="161"/>
      <c r="G269" s="161"/>
      <c r="H269" s="162"/>
      <c r="I269" s="149"/>
      <c r="J269" s="149"/>
      <c r="K269" s="149"/>
      <c r="L269" s="149"/>
      <c r="M269" s="149"/>
      <c r="N269" s="149"/>
      <c r="O269" s="149"/>
      <c r="P269" s="149"/>
      <c r="Q269" s="149"/>
      <c r="R269" s="156"/>
      <c r="S269" s="156"/>
      <c r="T269" s="152"/>
      <c r="U269" s="153"/>
      <c r="V269" s="201" t="e">
        <f t="shared" si="75"/>
        <v>#DIV/0!</v>
      </c>
      <c r="W269" s="154" t="e">
        <f t="shared" si="76"/>
        <v>#DIV/0!</v>
      </c>
      <c r="X269" s="163">
        <v>421</v>
      </c>
      <c r="Y269" s="161">
        <v>130</v>
      </c>
      <c r="Z269" s="161">
        <v>130</v>
      </c>
      <c r="AA269" s="162">
        <v>277.80208</v>
      </c>
      <c r="AB269" s="149">
        <v>223.8933</v>
      </c>
      <c r="AC269" s="149">
        <f>133.36596+23.19408+23.19408+23.67729</f>
        <v>203.43141</v>
      </c>
      <c r="AD269" s="149">
        <v>20.462</v>
      </c>
      <c r="AE269" s="149">
        <v>21.64955</v>
      </c>
      <c r="AF269" s="149">
        <v>0</v>
      </c>
      <c r="AG269" s="149">
        <v>0</v>
      </c>
      <c r="AH269" s="149">
        <v>11.53542</v>
      </c>
      <c r="AI269" s="149">
        <v>483.21</v>
      </c>
      <c r="AJ269" s="149">
        <v>107.16</v>
      </c>
      <c r="AK269" s="150" t="s">
        <v>119</v>
      </c>
      <c r="AL269" s="151" t="s">
        <v>120</v>
      </c>
      <c r="AM269" s="156"/>
      <c r="AN269" s="153">
        <v>236</v>
      </c>
      <c r="AO269" s="154">
        <f t="shared" si="73"/>
        <v>659.8624228028503</v>
      </c>
      <c r="AP269" s="154">
        <f t="shared" si="67"/>
        <v>2.1369390769230767</v>
      </c>
      <c r="AQ269" s="161"/>
      <c r="AR269" s="161"/>
      <c r="AS269" s="161"/>
      <c r="AT269" s="162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56"/>
      <c r="BE269" s="156"/>
      <c r="BF269" s="156"/>
      <c r="BG269" s="153"/>
      <c r="BH269" s="201" t="e">
        <f t="shared" si="43"/>
        <v>#DIV/0!</v>
      </c>
      <c r="BI269" s="154" t="e">
        <f t="shared" si="44"/>
        <v>#DIV/0!</v>
      </c>
      <c r="BJ269" s="415">
        <f t="shared" si="51"/>
        <v>421</v>
      </c>
      <c r="BK269" s="415">
        <f t="shared" si="52"/>
        <v>130</v>
      </c>
      <c r="BL269" s="415">
        <f t="shared" si="53"/>
        <v>130</v>
      </c>
      <c r="BM269" s="415">
        <f t="shared" si="54"/>
        <v>277.80208</v>
      </c>
    </row>
    <row r="270" spans="1:65" s="129" customFormat="1" ht="18.75" outlineLevel="1">
      <c r="A270" s="141" t="s">
        <v>152</v>
      </c>
      <c r="B270" s="173" t="s">
        <v>705</v>
      </c>
      <c r="C270" s="180" t="s">
        <v>706</v>
      </c>
      <c r="D270" s="144">
        <v>0.4</v>
      </c>
      <c r="E270" s="161"/>
      <c r="F270" s="161"/>
      <c r="G270" s="161"/>
      <c r="H270" s="222"/>
      <c r="I270" s="149"/>
      <c r="J270" s="149"/>
      <c r="K270" s="149"/>
      <c r="L270" s="149"/>
      <c r="M270" s="149"/>
      <c r="N270" s="149"/>
      <c r="O270" s="149"/>
      <c r="P270" s="149"/>
      <c r="Q270" s="149"/>
      <c r="R270" s="156"/>
      <c r="S270" s="156"/>
      <c r="T270" s="152"/>
      <c r="U270" s="153"/>
      <c r="V270" s="201" t="e">
        <f t="shared" si="75"/>
        <v>#DIV/0!</v>
      </c>
      <c r="W270" s="154" t="e">
        <f t="shared" si="76"/>
        <v>#DIV/0!</v>
      </c>
      <c r="X270" s="163">
        <v>688</v>
      </c>
      <c r="Y270" s="161">
        <v>400</v>
      </c>
      <c r="Z270" s="161">
        <v>400</v>
      </c>
      <c r="AA270" s="222">
        <v>615.19895</v>
      </c>
      <c r="AB270" s="149">
        <v>407.21577</v>
      </c>
      <c r="AC270" s="149">
        <f>224.69265+93.25953</f>
        <v>317.95218</v>
      </c>
      <c r="AD270" s="149">
        <v>89.264</v>
      </c>
      <c r="AE270" s="149">
        <v>52.993</v>
      </c>
      <c r="AF270" s="149">
        <v>0</v>
      </c>
      <c r="AG270" s="149">
        <v>0</v>
      </c>
      <c r="AH270" s="149">
        <v>16.11</v>
      </c>
      <c r="AI270" s="149">
        <v>483.21</v>
      </c>
      <c r="AJ270" s="149">
        <v>107.16</v>
      </c>
      <c r="AK270" s="150" t="s">
        <v>119</v>
      </c>
      <c r="AL270" s="151" t="s">
        <v>120</v>
      </c>
      <c r="AM270" s="156"/>
      <c r="AN270" s="153">
        <v>89</v>
      </c>
      <c r="AO270" s="154">
        <f t="shared" si="73"/>
        <v>894.184520348837</v>
      </c>
      <c r="AP270" s="154">
        <f t="shared" si="67"/>
        <v>1.537997375</v>
      </c>
      <c r="AQ270" s="161"/>
      <c r="AR270" s="161"/>
      <c r="AS270" s="161"/>
      <c r="AT270" s="222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56"/>
      <c r="BE270" s="156"/>
      <c r="BF270" s="156"/>
      <c r="BG270" s="153"/>
      <c r="BH270" s="201" t="e">
        <f t="shared" si="43"/>
        <v>#DIV/0!</v>
      </c>
      <c r="BI270" s="154" t="e">
        <f t="shared" si="44"/>
        <v>#DIV/0!</v>
      </c>
      <c r="BJ270" s="415">
        <f t="shared" si="51"/>
        <v>688</v>
      </c>
      <c r="BK270" s="415">
        <f t="shared" si="52"/>
        <v>400</v>
      </c>
      <c r="BL270" s="415">
        <f t="shared" si="53"/>
        <v>400</v>
      </c>
      <c r="BM270" s="415">
        <f t="shared" si="54"/>
        <v>615.19895</v>
      </c>
    </row>
    <row r="271" spans="1:65" s="230" customFormat="1" ht="18.75" outlineLevel="1">
      <c r="A271" s="223" t="s">
        <v>155</v>
      </c>
      <c r="B271" s="173" t="s">
        <v>694</v>
      </c>
      <c r="C271" s="143" t="s">
        <v>707</v>
      </c>
      <c r="D271" s="144">
        <v>0.4</v>
      </c>
      <c r="E271" s="197"/>
      <c r="F271" s="197"/>
      <c r="G271" s="197"/>
      <c r="H271" s="22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0"/>
      <c r="S271" s="170"/>
      <c r="T271" s="224"/>
      <c r="U271" s="144"/>
      <c r="V271" s="225" t="e">
        <f t="shared" si="75"/>
        <v>#DIV/0!</v>
      </c>
      <c r="W271" s="226" t="e">
        <f t="shared" si="76"/>
        <v>#DIV/0!</v>
      </c>
      <c r="X271" s="227">
        <v>1300</v>
      </c>
      <c r="Y271" s="197">
        <v>330</v>
      </c>
      <c r="Z271" s="197">
        <v>330</v>
      </c>
      <c r="AA271" s="222">
        <v>836.403</v>
      </c>
      <c r="AB271" s="172">
        <v>749.719</v>
      </c>
      <c r="AC271" s="172">
        <f>500.83348+69.58224+23.19408+34.79112</f>
        <v>628.4009199999999</v>
      </c>
      <c r="AD271" s="172">
        <v>121.318</v>
      </c>
      <c r="AE271" s="172">
        <v>0</v>
      </c>
      <c r="AF271" s="172">
        <v>0</v>
      </c>
      <c r="AG271" s="172">
        <v>0</v>
      </c>
      <c r="AH271" s="172">
        <v>20.209</v>
      </c>
      <c r="AI271" s="172">
        <v>483.21</v>
      </c>
      <c r="AJ271" s="149">
        <v>107.16</v>
      </c>
      <c r="AK271" s="228" t="s">
        <v>119</v>
      </c>
      <c r="AL271" s="229" t="s">
        <v>120</v>
      </c>
      <c r="AM271" s="170"/>
      <c r="AN271" s="144">
        <v>298</v>
      </c>
      <c r="AO271" s="226">
        <f t="shared" si="73"/>
        <v>643.3869230769232</v>
      </c>
      <c r="AP271" s="226">
        <f t="shared" si="67"/>
        <v>2.5345545454545455</v>
      </c>
      <c r="AQ271" s="197"/>
      <c r="AR271" s="197"/>
      <c r="AS271" s="197"/>
      <c r="AT271" s="222"/>
      <c r="AU271" s="172"/>
      <c r="AV271" s="172"/>
      <c r="AW271" s="172"/>
      <c r="AX271" s="172"/>
      <c r="AY271" s="172"/>
      <c r="AZ271" s="172"/>
      <c r="BA271" s="172"/>
      <c r="BB271" s="172"/>
      <c r="BC271" s="172"/>
      <c r="BD271" s="170"/>
      <c r="BE271" s="170"/>
      <c r="BF271" s="170"/>
      <c r="BG271" s="144"/>
      <c r="BH271" s="225" t="e">
        <f t="shared" si="43"/>
        <v>#DIV/0!</v>
      </c>
      <c r="BI271" s="226" t="e">
        <f t="shared" si="44"/>
        <v>#DIV/0!</v>
      </c>
      <c r="BJ271" s="415">
        <f t="shared" si="51"/>
        <v>1300</v>
      </c>
      <c r="BK271" s="415">
        <f t="shared" si="52"/>
        <v>330</v>
      </c>
      <c r="BL271" s="415">
        <f t="shared" si="53"/>
        <v>330</v>
      </c>
      <c r="BM271" s="415">
        <f t="shared" si="54"/>
        <v>836.403</v>
      </c>
    </row>
    <row r="272" spans="1:65" s="129" customFormat="1" ht="18.75" outlineLevel="1">
      <c r="A272" s="141" t="s">
        <v>158</v>
      </c>
      <c r="B272" s="176" t="s">
        <v>708</v>
      </c>
      <c r="C272" s="158" t="s">
        <v>709</v>
      </c>
      <c r="D272" s="144">
        <v>0.4</v>
      </c>
      <c r="E272" s="161"/>
      <c r="F272" s="161"/>
      <c r="G272" s="161"/>
      <c r="H272" s="222"/>
      <c r="I272" s="149"/>
      <c r="J272" s="149"/>
      <c r="K272" s="149"/>
      <c r="L272" s="149"/>
      <c r="M272" s="149"/>
      <c r="N272" s="149"/>
      <c r="O272" s="149"/>
      <c r="P272" s="149"/>
      <c r="Q272" s="149"/>
      <c r="R272" s="156"/>
      <c r="S272" s="156"/>
      <c r="T272" s="152"/>
      <c r="U272" s="153"/>
      <c r="V272" s="201" t="e">
        <f t="shared" si="75"/>
        <v>#DIV/0!</v>
      </c>
      <c r="W272" s="154" t="e">
        <f t="shared" si="76"/>
        <v>#DIV/0!</v>
      </c>
      <c r="X272" s="163">
        <v>87</v>
      </c>
      <c r="Y272" s="161">
        <v>290</v>
      </c>
      <c r="Z272" s="161">
        <v>290</v>
      </c>
      <c r="AA272" s="222">
        <v>70.945</v>
      </c>
      <c r="AB272" s="149">
        <v>53.514</v>
      </c>
      <c r="AC272" s="149">
        <f>30.92544+7.73136</f>
        <v>38.6568</v>
      </c>
      <c r="AD272" s="149">
        <v>11.474</v>
      </c>
      <c r="AE272" s="149">
        <v>6.165</v>
      </c>
      <c r="AF272" s="149">
        <v>0</v>
      </c>
      <c r="AG272" s="149">
        <v>0</v>
      </c>
      <c r="AH272" s="149">
        <v>4.014</v>
      </c>
      <c r="AI272" s="149">
        <v>483.21</v>
      </c>
      <c r="AJ272" s="149">
        <v>107.16</v>
      </c>
      <c r="AK272" s="150" t="s">
        <v>119</v>
      </c>
      <c r="AL272" s="151" t="s">
        <v>120</v>
      </c>
      <c r="AM272" s="156"/>
      <c r="AN272" s="153">
        <v>152</v>
      </c>
      <c r="AO272" s="154">
        <f t="shared" si="73"/>
        <v>815.4597701149424</v>
      </c>
      <c r="AP272" s="154">
        <f t="shared" si="67"/>
        <v>0.24463793103448273</v>
      </c>
      <c r="AQ272" s="161"/>
      <c r="AR272" s="161"/>
      <c r="AS272" s="161"/>
      <c r="AT272" s="222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56"/>
      <c r="BE272" s="156"/>
      <c r="BF272" s="156"/>
      <c r="BG272" s="153"/>
      <c r="BH272" s="201" t="e">
        <f t="shared" si="43"/>
        <v>#DIV/0!</v>
      </c>
      <c r="BI272" s="154" t="e">
        <f t="shared" si="44"/>
        <v>#DIV/0!</v>
      </c>
      <c r="BJ272" s="415">
        <f t="shared" si="51"/>
        <v>87</v>
      </c>
      <c r="BK272" s="415">
        <f t="shared" si="52"/>
        <v>290</v>
      </c>
      <c r="BL272" s="415">
        <f t="shared" si="53"/>
        <v>290</v>
      </c>
      <c r="BM272" s="415">
        <f t="shared" si="54"/>
        <v>70.945</v>
      </c>
    </row>
    <row r="273" spans="1:65" s="129" customFormat="1" ht="18.75" outlineLevel="1">
      <c r="A273" s="141" t="s">
        <v>161</v>
      </c>
      <c r="B273" s="177" t="s">
        <v>710</v>
      </c>
      <c r="C273" s="158" t="s">
        <v>711</v>
      </c>
      <c r="D273" s="144">
        <v>0.4</v>
      </c>
      <c r="E273" s="161"/>
      <c r="F273" s="161"/>
      <c r="G273" s="161"/>
      <c r="H273" s="220"/>
      <c r="I273" s="149"/>
      <c r="J273" s="149"/>
      <c r="K273" s="149"/>
      <c r="L273" s="149"/>
      <c r="M273" s="149"/>
      <c r="N273" s="149"/>
      <c r="O273" s="149"/>
      <c r="P273" s="149"/>
      <c r="Q273" s="149"/>
      <c r="R273" s="156"/>
      <c r="S273" s="156"/>
      <c r="T273" s="152"/>
      <c r="U273" s="153"/>
      <c r="V273" s="201" t="e">
        <f t="shared" si="75"/>
        <v>#DIV/0!</v>
      </c>
      <c r="W273" s="154" t="e">
        <f t="shared" si="76"/>
        <v>#DIV/0!</v>
      </c>
      <c r="X273" s="163"/>
      <c r="Y273" s="161"/>
      <c r="Z273" s="161"/>
      <c r="AA273" s="220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56"/>
      <c r="AL273" s="156"/>
      <c r="AM273" s="156"/>
      <c r="AN273" s="153"/>
      <c r="AO273" s="154" t="e">
        <f t="shared" si="73"/>
        <v>#DIV/0!</v>
      </c>
      <c r="AP273" s="154" t="e">
        <f t="shared" si="67"/>
        <v>#DIV/0!</v>
      </c>
      <c r="AQ273" s="161">
        <v>191</v>
      </c>
      <c r="AR273" s="161">
        <v>250</v>
      </c>
      <c r="AS273" s="161">
        <v>250</v>
      </c>
      <c r="AT273" s="220">
        <v>571.06209</v>
      </c>
      <c r="AU273" s="149">
        <v>441.16108</v>
      </c>
      <c r="AV273" s="149">
        <f>369.17244+17.39656+3.86568</f>
        <v>390.43468</v>
      </c>
      <c r="AW273" s="149">
        <v>50.726</v>
      </c>
      <c r="AX273" s="149">
        <v>49.37608</v>
      </c>
      <c r="AY273" s="149">
        <v>0</v>
      </c>
      <c r="AZ273" s="149">
        <v>0</v>
      </c>
      <c r="BA273" s="149">
        <v>32.23288</v>
      </c>
      <c r="BB273" s="149">
        <v>483.21</v>
      </c>
      <c r="BC273" s="149">
        <v>107.16</v>
      </c>
      <c r="BD273" s="150" t="s">
        <v>119</v>
      </c>
      <c r="BE273" s="151" t="s">
        <v>120</v>
      </c>
      <c r="BF273" s="156"/>
      <c r="BG273" s="153">
        <v>62</v>
      </c>
      <c r="BH273" s="201">
        <f t="shared" si="43"/>
        <v>2989.8538743455497</v>
      </c>
      <c r="BI273" s="154">
        <f t="shared" si="44"/>
        <v>2.28424836</v>
      </c>
      <c r="BJ273" s="415">
        <f t="shared" si="51"/>
        <v>191</v>
      </c>
      <c r="BK273" s="415">
        <f t="shared" si="52"/>
        <v>250</v>
      </c>
      <c r="BL273" s="415">
        <f t="shared" si="53"/>
        <v>250</v>
      </c>
      <c r="BM273" s="415">
        <f t="shared" si="54"/>
        <v>571.06209</v>
      </c>
    </row>
    <row r="274" spans="1:65" s="129" customFormat="1" ht="18.75" outlineLevel="1">
      <c r="A274" s="141" t="s">
        <v>164</v>
      </c>
      <c r="B274" s="177" t="s">
        <v>677</v>
      </c>
      <c r="C274" s="158" t="s">
        <v>678</v>
      </c>
      <c r="D274" s="144">
        <v>0.4</v>
      </c>
      <c r="E274" s="161"/>
      <c r="F274" s="161"/>
      <c r="G274" s="161"/>
      <c r="H274" s="220"/>
      <c r="I274" s="149"/>
      <c r="J274" s="149"/>
      <c r="K274" s="149"/>
      <c r="L274" s="149"/>
      <c r="M274" s="149"/>
      <c r="N274" s="149"/>
      <c r="O274" s="149"/>
      <c r="P274" s="149"/>
      <c r="Q274" s="149"/>
      <c r="R274" s="156"/>
      <c r="S274" s="156"/>
      <c r="T274" s="152"/>
      <c r="U274" s="153"/>
      <c r="V274" s="201" t="e">
        <f t="shared" si="75"/>
        <v>#DIV/0!</v>
      </c>
      <c r="W274" s="154" t="e">
        <f t="shared" si="76"/>
        <v>#DIV/0!</v>
      </c>
      <c r="X274" s="163"/>
      <c r="Y274" s="161"/>
      <c r="Z274" s="161"/>
      <c r="AA274" s="220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56"/>
      <c r="AL274" s="156"/>
      <c r="AM274" s="156"/>
      <c r="AN274" s="153"/>
      <c r="AO274" s="154" t="e">
        <f t="shared" si="73"/>
        <v>#DIV/0!</v>
      </c>
      <c r="AP274" s="154" t="e">
        <f t="shared" si="67"/>
        <v>#DIV/0!</v>
      </c>
      <c r="AQ274" s="161">
        <v>311</v>
      </c>
      <c r="AR274" s="161">
        <v>385</v>
      </c>
      <c r="AS274" s="161">
        <v>385</v>
      </c>
      <c r="AT274" s="220">
        <v>220.783</v>
      </c>
      <c r="AU274" s="149">
        <v>189.007</v>
      </c>
      <c r="AV274" s="149">
        <v>193.09368</v>
      </c>
      <c r="AW274" s="149">
        <v>16.925</v>
      </c>
      <c r="AX274" s="149">
        <v>4.994</v>
      </c>
      <c r="AY274" s="149">
        <v>0</v>
      </c>
      <c r="AZ274" s="149">
        <v>0</v>
      </c>
      <c r="BA274" s="149">
        <v>9.304</v>
      </c>
      <c r="BB274" s="149">
        <v>620.88</v>
      </c>
      <c r="BC274" s="149">
        <v>107.16</v>
      </c>
      <c r="BD274" s="150" t="s">
        <v>119</v>
      </c>
      <c r="BE274" s="151" t="s">
        <v>120</v>
      </c>
      <c r="BF274" s="156"/>
      <c r="BG274" s="153">
        <v>320</v>
      </c>
      <c r="BH274" s="201">
        <f t="shared" si="43"/>
        <v>709.9131832797427</v>
      </c>
      <c r="BI274" s="154">
        <f t="shared" si="44"/>
        <v>0.5734623376623377</v>
      </c>
      <c r="BJ274" s="415">
        <f t="shared" si="51"/>
        <v>311</v>
      </c>
      <c r="BK274" s="415">
        <f t="shared" si="52"/>
        <v>385</v>
      </c>
      <c r="BL274" s="415">
        <f t="shared" si="53"/>
        <v>385</v>
      </c>
      <c r="BM274" s="415">
        <f t="shared" si="54"/>
        <v>220.783</v>
      </c>
    </row>
    <row r="275" spans="1:65" s="129" customFormat="1" ht="14.25">
      <c r="A275" s="141"/>
      <c r="B275" s="179"/>
      <c r="C275" s="158"/>
      <c r="D275" s="144"/>
      <c r="E275" s="145"/>
      <c r="F275" s="146"/>
      <c r="G275" s="165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56"/>
      <c r="S275" s="156"/>
      <c r="T275" s="152"/>
      <c r="U275" s="153"/>
      <c r="V275" s="201" t="e">
        <f t="shared" si="75"/>
        <v>#DIV/0!</v>
      </c>
      <c r="W275" s="154" t="e">
        <f t="shared" si="76"/>
        <v>#DIV/0!</v>
      </c>
      <c r="X275" s="155"/>
      <c r="Y275" s="146"/>
      <c r="Z275" s="165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56"/>
      <c r="AL275" s="156"/>
      <c r="AM275" s="156"/>
      <c r="AN275" s="153"/>
      <c r="AO275" s="154" t="e">
        <f t="shared" si="73"/>
        <v>#DIV/0!</v>
      </c>
      <c r="AP275" s="154" t="e">
        <f t="shared" si="67"/>
        <v>#DIV/0!</v>
      </c>
      <c r="AQ275" s="145"/>
      <c r="AR275" s="146"/>
      <c r="AS275" s="147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56"/>
      <c r="BE275" s="156"/>
      <c r="BF275" s="156"/>
      <c r="BG275" s="153"/>
      <c r="BH275" s="201" t="e">
        <f t="shared" si="43"/>
        <v>#DIV/0!</v>
      </c>
      <c r="BI275" s="154" t="e">
        <f t="shared" si="44"/>
        <v>#DIV/0!</v>
      </c>
      <c r="BJ275" s="415">
        <f t="shared" si="51"/>
        <v>0</v>
      </c>
      <c r="BK275" s="415">
        <f t="shared" si="52"/>
        <v>0</v>
      </c>
      <c r="BL275" s="415">
        <f t="shared" si="53"/>
        <v>0</v>
      </c>
      <c r="BM275" s="415">
        <f t="shared" si="54"/>
        <v>0</v>
      </c>
    </row>
    <row r="276" spans="1:65" s="129" customFormat="1" ht="24.75" customHeight="1">
      <c r="A276" s="130" t="s">
        <v>335</v>
      </c>
      <c r="B276" s="131" t="s">
        <v>712</v>
      </c>
      <c r="C276" s="132"/>
      <c r="D276" s="133">
        <v>6</v>
      </c>
      <c r="E276" s="134">
        <f aca="true" t="shared" si="89" ref="E276:Q276">SUM(E277:E280)</f>
        <v>100</v>
      </c>
      <c r="F276" s="134">
        <f t="shared" si="89"/>
        <v>260</v>
      </c>
      <c r="G276" s="134">
        <f>SUM(G277:G280)</f>
        <v>260</v>
      </c>
      <c r="H276" s="135">
        <f t="shared" si="89"/>
        <v>150.958</v>
      </c>
      <c r="I276" s="135">
        <f t="shared" si="89"/>
        <v>77.042</v>
      </c>
      <c r="J276" s="135">
        <f t="shared" si="89"/>
        <v>62.76</v>
      </c>
      <c r="K276" s="135">
        <f t="shared" si="89"/>
        <v>14.282</v>
      </c>
      <c r="L276" s="135">
        <f t="shared" si="89"/>
        <v>39.738</v>
      </c>
      <c r="M276" s="135">
        <f t="shared" si="89"/>
        <v>0</v>
      </c>
      <c r="N276" s="135">
        <f t="shared" si="89"/>
        <v>0</v>
      </c>
      <c r="O276" s="135">
        <f t="shared" si="89"/>
        <v>14.423</v>
      </c>
      <c r="P276" s="135">
        <f t="shared" si="89"/>
        <v>627.6</v>
      </c>
      <c r="Q276" s="135">
        <f t="shared" si="89"/>
        <v>107.16</v>
      </c>
      <c r="R276" s="136"/>
      <c r="S276" s="136"/>
      <c r="T276" s="137"/>
      <c r="U276" s="138"/>
      <c r="V276" s="200">
        <f t="shared" si="75"/>
        <v>1509.58</v>
      </c>
      <c r="W276" s="139">
        <f t="shared" si="76"/>
        <v>0.5806076923076923</v>
      </c>
      <c r="X276" s="140">
        <f aca="true" t="shared" si="90" ref="X276:AJ276">SUM(X277:X280)</f>
        <v>0</v>
      </c>
      <c r="Y276" s="134">
        <f t="shared" si="90"/>
        <v>0</v>
      </c>
      <c r="Z276" s="134">
        <f t="shared" si="90"/>
        <v>0</v>
      </c>
      <c r="AA276" s="135">
        <f t="shared" si="90"/>
        <v>0</v>
      </c>
      <c r="AB276" s="135">
        <f t="shared" si="90"/>
        <v>0</v>
      </c>
      <c r="AC276" s="135">
        <f t="shared" si="90"/>
        <v>0</v>
      </c>
      <c r="AD276" s="135">
        <f>SUM(AE277:AE280)</f>
        <v>0</v>
      </c>
      <c r="AE276" s="135">
        <f t="shared" si="90"/>
        <v>0</v>
      </c>
      <c r="AF276" s="135">
        <f t="shared" si="90"/>
        <v>0</v>
      </c>
      <c r="AG276" s="135">
        <f>SUM(AE277:AE280)</f>
        <v>0</v>
      </c>
      <c r="AH276" s="135">
        <f t="shared" si="90"/>
        <v>0</v>
      </c>
      <c r="AI276" s="135">
        <f t="shared" si="90"/>
        <v>0</v>
      </c>
      <c r="AJ276" s="135">
        <f t="shared" si="90"/>
        <v>0</v>
      </c>
      <c r="AK276" s="136"/>
      <c r="AL276" s="136"/>
      <c r="AM276" s="136"/>
      <c r="AN276" s="138"/>
      <c r="AO276" s="139" t="e">
        <f t="shared" si="73"/>
        <v>#DIV/0!</v>
      </c>
      <c r="AP276" s="139" t="e">
        <f t="shared" si="67"/>
        <v>#DIV/0!</v>
      </c>
      <c r="AQ276" s="134">
        <f aca="true" t="shared" si="91" ref="AQ276:BC276">SUM(AQ277:AQ280)</f>
        <v>181</v>
      </c>
      <c r="AR276" s="134">
        <f t="shared" si="91"/>
        <v>534</v>
      </c>
      <c r="AS276" s="134">
        <f t="shared" si="91"/>
        <v>534</v>
      </c>
      <c r="AT276" s="135">
        <f t="shared" si="91"/>
        <v>1195.2030000000002</v>
      </c>
      <c r="AU276" s="135">
        <f t="shared" si="91"/>
        <v>972.0440000000001</v>
      </c>
      <c r="AV276" s="135">
        <f t="shared" si="91"/>
        <v>828.53784</v>
      </c>
      <c r="AW276" s="135">
        <f>SUM(AX277:AX280)</f>
        <v>39.737</v>
      </c>
      <c r="AX276" s="135">
        <f t="shared" si="91"/>
        <v>39.737</v>
      </c>
      <c r="AY276" s="135">
        <f t="shared" si="91"/>
        <v>0</v>
      </c>
      <c r="AZ276" s="135">
        <f t="shared" si="91"/>
        <v>0</v>
      </c>
      <c r="BA276" s="135">
        <f t="shared" si="91"/>
        <v>64.316</v>
      </c>
      <c r="BB276" s="135">
        <f t="shared" si="91"/>
        <v>1202.22</v>
      </c>
      <c r="BC276" s="135">
        <f t="shared" si="91"/>
        <v>214.32</v>
      </c>
      <c r="BD276" s="136"/>
      <c r="BE276" s="136"/>
      <c r="BF276" s="136"/>
      <c r="BG276" s="138"/>
      <c r="BH276" s="200">
        <f t="shared" si="43"/>
        <v>6603.331491712708</v>
      </c>
      <c r="BI276" s="139">
        <f t="shared" si="44"/>
        <v>2.2382078651685395</v>
      </c>
      <c r="BJ276" s="415">
        <f t="shared" si="51"/>
        <v>281</v>
      </c>
      <c r="BK276" s="415">
        <f t="shared" si="52"/>
        <v>794</v>
      </c>
      <c r="BL276" s="415">
        <f t="shared" si="53"/>
        <v>794</v>
      </c>
      <c r="BM276" s="415">
        <f t="shared" si="54"/>
        <v>1346.1610000000003</v>
      </c>
    </row>
    <row r="277" spans="1:65" s="129" customFormat="1" ht="18.75" outlineLevel="1">
      <c r="A277" s="141" t="s">
        <v>337</v>
      </c>
      <c r="B277" s="142" t="s">
        <v>657</v>
      </c>
      <c r="C277" s="231" t="s">
        <v>658</v>
      </c>
      <c r="D277" s="144">
        <v>6</v>
      </c>
      <c r="E277" s="192">
        <v>100</v>
      </c>
      <c r="F277" s="146">
        <v>260</v>
      </c>
      <c r="G277" s="146">
        <v>260</v>
      </c>
      <c r="H277" s="232">
        <v>150.958</v>
      </c>
      <c r="I277" s="149">
        <v>77.042</v>
      </c>
      <c r="J277" s="149">
        <f>17.5728+45.1872</f>
        <v>62.76</v>
      </c>
      <c r="K277" s="149">
        <v>14.282</v>
      </c>
      <c r="L277" s="149">
        <v>39.738</v>
      </c>
      <c r="M277" s="149">
        <v>0</v>
      </c>
      <c r="N277" s="149">
        <v>0</v>
      </c>
      <c r="O277" s="149">
        <v>14.423</v>
      </c>
      <c r="P277" s="149">
        <v>627.6</v>
      </c>
      <c r="Q277" s="149">
        <v>107.16</v>
      </c>
      <c r="R277" s="150" t="s">
        <v>119</v>
      </c>
      <c r="S277" s="151" t="s">
        <v>120</v>
      </c>
      <c r="T277" s="152"/>
      <c r="U277" s="153">
        <v>200</v>
      </c>
      <c r="V277" s="201">
        <f t="shared" si="75"/>
        <v>1509.58</v>
      </c>
      <c r="W277" s="154">
        <f t="shared" si="76"/>
        <v>0.5806076923076923</v>
      </c>
      <c r="X277" s="194"/>
      <c r="Y277" s="146"/>
      <c r="Z277" s="146"/>
      <c r="AA277" s="232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56"/>
      <c r="AL277" s="156"/>
      <c r="AM277" s="156"/>
      <c r="AN277" s="153"/>
      <c r="AO277" s="154" t="e">
        <f t="shared" si="73"/>
        <v>#DIV/0!</v>
      </c>
      <c r="AP277" s="154" t="e">
        <f t="shared" si="67"/>
        <v>#DIV/0!</v>
      </c>
      <c r="AQ277" s="192"/>
      <c r="AR277" s="146"/>
      <c r="AS277" s="146"/>
      <c r="AT277" s="232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56"/>
      <c r="BE277" s="156"/>
      <c r="BF277" s="156"/>
      <c r="BG277" s="153"/>
      <c r="BH277" s="201" t="e">
        <f t="shared" si="43"/>
        <v>#DIV/0!</v>
      </c>
      <c r="BI277" s="154" t="e">
        <f t="shared" si="44"/>
        <v>#DIV/0!</v>
      </c>
      <c r="BJ277" s="415">
        <f t="shared" si="51"/>
        <v>100</v>
      </c>
      <c r="BK277" s="415">
        <f t="shared" si="52"/>
        <v>260</v>
      </c>
      <c r="BL277" s="415">
        <f t="shared" si="53"/>
        <v>260</v>
      </c>
      <c r="BM277" s="415">
        <f t="shared" si="54"/>
        <v>150.958</v>
      </c>
    </row>
    <row r="278" spans="1:65" s="129" customFormat="1" ht="18.75" outlineLevel="1">
      <c r="A278" s="141" t="s">
        <v>340</v>
      </c>
      <c r="B278" s="177" t="s">
        <v>698</v>
      </c>
      <c r="C278" s="231" t="s">
        <v>699</v>
      </c>
      <c r="D278" s="144">
        <v>6</v>
      </c>
      <c r="E278" s="192"/>
      <c r="F278" s="146"/>
      <c r="G278" s="146"/>
      <c r="H278" s="233"/>
      <c r="I278" s="149"/>
      <c r="J278" s="149"/>
      <c r="K278" s="149"/>
      <c r="L278" s="149"/>
      <c r="M278" s="149"/>
      <c r="N278" s="149"/>
      <c r="O278" s="149"/>
      <c r="P278" s="149"/>
      <c r="Q278" s="149"/>
      <c r="R278" s="156"/>
      <c r="S278" s="156"/>
      <c r="T278" s="152"/>
      <c r="U278" s="153"/>
      <c r="V278" s="201" t="e">
        <f t="shared" si="75"/>
        <v>#DIV/0!</v>
      </c>
      <c r="W278" s="154" t="e">
        <f t="shared" si="76"/>
        <v>#DIV/0!</v>
      </c>
      <c r="X278" s="194"/>
      <c r="Y278" s="146"/>
      <c r="Z278" s="146"/>
      <c r="AA278" s="233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56"/>
      <c r="AL278" s="156"/>
      <c r="AM278" s="156"/>
      <c r="AN278" s="153"/>
      <c r="AO278" s="154" t="e">
        <f t="shared" si="73"/>
        <v>#DIV/0!</v>
      </c>
      <c r="AP278" s="154" t="e">
        <f t="shared" si="67"/>
        <v>#DIV/0!</v>
      </c>
      <c r="AQ278" s="192">
        <v>81</v>
      </c>
      <c r="AR278" s="146">
        <v>149</v>
      </c>
      <c r="AS278" s="146">
        <v>149</v>
      </c>
      <c r="AT278" s="233">
        <v>1100.582</v>
      </c>
      <c r="AU278" s="149">
        <v>891.041</v>
      </c>
      <c r="AV278" s="149">
        <f>597.41388+171.02196</f>
        <v>768.43584</v>
      </c>
      <c r="AW278" s="149">
        <v>122.605</v>
      </c>
      <c r="AX278" s="149">
        <v>37.597</v>
      </c>
      <c r="AY278" s="149">
        <v>0</v>
      </c>
      <c r="AZ278" s="149">
        <v>0</v>
      </c>
      <c r="BA278" s="149">
        <v>60.329</v>
      </c>
      <c r="BB278" s="149">
        <v>601.02</v>
      </c>
      <c r="BC278" s="149">
        <v>107.16</v>
      </c>
      <c r="BD278" s="150" t="s">
        <v>119</v>
      </c>
      <c r="BE278" s="151" t="s">
        <v>120</v>
      </c>
      <c r="BF278" s="156"/>
      <c r="BG278" s="153">
        <v>273</v>
      </c>
      <c r="BH278" s="201">
        <f t="shared" si="43"/>
        <v>13587.432098765434</v>
      </c>
      <c r="BI278" s="154">
        <f t="shared" si="44"/>
        <v>7.386456375838927</v>
      </c>
      <c r="BJ278" s="415">
        <f t="shared" si="51"/>
        <v>81</v>
      </c>
      <c r="BK278" s="415">
        <f t="shared" si="52"/>
        <v>149</v>
      </c>
      <c r="BL278" s="415">
        <f t="shared" si="53"/>
        <v>149</v>
      </c>
      <c r="BM278" s="415">
        <f t="shared" si="54"/>
        <v>1100.582</v>
      </c>
    </row>
    <row r="279" spans="1:65" s="129" customFormat="1" ht="18.75" outlineLevel="1">
      <c r="A279" s="141" t="s">
        <v>343</v>
      </c>
      <c r="B279" s="177" t="s">
        <v>677</v>
      </c>
      <c r="C279" s="158" t="s">
        <v>678</v>
      </c>
      <c r="D279" s="144">
        <v>6</v>
      </c>
      <c r="E279" s="192"/>
      <c r="F279" s="146"/>
      <c r="G279" s="146"/>
      <c r="H279" s="233"/>
      <c r="I279" s="149"/>
      <c r="J279" s="149"/>
      <c r="K279" s="149"/>
      <c r="L279" s="149"/>
      <c r="M279" s="149"/>
      <c r="N279" s="149"/>
      <c r="O279" s="149"/>
      <c r="P279" s="149"/>
      <c r="Q279" s="149"/>
      <c r="R279" s="156"/>
      <c r="S279" s="156"/>
      <c r="T279" s="152"/>
      <c r="U279" s="153"/>
      <c r="V279" s="201" t="e">
        <f t="shared" si="75"/>
        <v>#DIV/0!</v>
      </c>
      <c r="W279" s="154" t="e">
        <f t="shared" si="76"/>
        <v>#DIV/0!</v>
      </c>
      <c r="X279" s="194"/>
      <c r="Y279" s="146"/>
      <c r="Z279" s="146"/>
      <c r="AA279" s="233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56"/>
      <c r="AL279" s="156"/>
      <c r="AM279" s="156"/>
      <c r="AN279" s="153"/>
      <c r="AO279" s="154" t="e">
        <f t="shared" si="73"/>
        <v>#DIV/0!</v>
      </c>
      <c r="AP279" s="154" t="e">
        <f t="shared" si="67"/>
        <v>#DIV/0!</v>
      </c>
      <c r="AQ279" s="192">
        <v>100</v>
      </c>
      <c r="AR279" s="146">
        <v>385</v>
      </c>
      <c r="AS279" s="146">
        <v>385</v>
      </c>
      <c r="AT279" s="233">
        <v>94.621</v>
      </c>
      <c r="AU279" s="149">
        <v>81.003</v>
      </c>
      <c r="AV279" s="149">
        <v>60.102</v>
      </c>
      <c r="AW279" s="149">
        <v>16.925</v>
      </c>
      <c r="AX279" s="149">
        <v>2.14</v>
      </c>
      <c r="AY279" s="149">
        <v>0</v>
      </c>
      <c r="AZ279" s="149">
        <v>0</v>
      </c>
      <c r="BA279" s="149">
        <v>3.987</v>
      </c>
      <c r="BB279" s="149">
        <v>601.2</v>
      </c>
      <c r="BC279" s="149">
        <v>107.16</v>
      </c>
      <c r="BD279" s="150" t="s">
        <v>119</v>
      </c>
      <c r="BE279" s="151" t="s">
        <v>120</v>
      </c>
      <c r="BF279" s="156"/>
      <c r="BG279" s="153">
        <v>320</v>
      </c>
      <c r="BH279" s="201">
        <f t="shared" si="43"/>
        <v>946.21</v>
      </c>
      <c r="BI279" s="154">
        <f t="shared" si="44"/>
        <v>0.24576883116883116</v>
      </c>
      <c r="BJ279" s="415">
        <f t="shared" si="51"/>
        <v>100</v>
      </c>
      <c r="BK279" s="415">
        <f t="shared" si="52"/>
        <v>385</v>
      </c>
      <c r="BL279" s="415">
        <f t="shared" si="53"/>
        <v>385</v>
      </c>
      <c r="BM279" s="415">
        <f t="shared" si="54"/>
        <v>94.621</v>
      </c>
    </row>
    <row r="280" spans="1:65" s="129" customFormat="1" ht="14.25">
      <c r="A280" s="141"/>
      <c r="B280" s="179"/>
      <c r="C280" s="231"/>
      <c r="D280" s="144"/>
      <c r="E280" s="192"/>
      <c r="F280" s="146"/>
      <c r="G280" s="165"/>
      <c r="H280" s="234"/>
      <c r="I280" s="149"/>
      <c r="J280" s="149"/>
      <c r="K280" s="149"/>
      <c r="L280" s="149"/>
      <c r="M280" s="149"/>
      <c r="N280" s="149"/>
      <c r="O280" s="149"/>
      <c r="P280" s="149"/>
      <c r="Q280" s="149"/>
      <c r="R280" s="156"/>
      <c r="S280" s="156"/>
      <c r="T280" s="152"/>
      <c r="U280" s="153"/>
      <c r="V280" s="201" t="e">
        <f t="shared" si="75"/>
        <v>#DIV/0!</v>
      </c>
      <c r="W280" s="154" t="e">
        <f t="shared" si="76"/>
        <v>#DIV/0!</v>
      </c>
      <c r="X280" s="194"/>
      <c r="Y280" s="146"/>
      <c r="Z280" s="165"/>
      <c r="AA280" s="234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56"/>
      <c r="AL280" s="156"/>
      <c r="AM280" s="156"/>
      <c r="AN280" s="153"/>
      <c r="AO280" s="154" t="e">
        <f t="shared" si="73"/>
        <v>#DIV/0!</v>
      </c>
      <c r="AP280" s="154" t="e">
        <f t="shared" si="67"/>
        <v>#DIV/0!</v>
      </c>
      <c r="AQ280" s="192"/>
      <c r="AR280" s="146"/>
      <c r="AS280" s="147"/>
      <c r="AT280" s="234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56"/>
      <c r="BE280" s="156"/>
      <c r="BF280" s="156"/>
      <c r="BG280" s="153"/>
      <c r="BH280" s="201" t="e">
        <f t="shared" si="43"/>
        <v>#DIV/0!</v>
      </c>
      <c r="BI280" s="154" t="e">
        <f t="shared" si="44"/>
        <v>#DIV/0!</v>
      </c>
      <c r="BJ280" s="415">
        <f t="shared" si="51"/>
        <v>0</v>
      </c>
      <c r="BK280" s="415">
        <f t="shared" si="52"/>
        <v>0</v>
      </c>
      <c r="BL280" s="415">
        <f t="shared" si="53"/>
        <v>0</v>
      </c>
      <c r="BM280" s="415">
        <f t="shared" si="54"/>
        <v>0</v>
      </c>
    </row>
    <row r="281" spans="1:65" s="129" customFormat="1" ht="24.75" customHeight="1">
      <c r="A281" s="130" t="s">
        <v>364</v>
      </c>
      <c r="B281" s="131" t="s">
        <v>713</v>
      </c>
      <c r="C281" s="132"/>
      <c r="D281" s="133">
        <v>6</v>
      </c>
      <c r="E281" s="134">
        <f aca="true" t="shared" si="92" ref="E281:Q281">SUM(E282:E288)</f>
        <v>2673</v>
      </c>
      <c r="F281" s="134">
        <f t="shared" si="92"/>
        <v>1508</v>
      </c>
      <c r="G281" s="134">
        <f>SUM(G282:G288)</f>
        <v>1508</v>
      </c>
      <c r="H281" s="135">
        <f t="shared" si="92"/>
        <v>6254.12326</v>
      </c>
      <c r="I281" s="135">
        <f t="shared" si="92"/>
        <v>3757.7160000000003</v>
      </c>
      <c r="J281" s="135">
        <f t="shared" si="92"/>
        <v>2734.87111</v>
      </c>
      <c r="K281" s="135">
        <f t="shared" si="92"/>
        <v>286.44</v>
      </c>
      <c r="L281" s="135">
        <f t="shared" si="92"/>
        <v>692.6179999999999</v>
      </c>
      <c r="M281" s="135">
        <f t="shared" si="92"/>
        <v>0</v>
      </c>
      <c r="N281" s="135">
        <f t="shared" si="92"/>
        <v>0</v>
      </c>
      <c r="O281" s="135">
        <f t="shared" si="92"/>
        <v>151.414</v>
      </c>
      <c r="P281" s="135">
        <f t="shared" si="92"/>
        <v>2505.86</v>
      </c>
      <c r="Q281" s="135">
        <f t="shared" si="92"/>
        <v>428.64</v>
      </c>
      <c r="R281" s="136"/>
      <c r="S281" s="136"/>
      <c r="T281" s="137"/>
      <c r="U281" s="138"/>
      <c r="V281" s="200">
        <f t="shared" si="75"/>
        <v>2339.7393415637857</v>
      </c>
      <c r="W281" s="139">
        <f t="shared" si="76"/>
        <v>4.147296591511936</v>
      </c>
      <c r="X281" s="140">
        <f aca="true" t="shared" si="93" ref="X281:AJ281">SUM(X282:X288)</f>
        <v>212</v>
      </c>
      <c r="Y281" s="134">
        <f t="shared" si="93"/>
        <v>400</v>
      </c>
      <c r="Z281" s="134">
        <f t="shared" si="93"/>
        <v>400</v>
      </c>
      <c r="AA281" s="135">
        <f t="shared" si="93"/>
        <v>210.78265</v>
      </c>
      <c r="AB281" s="135">
        <f t="shared" si="93"/>
        <v>183.01599</v>
      </c>
      <c r="AC281" s="135">
        <f t="shared" si="93"/>
        <v>132.20108</v>
      </c>
      <c r="AD281" s="135">
        <f>SUM(AE282:AE288)</f>
        <v>21.293</v>
      </c>
      <c r="AE281" s="135">
        <f t="shared" si="93"/>
        <v>21.293</v>
      </c>
      <c r="AF281" s="135">
        <f t="shared" si="93"/>
        <v>0</v>
      </c>
      <c r="AG281" s="135">
        <f>SUM(AE282:AE288)</f>
        <v>21.293</v>
      </c>
      <c r="AH281" s="135">
        <f t="shared" si="93"/>
        <v>6.47321</v>
      </c>
      <c r="AI281" s="135">
        <f t="shared" si="93"/>
        <v>623.59</v>
      </c>
      <c r="AJ281" s="135">
        <f t="shared" si="93"/>
        <v>107.16</v>
      </c>
      <c r="AK281" s="136"/>
      <c r="AL281" s="136"/>
      <c r="AM281" s="136"/>
      <c r="AN281" s="138"/>
      <c r="AO281" s="200">
        <f t="shared" si="73"/>
        <v>994.2577830188679</v>
      </c>
      <c r="AP281" s="139">
        <f t="shared" si="67"/>
        <v>0.526956625</v>
      </c>
      <c r="AQ281" s="134">
        <f aca="true" t="shared" si="94" ref="AQ281:BC281">SUM(AQ282:AQ288)</f>
        <v>390</v>
      </c>
      <c r="AR281" s="134">
        <f t="shared" si="94"/>
        <v>385</v>
      </c>
      <c r="AS281" s="134">
        <f t="shared" si="94"/>
        <v>385</v>
      </c>
      <c r="AT281" s="135">
        <f t="shared" si="94"/>
        <v>315.404</v>
      </c>
      <c r="AU281" s="135">
        <f t="shared" si="94"/>
        <v>270.01</v>
      </c>
      <c r="AV281" s="135">
        <f t="shared" si="94"/>
        <v>242.8998</v>
      </c>
      <c r="AW281" s="135">
        <f>SUM(AX282:AX288)</f>
        <v>7.135</v>
      </c>
      <c r="AX281" s="135">
        <f t="shared" si="94"/>
        <v>7.135</v>
      </c>
      <c r="AY281" s="135">
        <f t="shared" si="94"/>
        <v>0</v>
      </c>
      <c r="AZ281" s="135">
        <f t="shared" si="94"/>
        <v>0</v>
      </c>
      <c r="BA281" s="135">
        <f t="shared" si="94"/>
        <v>13.291</v>
      </c>
      <c r="BB281" s="135">
        <f t="shared" si="94"/>
        <v>622.82</v>
      </c>
      <c r="BC281" s="135">
        <f t="shared" si="94"/>
        <v>107.16</v>
      </c>
      <c r="BD281" s="136"/>
      <c r="BE281" s="136"/>
      <c r="BF281" s="136"/>
      <c r="BG281" s="138"/>
      <c r="BH281" s="200">
        <f t="shared" si="43"/>
        <v>808.7282051282051</v>
      </c>
      <c r="BI281" s="139">
        <f t="shared" si="44"/>
        <v>0.8192311688311689</v>
      </c>
      <c r="BJ281" s="415">
        <f t="shared" si="51"/>
        <v>3275</v>
      </c>
      <c r="BK281" s="415">
        <f t="shared" si="52"/>
        <v>2293</v>
      </c>
      <c r="BL281" s="415">
        <f t="shared" si="53"/>
        <v>2293</v>
      </c>
      <c r="BM281" s="415">
        <f t="shared" si="54"/>
        <v>6780.30991</v>
      </c>
    </row>
    <row r="282" spans="1:65" s="129" customFormat="1" ht="18.75" outlineLevel="1">
      <c r="A282" s="141" t="s">
        <v>366</v>
      </c>
      <c r="B282" s="142" t="s">
        <v>701</v>
      </c>
      <c r="C282" s="231" t="s">
        <v>702</v>
      </c>
      <c r="D282" s="144">
        <v>6</v>
      </c>
      <c r="E282" s="192">
        <v>291</v>
      </c>
      <c r="F282" s="146">
        <v>298</v>
      </c>
      <c r="G282" s="146">
        <v>298</v>
      </c>
      <c r="H282" s="235">
        <v>994.77609</v>
      </c>
      <c r="I282" s="149">
        <v>94.141</v>
      </c>
      <c r="J282" s="149">
        <v>269.39088</v>
      </c>
      <c r="K282" s="149">
        <v>31.184</v>
      </c>
      <c r="L282" s="149">
        <v>294.383</v>
      </c>
      <c r="M282" s="149">
        <v>0</v>
      </c>
      <c r="N282" s="149">
        <v>0</v>
      </c>
      <c r="O282" s="149">
        <v>100.668</v>
      </c>
      <c r="P282" s="149">
        <v>623.59</v>
      </c>
      <c r="Q282" s="149">
        <v>107.16</v>
      </c>
      <c r="R282" s="150" t="s">
        <v>119</v>
      </c>
      <c r="S282" s="151" t="s">
        <v>120</v>
      </c>
      <c r="T282" s="152"/>
      <c r="U282" s="153">
        <v>373</v>
      </c>
      <c r="V282" s="201">
        <f t="shared" si="75"/>
        <v>3418.474536082474</v>
      </c>
      <c r="W282" s="154">
        <f t="shared" si="76"/>
        <v>3.338174798657718</v>
      </c>
      <c r="X282" s="194"/>
      <c r="Y282" s="146"/>
      <c r="Z282" s="146"/>
      <c r="AA282" s="235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56"/>
      <c r="AL282" s="156"/>
      <c r="AM282" s="156"/>
      <c r="AN282" s="153"/>
      <c r="AO282" s="154" t="e">
        <f t="shared" si="73"/>
        <v>#DIV/0!</v>
      </c>
      <c r="AP282" s="154" t="e">
        <f t="shared" si="67"/>
        <v>#DIV/0!</v>
      </c>
      <c r="AQ282" s="192"/>
      <c r="AR282" s="146"/>
      <c r="AS282" s="146"/>
      <c r="AT282" s="235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56"/>
      <c r="BE282" s="156"/>
      <c r="BF282" s="156"/>
      <c r="BG282" s="153"/>
      <c r="BH282" s="201" t="e">
        <f t="shared" si="43"/>
        <v>#DIV/0!</v>
      </c>
      <c r="BI282" s="154" t="e">
        <f t="shared" si="44"/>
        <v>#DIV/0!</v>
      </c>
      <c r="BJ282" s="415">
        <f t="shared" si="51"/>
        <v>291</v>
      </c>
      <c r="BK282" s="415">
        <f t="shared" si="52"/>
        <v>298</v>
      </c>
      <c r="BL282" s="415">
        <f t="shared" si="53"/>
        <v>298</v>
      </c>
      <c r="BM282" s="415">
        <f t="shared" si="54"/>
        <v>994.77609</v>
      </c>
    </row>
    <row r="283" spans="1:65" s="129" customFormat="1" ht="18.75" outlineLevel="1">
      <c r="A283" s="141" t="s">
        <v>369</v>
      </c>
      <c r="B283" s="142" t="s">
        <v>694</v>
      </c>
      <c r="C283" s="231" t="s">
        <v>695</v>
      </c>
      <c r="D283" s="144">
        <v>6</v>
      </c>
      <c r="E283" s="192">
        <v>435</v>
      </c>
      <c r="F283" s="146">
        <v>280</v>
      </c>
      <c r="G283" s="146">
        <v>280</v>
      </c>
      <c r="H283" s="235">
        <v>741.465</v>
      </c>
      <c r="I283" s="149">
        <v>271.262</v>
      </c>
      <c r="J283" s="149">
        <v>271.26165</v>
      </c>
      <c r="K283" s="149">
        <v>46.615</v>
      </c>
      <c r="L283" s="149">
        <v>41.285</v>
      </c>
      <c r="M283" s="149">
        <v>0</v>
      </c>
      <c r="N283" s="149">
        <v>0</v>
      </c>
      <c r="O283" s="149">
        <v>12.15</v>
      </c>
      <c r="P283" s="149">
        <v>623.59</v>
      </c>
      <c r="Q283" s="149">
        <v>107.16</v>
      </c>
      <c r="R283" s="150" t="s">
        <v>119</v>
      </c>
      <c r="S283" s="151" t="s">
        <v>120</v>
      </c>
      <c r="T283" s="152"/>
      <c r="U283" s="153">
        <v>349</v>
      </c>
      <c r="V283" s="201">
        <f t="shared" si="75"/>
        <v>1704.5172413793105</v>
      </c>
      <c r="W283" s="154">
        <f t="shared" si="76"/>
        <v>2.6480892857142857</v>
      </c>
      <c r="X283" s="194"/>
      <c r="Y283" s="146"/>
      <c r="Z283" s="146"/>
      <c r="AA283" s="235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56"/>
      <c r="AL283" s="156"/>
      <c r="AM283" s="156"/>
      <c r="AN283" s="153"/>
      <c r="AO283" s="154" t="e">
        <f t="shared" si="73"/>
        <v>#DIV/0!</v>
      </c>
      <c r="AP283" s="154" t="e">
        <f t="shared" si="67"/>
        <v>#DIV/0!</v>
      </c>
      <c r="AQ283" s="192"/>
      <c r="AR283" s="146"/>
      <c r="AS283" s="146"/>
      <c r="AT283" s="235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56"/>
      <c r="BE283" s="156"/>
      <c r="BF283" s="156"/>
      <c r="BG283" s="153"/>
      <c r="BH283" s="201" t="e">
        <f t="shared" si="43"/>
        <v>#DIV/0!</v>
      </c>
      <c r="BI283" s="154" t="e">
        <f t="shared" si="44"/>
        <v>#DIV/0!</v>
      </c>
      <c r="BJ283" s="415">
        <f t="shared" si="51"/>
        <v>435</v>
      </c>
      <c r="BK283" s="415">
        <f t="shared" si="52"/>
        <v>280</v>
      </c>
      <c r="BL283" s="415">
        <f t="shared" si="53"/>
        <v>280</v>
      </c>
      <c r="BM283" s="415">
        <f t="shared" si="54"/>
        <v>741.465</v>
      </c>
    </row>
    <row r="284" spans="1:65" s="129" customFormat="1" ht="18.75" outlineLevel="1">
      <c r="A284" s="141" t="s">
        <v>372</v>
      </c>
      <c r="B284" s="142" t="s">
        <v>694</v>
      </c>
      <c r="C284" s="231" t="s">
        <v>696</v>
      </c>
      <c r="D284" s="144">
        <v>6</v>
      </c>
      <c r="E284" s="192">
        <v>805</v>
      </c>
      <c r="F284" s="146">
        <v>280</v>
      </c>
      <c r="G284" s="146">
        <v>280</v>
      </c>
      <c r="H284" s="232">
        <v>1525.62517</v>
      </c>
      <c r="I284" s="149">
        <v>998.763</v>
      </c>
      <c r="J284" s="149">
        <v>998.76258</v>
      </c>
      <c r="K284" s="149">
        <v>86.264</v>
      </c>
      <c r="L284" s="149">
        <v>101</v>
      </c>
      <c r="M284" s="149">
        <v>0</v>
      </c>
      <c r="N284" s="149">
        <v>0</v>
      </c>
      <c r="O284" s="149">
        <v>17.086</v>
      </c>
      <c r="P284" s="149">
        <v>629.34</v>
      </c>
      <c r="Q284" s="149">
        <v>107.16</v>
      </c>
      <c r="R284" s="150" t="s">
        <v>119</v>
      </c>
      <c r="S284" s="151" t="s">
        <v>120</v>
      </c>
      <c r="T284" s="152"/>
      <c r="U284" s="153">
        <v>361</v>
      </c>
      <c r="V284" s="201">
        <f t="shared" si="75"/>
        <v>1895.186546583851</v>
      </c>
      <c r="W284" s="154">
        <f t="shared" si="76"/>
        <v>5.448661321428571</v>
      </c>
      <c r="X284" s="194"/>
      <c r="Y284" s="146"/>
      <c r="Z284" s="146"/>
      <c r="AA284" s="232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56"/>
      <c r="AL284" s="156"/>
      <c r="AM284" s="156"/>
      <c r="AN284" s="153"/>
      <c r="AO284" s="154" t="e">
        <f t="shared" si="73"/>
        <v>#DIV/0!</v>
      </c>
      <c r="AP284" s="154" t="e">
        <f t="shared" si="67"/>
        <v>#DIV/0!</v>
      </c>
      <c r="AQ284" s="192"/>
      <c r="AR284" s="146"/>
      <c r="AS284" s="146"/>
      <c r="AT284" s="232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56"/>
      <c r="BE284" s="156"/>
      <c r="BF284" s="156"/>
      <c r="BG284" s="153"/>
      <c r="BH284" s="201" t="e">
        <f t="shared" si="43"/>
        <v>#DIV/0!</v>
      </c>
      <c r="BI284" s="154" t="e">
        <f t="shared" si="44"/>
        <v>#DIV/0!</v>
      </c>
      <c r="BJ284" s="415">
        <f t="shared" si="51"/>
        <v>805</v>
      </c>
      <c r="BK284" s="415">
        <f t="shared" si="52"/>
        <v>280</v>
      </c>
      <c r="BL284" s="415">
        <f t="shared" si="53"/>
        <v>280</v>
      </c>
      <c r="BM284" s="415">
        <f t="shared" si="54"/>
        <v>1525.62517</v>
      </c>
    </row>
    <row r="285" spans="1:65" s="129" customFormat="1" ht="18.75" outlineLevel="1">
      <c r="A285" s="141" t="s">
        <v>375</v>
      </c>
      <c r="B285" s="142" t="s">
        <v>663</v>
      </c>
      <c r="C285" s="231" t="s">
        <v>664</v>
      </c>
      <c r="D285" s="144">
        <v>6</v>
      </c>
      <c r="E285" s="192">
        <v>1142</v>
      </c>
      <c r="F285" s="146">
        <v>650</v>
      </c>
      <c r="G285" s="146">
        <v>650</v>
      </c>
      <c r="H285" s="235">
        <v>2992.257</v>
      </c>
      <c r="I285" s="149">
        <v>2393.55</v>
      </c>
      <c r="J285" s="149">
        <v>1195.456</v>
      </c>
      <c r="K285" s="149">
        <v>122.377</v>
      </c>
      <c r="L285" s="149">
        <v>255.95</v>
      </c>
      <c r="M285" s="149">
        <v>0</v>
      </c>
      <c r="N285" s="149">
        <v>0</v>
      </c>
      <c r="O285" s="149">
        <v>21.51</v>
      </c>
      <c r="P285" s="149">
        <v>629.34</v>
      </c>
      <c r="Q285" s="149">
        <v>107.16</v>
      </c>
      <c r="R285" s="150" t="s">
        <v>119</v>
      </c>
      <c r="S285" s="151" t="s">
        <v>120</v>
      </c>
      <c r="T285" s="152"/>
      <c r="U285" s="153">
        <v>394</v>
      </c>
      <c r="V285" s="201">
        <f t="shared" si="75"/>
        <v>2620.190017513135</v>
      </c>
      <c r="W285" s="154">
        <f t="shared" si="76"/>
        <v>4.603472307692308</v>
      </c>
      <c r="X285" s="194"/>
      <c r="Y285" s="146"/>
      <c r="Z285" s="146"/>
      <c r="AA285" s="235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56"/>
      <c r="AL285" s="156"/>
      <c r="AM285" s="156"/>
      <c r="AN285" s="153"/>
      <c r="AO285" s="154" t="e">
        <f t="shared" si="73"/>
        <v>#DIV/0!</v>
      </c>
      <c r="AP285" s="154" t="e">
        <f t="shared" si="67"/>
        <v>#DIV/0!</v>
      </c>
      <c r="AQ285" s="192"/>
      <c r="AR285" s="146"/>
      <c r="AS285" s="146"/>
      <c r="AT285" s="235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56"/>
      <c r="BE285" s="156"/>
      <c r="BF285" s="156"/>
      <c r="BG285" s="153"/>
      <c r="BH285" s="201" t="e">
        <f t="shared" si="43"/>
        <v>#DIV/0!</v>
      </c>
      <c r="BI285" s="154" t="e">
        <f t="shared" si="44"/>
        <v>#DIV/0!</v>
      </c>
      <c r="BJ285" s="415">
        <f t="shared" si="51"/>
        <v>1142</v>
      </c>
      <c r="BK285" s="415">
        <f t="shared" si="52"/>
        <v>650</v>
      </c>
      <c r="BL285" s="415">
        <f t="shared" si="53"/>
        <v>650</v>
      </c>
      <c r="BM285" s="415">
        <f t="shared" si="54"/>
        <v>2992.257</v>
      </c>
    </row>
    <row r="286" spans="1:65" s="129" customFormat="1" ht="18.75" outlineLevel="1">
      <c r="A286" s="141" t="s">
        <v>378</v>
      </c>
      <c r="B286" s="173" t="s">
        <v>705</v>
      </c>
      <c r="C286" s="231" t="s">
        <v>706</v>
      </c>
      <c r="D286" s="144">
        <v>6</v>
      </c>
      <c r="E286" s="192"/>
      <c r="F286" s="146"/>
      <c r="G286" s="146"/>
      <c r="H286" s="236"/>
      <c r="I286" s="149"/>
      <c r="J286" s="149"/>
      <c r="K286" s="149"/>
      <c r="L286" s="149"/>
      <c r="M286" s="149"/>
      <c r="N286" s="149"/>
      <c r="O286" s="149"/>
      <c r="P286" s="149"/>
      <c r="Q286" s="149"/>
      <c r="R286" s="150"/>
      <c r="S286" s="151"/>
      <c r="T286" s="152"/>
      <c r="U286" s="153"/>
      <c r="V286" s="201" t="e">
        <f t="shared" si="75"/>
        <v>#DIV/0!</v>
      </c>
      <c r="W286" s="154" t="e">
        <f t="shared" si="76"/>
        <v>#DIV/0!</v>
      </c>
      <c r="X286" s="194">
        <v>212</v>
      </c>
      <c r="Y286" s="146">
        <v>400</v>
      </c>
      <c r="Z286" s="146">
        <v>400</v>
      </c>
      <c r="AA286" s="236">
        <v>210.78265</v>
      </c>
      <c r="AB286" s="149">
        <v>183.01599</v>
      </c>
      <c r="AC286" s="149">
        <f>124.718+7.48308</f>
        <v>132.20108</v>
      </c>
      <c r="AD286" s="149">
        <v>50.815</v>
      </c>
      <c r="AE286" s="149">
        <v>21.293</v>
      </c>
      <c r="AF286" s="149">
        <v>0</v>
      </c>
      <c r="AG286" s="149">
        <v>0</v>
      </c>
      <c r="AH286" s="149">
        <v>6.47321</v>
      </c>
      <c r="AI286" s="149">
        <v>623.59</v>
      </c>
      <c r="AJ286" s="149">
        <v>107.16</v>
      </c>
      <c r="AK286" s="150" t="s">
        <v>119</v>
      </c>
      <c r="AL286" s="151" t="s">
        <v>120</v>
      </c>
      <c r="AM286" s="156"/>
      <c r="AN286" s="153">
        <v>80</v>
      </c>
      <c r="AO286" s="154">
        <f t="shared" si="73"/>
        <v>994.2577830188679</v>
      </c>
      <c r="AP286" s="154">
        <f t="shared" si="67"/>
        <v>0.526956625</v>
      </c>
      <c r="AQ286" s="192"/>
      <c r="AR286" s="146"/>
      <c r="AS286" s="146"/>
      <c r="AT286" s="236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56"/>
      <c r="BE286" s="156"/>
      <c r="BF286" s="156"/>
      <c r="BG286" s="153"/>
      <c r="BH286" s="201" t="e">
        <f t="shared" si="43"/>
        <v>#DIV/0!</v>
      </c>
      <c r="BI286" s="154" t="e">
        <f t="shared" si="44"/>
        <v>#DIV/0!</v>
      </c>
      <c r="BJ286" s="415">
        <f t="shared" si="51"/>
        <v>212</v>
      </c>
      <c r="BK286" s="415">
        <f t="shared" si="52"/>
        <v>400</v>
      </c>
      <c r="BL286" s="415">
        <f t="shared" si="53"/>
        <v>400</v>
      </c>
      <c r="BM286" s="415">
        <f t="shared" si="54"/>
        <v>210.78265</v>
      </c>
    </row>
    <row r="287" spans="1:65" s="129" customFormat="1" ht="18.75" outlineLevel="1">
      <c r="A287" s="141" t="s">
        <v>381</v>
      </c>
      <c r="B287" s="177" t="s">
        <v>677</v>
      </c>
      <c r="C287" s="158" t="s">
        <v>678</v>
      </c>
      <c r="D287" s="144">
        <v>6</v>
      </c>
      <c r="E287" s="219"/>
      <c r="F287" s="193"/>
      <c r="G287" s="165"/>
      <c r="H287" s="237"/>
      <c r="I287" s="149"/>
      <c r="J287" s="149"/>
      <c r="K287" s="149"/>
      <c r="L287" s="149"/>
      <c r="M287" s="149"/>
      <c r="N287" s="149"/>
      <c r="O287" s="149"/>
      <c r="P287" s="149"/>
      <c r="Q287" s="149"/>
      <c r="R287" s="156"/>
      <c r="S287" s="156"/>
      <c r="T287" s="152"/>
      <c r="U287" s="153"/>
      <c r="V287" s="201" t="e">
        <f t="shared" si="75"/>
        <v>#DIV/0!</v>
      </c>
      <c r="W287" s="154" t="e">
        <f t="shared" si="76"/>
        <v>#DIV/0!</v>
      </c>
      <c r="X287" s="194"/>
      <c r="Y287" s="193"/>
      <c r="Z287" s="165"/>
      <c r="AA287" s="237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56"/>
      <c r="AL287" s="156"/>
      <c r="AM287" s="156"/>
      <c r="AN287" s="153"/>
      <c r="AO287" s="154" t="e">
        <f t="shared" si="73"/>
        <v>#DIV/0!</v>
      </c>
      <c r="AP287" s="154" t="e">
        <f t="shared" si="67"/>
        <v>#DIV/0!</v>
      </c>
      <c r="AQ287" s="219">
        <v>390</v>
      </c>
      <c r="AR287" s="193">
        <v>385</v>
      </c>
      <c r="AS287" s="147">
        <v>385</v>
      </c>
      <c r="AT287" s="237">
        <v>315.404</v>
      </c>
      <c r="AU287" s="149">
        <v>270.01</v>
      </c>
      <c r="AV287" s="149">
        <v>242.8998</v>
      </c>
      <c r="AW287" s="149">
        <v>16.925</v>
      </c>
      <c r="AX287" s="149">
        <v>7.135</v>
      </c>
      <c r="AY287" s="149">
        <v>0</v>
      </c>
      <c r="AZ287" s="149">
        <v>0</v>
      </c>
      <c r="BA287" s="149">
        <v>13.291</v>
      </c>
      <c r="BB287" s="149">
        <v>622.82</v>
      </c>
      <c r="BC287" s="149">
        <v>107.16</v>
      </c>
      <c r="BD287" s="150" t="s">
        <v>119</v>
      </c>
      <c r="BE287" s="151" t="s">
        <v>120</v>
      </c>
      <c r="BF287" s="156"/>
      <c r="BG287" s="153">
        <v>320</v>
      </c>
      <c r="BH287" s="154">
        <f t="shared" si="43"/>
        <v>808.7282051282051</v>
      </c>
      <c r="BI287" s="154">
        <f t="shared" si="44"/>
        <v>0.8192311688311689</v>
      </c>
      <c r="BJ287" s="415">
        <f t="shared" si="51"/>
        <v>390</v>
      </c>
      <c r="BK287" s="415">
        <f t="shared" si="52"/>
        <v>385</v>
      </c>
      <c r="BL287" s="415">
        <f t="shared" si="53"/>
        <v>385</v>
      </c>
      <c r="BM287" s="415">
        <f t="shared" si="54"/>
        <v>315.404</v>
      </c>
    </row>
    <row r="288" spans="1:65" s="129" customFormat="1" ht="14.25">
      <c r="A288" s="141"/>
      <c r="B288" s="179"/>
      <c r="C288" s="231"/>
      <c r="D288" s="144"/>
      <c r="E288" s="192"/>
      <c r="F288" s="146"/>
      <c r="G288" s="165"/>
      <c r="H288" s="234"/>
      <c r="I288" s="149"/>
      <c r="J288" s="149"/>
      <c r="K288" s="149"/>
      <c r="L288" s="149"/>
      <c r="M288" s="149"/>
      <c r="N288" s="149"/>
      <c r="O288" s="149"/>
      <c r="P288" s="149"/>
      <c r="Q288" s="149"/>
      <c r="R288" s="156"/>
      <c r="S288" s="156"/>
      <c r="T288" s="152"/>
      <c r="U288" s="153"/>
      <c r="V288" s="201" t="e">
        <f t="shared" si="75"/>
        <v>#DIV/0!</v>
      </c>
      <c r="W288" s="154" t="e">
        <f t="shared" si="76"/>
        <v>#DIV/0!</v>
      </c>
      <c r="X288" s="194"/>
      <c r="Y288" s="146"/>
      <c r="Z288" s="165"/>
      <c r="AA288" s="234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56"/>
      <c r="AL288" s="156"/>
      <c r="AM288" s="156"/>
      <c r="AN288" s="153"/>
      <c r="AO288" s="154" t="e">
        <f t="shared" si="73"/>
        <v>#DIV/0!</v>
      </c>
      <c r="AP288" s="154" t="e">
        <f t="shared" si="67"/>
        <v>#DIV/0!</v>
      </c>
      <c r="AQ288" s="192"/>
      <c r="AR288" s="146"/>
      <c r="AS288" s="147"/>
      <c r="AT288" s="234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56"/>
      <c r="BE288" s="156"/>
      <c r="BF288" s="156"/>
      <c r="BG288" s="153"/>
      <c r="BH288" s="201" t="e">
        <f t="shared" si="43"/>
        <v>#DIV/0!</v>
      </c>
      <c r="BI288" s="154" t="e">
        <f t="shared" si="44"/>
        <v>#DIV/0!</v>
      </c>
      <c r="BJ288" s="415">
        <f t="shared" si="51"/>
        <v>0</v>
      </c>
      <c r="BK288" s="415">
        <f t="shared" si="52"/>
        <v>0</v>
      </c>
      <c r="BL288" s="415">
        <f t="shared" si="53"/>
        <v>0</v>
      </c>
      <c r="BM288" s="415">
        <f t="shared" si="54"/>
        <v>0</v>
      </c>
    </row>
    <row r="289" spans="1:65" s="129" customFormat="1" ht="24.75" customHeight="1">
      <c r="A289" s="130" t="s">
        <v>468</v>
      </c>
      <c r="B289" s="131" t="s">
        <v>714</v>
      </c>
      <c r="C289" s="132"/>
      <c r="D289" s="133">
        <v>6</v>
      </c>
      <c r="E289" s="134">
        <f aca="true" t="shared" si="95" ref="E289:Q289">SUM(E290:E291)</f>
        <v>0</v>
      </c>
      <c r="F289" s="134">
        <f t="shared" si="95"/>
        <v>0</v>
      </c>
      <c r="G289" s="134">
        <f>SUM(G290:G291)</f>
        <v>0</v>
      </c>
      <c r="H289" s="135">
        <f t="shared" si="95"/>
        <v>0</v>
      </c>
      <c r="I289" s="135">
        <f t="shared" si="95"/>
        <v>0</v>
      </c>
      <c r="J289" s="135">
        <f t="shared" si="95"/>
        <v>0</v>
      </c>
      <c r="K289" s="135">
        <f t="shared" si="95"/>
        <v>0</v>
      </c>
      <c r="L289" s="135">
        <f t="shared" si="95"/>
        <v>0</v>
      </c>
      <c r="M289" s="135">
        <f t="shared" si="95"/>
        <v>0</v>
      </c>
      <c r="N289" s="135">
        <f t="shared" si="95"/>
        <v>0</v>
      </c>
      <c r="O289" s="135">
        <f t="shared" si="95"/>
        <v>0</v>
      </c>
      <c r="P289" s="135">
        <f t="shared" si="95"/>
        <v>0</v>
      </c>
      <c r="Q289" s="135">
        <f t="shared" si="95"/>
        <v>0</v>
      </c>
      <c r="R289" s="136"/>
      <c r="S289" s="136"/>
      <c r="T289" s="137"/>
      <c r="U289" s="138"/>
      <c r="V289" s="139" t="e">
        <f t="shared" si="75"/>
        <v>#DIV/0!</v>
      </c>
      <c r="W289" s="139" t="e">
        <f t="shared" si="76"/>
        <v>#DIV/0!</v>
      </c>
      <c r="X289" s="140">
        <f aca="true" t="shared" si="96" ref="X289:AJ289">SUM(X290:X291)</f>
        <v>0</v>
      </c>
      <c r="Y289" s="134">
        <f t="shared" si="96"/>
        <v>0</v>
      </c>
      <c r="Z289" s="134">
        <f t="shared" si="96"/>
        <v>0</v>
      </c>
      <c r="AA289" s="135">
        <f t="shared" si="96"/>
        <v>0</v>
      </c>
      <c r="AB289" s="135">
        <f t="shared" si="96"/>
        <v>0</v>
      </c>
      <c r="AC289" s="135">
        <f t="shared" si="96"/>
        <v>0</v>
      </c>
      <c r="AD289" s="135">
        <f>SUM(AE290:AE291)</f>
        <v>0</v>
      </c>
      <c r="AE289" s="135">
        <f t="shared" si="96"/>
        <v>0</v>
      </c>
      <c r="AF289" s="135">
        <f t="shared" si="96"/>
        <v>0</v>
      </c>
      <c r="AG289" s="135">
        <f>SUM(AE290:AE291)</f>
        <v>0</v>
      </c>
      <c r="AH289" s="135">
        <f t="shared" si="96"/>
        <v>0</v>
      </c>
      <c r="AI289" s="135">
        <f t="shared" si="96"/>
        <v>0</v>
      </c>
      <c r="AJ289" s="135">
        <f t="shared" si="96"/>
        <v>0</v>
      </c>
      <c r="AK289" s="136"/>
      <c r="AL289" s="136"/>
      <c r="AM289" s="136"/>
      <c r="AN289" s="138"/>
      <c r="AO289" s="139" t="e">
        <f t="shared" si="73"/>
        <v>#DIV/0!</v>
      </c>
      <c r="AP289" s="139" t="e">
        <f t="shared" si="67"/>
        <v>#DIV/0!</v>
      </c>
      <c r="AQ289" s="134">
        <f aca="true" t="shared" si="97" ref="AQ289:BC289">SUM(AQ290:AQ291)</f>
        <v>0</v>
      </c>
      <c r="AR289" s="134">
        <f t="shared" si="97"/>
        <v>0</v>
      </c>
      <c r="AS289" s="134">
        <f t="shared" si="97"/>
        <v>0</v>
      </c>
      <c r="AT289" s="135">
        <f t="shared" si="97"/>
        <v>0</v>
      </c>
      <c r="AU289" s="135">
        <f t="shared" si="97"/>
        <v>0</v>
      </c>
      <c r="AV289" s="135">
        <f t="shared" si="97"/>
        <v>0</v>
      </c>
      <c r="AW289" s="135">
        <f>SUM(AX290:AX291)</f>
        <v>0</v>
      </c>
      <c r="AX289" s="135">
        <f t="shared" si="97"/>
        <v>0</v>
      </c>
      <c r="AY289" s="135">
        <f t="shared" si="97"/>
        <v>0</v>
      </c>
      <c r="AZ289" s="135">
        <f t="shared" si="97"/>
        <v>0</v>
      </c>
      <c r="BA289" s="135">
        <f t="shared" si="97"/>
        <v>0</v>
      </c>
      <c r="BB289" s="135">
        <f t="shared" si="97"/>
        <v>0</v>
      </c>
      <c r="BC289" s="135">
        <f t="shared" si="97"/>
        <v>0</v>
      </c>
      <c r="BD289" s="136"/>
      <c r="BE289" s="136"/>
      <c r="BF289" s="136"/>
      <c r="BG289" s="138"/>
      <c r="BH289" s="139" t="e">
        <f t="shared" si="43"/>
        <v>#DIV/0!</v>
      </c>
      <c r="BI289" s="139" t="e">
        <f t="shared" si="44"/>
        <v>#DIV/0!</v>
      </c>
      <c r="BJ289" s="415">
        <f t="shared" si="51"/>
        <v>0</v>
      </c>
      <c r="BK289" s="415">
        <f t="shared" si="52"/>
        <v>0</v>
      </c>
      <c r="BL289" s="415">
        <f t="shared" si="53"/>
        <v>0</v>
      </c>
      <c r="BM289" s="415">
        <f t="shared" si="54"/>
        <v>0</v>
      </c>
    </row>
    <row r="290" spans="1:65" s="129" customFormat="1" ht="14.25">
      <c r="A290" s="141" t="s">
        <v>470</v>
      </c>
      <c r="B290" s="179"/>
      <c r="C290" s="231"/>
      <c r="D290" s="144"/>
      <c r="E290" s="192"/>
      <c r="F290" s="146"/>
      <c r="G290" s="165"/>
      <c r="H290" s="234"/>
      <c r="I290" s="149"/>
      <c r="J290" s="149"/>
      <c r="K290" s="149"/>
      <c r="L290" s="149"/>
      <c r="M290" s="149"/>
      <c r="N290" s="149"/>
      <c r="O290" s="149"/>
      <c r="P290" s="149"/>
      <c r="Q290" s="149"/>
      <c r="R290" s="156"/>
      <c r="S290" s="156"/>
      <c r="T290" s="152"/>
      <c r="U290" s="153"/>
      <c r="V290" s="201" t="e">
        <f t="shared" si="75"/>
        <v>#DIV/0!</v>
      </c>
      <c r="W290" s="154" t="e">
        <f t="shared" si="76"/>
        <v>#DIV/0!</v>
      </c>
      <c r="X290" s="194"/>
      <c r="Y290" s="146"/>
      <c r="Z290" s="165"/>
      <c r="AA290" s="234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56"/>
      <c r="AL290" s="156"/>
      <c r="AM290" s="156"/>
      <c r="AN290" s="153"/>
      <c r="AO290" s="154" t="e">
        <f t="shared" si="73"/>
        <v>#DIV/0!</v>
      </c>
      <c r="AP290" s="154" t="e">
        <f t="shared" si="67"/>
        <v>#DIV/0!</v>
      </c>
      <c r="AQ290" s="192"/>
      <c r="AR290" s="146"/>
      <c r="AS290" s="147"/>
      <c r="AT290" s="234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56"/>
      <c r="BE290" s="156"/>
      <c r="BF290" s="156"/>
      <c r="BG290" s="153"/>
      <c r="BH290" s="201" t="e">
        <f t="shared" si="43"/>
        <v>#DIV/0!</v>
      </c>
      <c r="BI290" s="154" t="e">
        <f t="shared" si="44"/>
        <v>#DIV/0!</v>
      </c>
      <c r="BJ290" s="415">
        <f t="shared" si="51"/>
        <v>0</v>
      </c>
      <c r="BK290" s="415">
        <f t="shared" si="52"/>
        <v>0</v>
      </c>
      <c r="BL290" s="415">
        <f t="shared" si="53"/>
        <v>0</v>
      </c>
      <c r="BM290" s="415">
        <f t="shared" si="54"/>
        <v>0</v>
      </c>
    </row>
    <row r="291" spans="1:65" s="129" customFormat="1" ht="14.25">
      <c r="A291" s="141"/>
      <c r="B291" s="179"/>
      <c r="C291" s="231"/>
      <c r="D291" s="144"/>
      <c r="E291" s="192"/>
      <c r="F291" s="146"/>
      <c r="G291" s="165"/>
      <c r="H291" s="234"/>
      <c r="I291" s="149"/>
      <c r="J291" s="149"/>
      <c r="K291" s="149"/>
      <c r="L291" s="149"/>
      <c r="M291" s="149"/>
      <c r="N291" s="149"/>
      <c r="O291" s="149"/>
      <c r="P291" s="149"/>
      <c r="Q291" s="149"/>
      <c r="R291" s="156"/>
      <c r="S291" s="156"/>
      <c r="T291" s="152"/>
      <c r="U291" s="153"/>
      <c r="V291" s="201" t="e">
        <f t="shared" si="75"/>
        <v>#DIV/0!</v>
      </c>
      <c r="W291" s="154" t="e">
        <f t="shared" si="76"/>
        <v>#DIV/0!</v>
      </c>
      <c r="X291" s="194"/>
      <c r="Y291" s="146"/>
      <c r="Z291" s="165"/>
      <c r="AA291" s="234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56"/>
      <c r="AL291" s="156"/>
      <c r="AM291" s="156"/>
      <c r="AN291" s="153"/>
      <c r="AO291" s="154" t="e">
        <f t="shared" si="73"/>
        <v>#DIV/0!</v>
      </c>
      <c r="AP291" s="154" t="e">
        <f t="shared" si="67"/>
        <v>#DIV/0!</v>
      </c>
      <c r="AQ291" s="192"/>
      <c r="AR291" s="146"/>
      <c r="AS291" s="147"/>
      <c r="AT291" s="234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56"/>
      <c r="BE291" s="156"/>
      <c r="BF291" s="156"/>
      <c r="BG291" s="153"/>
      <c r="BH291" s="201" t="e">
        <f t="shared" si="43"/>
        <v>#DIV/0!</v>
      </c>
      <c r="BI291" s="154" t="e">
        <f t="shared" si="44"/>
        <v>#DIV/0!</v>
      </c>
      <c r="BJ291" s="415">
        <f aca="true" t="shared" si="98" ref="BJ291:BJ354">E291+X291+AQ291</f>
        <v>0</v>
      </c>
      <c r="BK291" s="415">
        <f aca="true" t="shared" si="99" ref="BK291:BK354">F291+Y291+AR291</f>
        <v>0</v>
      </c>
      <c r="BL291" s="415">
        <f aca="true" t="shared" si="100" ref="BL291:BL354">G291+Z291+AS291</f>
        <v>0</v>
      </c>
      <c r="BM291" s="415">
        <f aca="true" t="shared" si="101" ref="BM291:BM354">H291+AA291+AT291</f>
        <v>0</v>
      </c>
    </row>
    <row r="292" spans="1:65" s="129" customFormat="1" ht="78.75" customHeight="1">
      <c r="A292" s="207" t="s">
        <v>715</v>
      </c>
      <c r="B292" s="208" t="s">
        <v>716</v>
      </c>
      <c r="C292" s="209"/>
      <c r="D292" s="210"/>
      <c r="E292" s="211">
        <f aca="true" t="shared" si="102" ref="E292:Q292">E293+E296</f>
        <v>0</v>
      </c>
      <c r="F292" s="211">
        <f t="shared" si="102"/>
        <v>0</v>
      </c>
      <c r="G292" s="211">
        <f>G293+G296</f>
        <v>0</v>
      </c>
      <c r="H292" s="212">
        <f t="shared" si="102"/>
        <v>0</v>
      </c>
      <c r="I292" s="212">
        <f t="shared" si="102"/>
        <v>0</v>
      </c>
      <c r="J292" s="212">
        <f t="shared" si="102"/>
        <v>0</v>
      </c>
      <c r="K292" s="212">
        <f t="shared" si="102"/>
        <v>0</v>
      </c>
      <c r="L292" s="212">
        <f t="shared" si="102"/>
        <v>0</v>
      </c>
      <c r="M292" s="212">
        <f t="shared" si="102"/>
        <v>0</v>
      </c>
      <c r="N292" s="212">
        <f t="shared" si="102"/>
        <v>0</v>
      </c>
      <c r="O292" s="212">
        <f t="shared" si="102"/>
        <v>0</v>
      </c>
      <c r="P292" s="212">
        <f t="shared" si="102"/>
        <v>0</v>
      </c>
      <c r="Q292" s="212">
        <f t="shared" si="102"/>
        <v>0</v>
      </c>
      <c r="R292" s="213"/>
      <c r="S292" s="213"/>
      <c r="T292" s="214"/>
      <c r="U292" s="215"/>
      <c r="V292" s="217" t="e">
        <f t="shared" si="75"/>
        <v>#DIV/0!</v>
      </c>
      <c r="W292" s="217" t="e">
        <f t="shared" si="76"/>
        <v>#DIV/0!</v>
      </c>
      <c r="X292" s="218">
        <f aca="true" t="shared" si="103" ref="X292:AJ292">X293+X296</f>
        <v>90</v>
      </c>
      <c r="Y292" s="211">
        <f t="shared" si="103"/>
        <v>290</v>
      </c>
      <c r="Z292" s="211">
        <f t="shared" si="103"/>
        <v>290</v>
      </c>
      <c r="AA292" s="212">
        <f t="shared" si="103"/>
        <v>127.275</v>
      </c>
      <c r="AB292" s="212">
        <f t="shared" si="103"/>
        <v>109.844</v>
      </c>
      <c r="AC292" s="212">
        <f t="shared" si="103"/>
        <v>87.4144</v>
      </c>
      <c r="AD292" s="212">
        <f>AE293+AE296</f>
        <v>6.165</v>
      </c>
      <c r="AE292" s="212">
        <f t="shared" si="103"/>
        <v>6.165</v>
      </c>
      <c r="AF292" s="212">
        <f t="shared" si="103"/>
        <v>0</v>
      </c>
      <c r="AG292" s="212">
        <f>AE293+AE296</f>
        <v>6.165</v>
      </c>
      <c r="AH292" s="212">
        <f t="shared" si="103"/>
        <v>4.014</v>
      </c>
      <c r="AI292" s="212">
        <f t="shared" si="103"/>
        <v>1.09268</v>
      </c>
      <c r="AJ292" s="212">
        <f t="shared" si="103"/>
        <v>107.16</v>
      </c>
      <c r="AK292" s="213"/>
      <c r="AL292" s="213"/>
      <c r="AM292" s="213"/>
      <c r="AN292" s="215"/>
      <c r="AO292" s="216">
        <f t="shared" si="73"/>
        <v>1414.1666666666667</v>
      </c>
      <c r="AP292" s="217">
        <f t="shared" si="67"/>
        <v>0.43887931034482763</v>
      </c>
      <c r="AQ292" s="211">
        <f aca="true" t="shared" si="104" ref="AQ292:BC292">AQ293+AQ296</f>
        <v>0</v>
      </c>
      <c r="AR292" s="211">
        <f t="shared" si="104"/>
        <v>0</v>
      </c>
      <c r="AS292" s="211">
        <f t="shared" si="104"/>
        <v>0</v>
      </c>
      <c r="AT292" s="212">
        <f t="shared" si="104"/>
        <v>0</v>
      </c>
      <c r="AU292" s="212">
        <f t="shared" si="104"/>
        <v>0</v>
      </c>
      <c r="AV292" s="212">
        <f t="shared" si="104"/>
        <v>0</v>
      </c>
      <c r="AW292" s="212">
        <f>AX293+AX296</f>
        <v>0</v>
      </c>
      <c r="AX292" s="212">
        <f t="shared" si="104"/>
        <v>0</v>
      </c>
      <c r="AY292" s="212">
        <f t="shared" si="104"/>
        <v>0</v>
      </c>
      <c r="AZ292" s="212">
        <f t="shared" si="104"/>
        <v>0</v>
      </c>
      <c r="BA292" s="212">
        <f t="shared" si="104"/>
        <v>0</v>
      </c>
      <c r="BB292" s="212">
        <f t="shared" si="104"/>
        <v>0</v>
      </c>
      <c r="BC292" s="212">
        <f t="shared" si="104"/>
        <v>0</v>
      </c>
      <c r="BD292" s="213"/>
      <c r="BE292" s="213"/>
      <c r="BF292" s="213"/>
      <c r="BG292" s="215"/>
      <c r="BH292" s="217" t="e">
        <f t="shared" si="43"/>
        <v>#DIV/0!</v>
      </c>
      <c r="BI292" s="217" t="e">
        <f t="shared" si="44"/>
        <v>#DIV/0!</v>
      </c>
      <c r="BJ292" s="415">
        <f t="shared" si="98"/>
        <v>90</v>
      </c>
      <c r="BK292" s="415">
        <f t="shared" si="99"/>
        <v>290</v>
      </c>
      <c r="BL292" s="415">
        <f t="shared" si="100"/>
        <v>290</v>
      </c>
      <c r="BM292" s="415">
        <f t="shared" si="101"/>
        <v>127.275</v>
      </c>
    </row>
    <row r="293" spans="1:65" s="129" customFormat="1" ht="24.75" customHeight="1">
      <c r="A293" s="130" t="s">
        <v>114</v>
      </c>
      <c r="B293" s="131" t="s">
        <v>717</v>
      </c>
      <c r="C293" s="132"/>
      <c r="D293" s="133">
        <v>0.4</v>
      </c>
      <c r="E293" s="134">
        <f aca="true" t="shared" si="105" ref="E293:Q293">SUM(E294:E295)</f>
        <v>0</v>
      </c>
      <c r="F293" s="134">
        <f t="shared" si="105"/>
        <v>0</v>
      </c>
      <c r="G293" s="134">
        <f>SUM(G294:G295)</f>
        <v>0</v>
      </c>
      <c r="H293" s="135">
        <f t="shared" si="105"/>
        <v>0</v>
      </c>
      <c r="I293" s="135">
        <f t="shared" si="105"/>
        <v>0</v>
      </c>
      <c r="J293" s="135">
        <f t="shared" si="105"/>
        <v>0</v>
      </c>
      <c r="K293" s="135">
        <f t="shared" si="105"/>
        <v>0</v>
      </c>
      <c r="L293" s="135">
        <f t="shared" si="105"/>
        <v>0</v>
      </c>
      <c r="M293" s="135">
        <f t="shared" si="105"/>
        <v>0</v>
      </c>
      <c r="N293" s="135">
        <f t="shared" si="105"/>
        <v>0</v>
      </c>
      <c r="O293" s="135">
        <f t="shared" si="105"/>
        <v>0</v>
      </c>
      <c r="P293" s="135">
        <f t="shared" si="105"/>
        <v>0</v>
      </c>
      <c r="Q293" s="135">
        <f t="shared" si="105"/>
        <v>0</v>
      </c>
      <c r="R293" s="136"/>
      <c r="S293" s="136"/>
      <c r="T293" s="137"/>
      <c r="U293" s="138"/>
      <c r="V293" s="139" t="e">
        <f t="shared" si="75"/>
        <v>#DIV/0!</v>
      </c>
      <c r="W293" s="139" t="e">
        <f t="shared" si="76"/>
        <v>#DIV/0!</v>
      </c>
      <c r="X293" s="140">
        <f aca="true" t="shared" si="106" ref="X293:AJ293">SUM(X294:X295)</f>
        <v>90</v>
      </c>
      <c r="Y293" s="134">
        <f t="shared" si="106"/>
        <v>290</v>
      </c>
      <c r="Z293" s="134">
        <f t="shared" si="106"/>
        <v>290</v>
      </c>
      <c r="AA293" s="135">
        <f t="shared" si="106"/>
        <v>127.275</v>
      </c>
      <c r="AB293" s="135">
        <f t="shared" si="106"/>
        <v>109.844</v>
      </c>
      <c r="AC293" s="135">
        <f t="shared" si="106"/>
        <v>87.4144</v>
      </c>
      <c r="AD293" s="135">
        <f>SUM(AE294:AE295)</f>
        <v>6.165</v>
      </c>
      <c r="AE293" s="135">
        <f t="shared" si="106"/>
        <v>6.165</v>
      </c>
      <c r="AF293" s="135">
        <f t="shared" si="106"/>
        <v>0</v>
      </c>
      <c r="AG293" s="135">
        <f>SUM(AE294:AE295)</f>
        <v>6.165</v>
      </c>
      <c r="AH293" s="135">
        <f t="shared" si="106"/>
        <v>4.014</v>
      </c>
      <c r="AI293" s="135">
        <f t="shared" si="106"/>
        <v>1.09268</v>
      </c>
      <c r="AJ293" s="135">
        <f t="shared" si="106"/>
        <v>107.16</v>
      </c>
      <c r="AK293" s="136"/>
      <c r="AL293" s="136"/>
      <c r="AM293" s="136"/>
      <c r="AN293" s="138"/>
      <c r="AO293" s="200">
        <f t="shared" si="73"/>
        <v>1414.1666666666667</v>
      </c>
      <c r="AP293" s="139">
        <f t="shared" si="67"/>
        <v>0.43887931034482763</v>
      </c>
      <c r="AQ293" s="134">
        <f aca="true" t="shared" si="107" ref="AQ293:BC293">SUM(AQ294:AQ295)</f>
        <v>0</v>
      </c>
      <c r="AR293" s="134">
        <f t="shared" si="107"/>
        <v>0</v>
      </c>
      <c r="AS293" s="134">
        <f t="shared" si="107"/>
        <v>0</v>
      </c>
      <c r="AT293" s="135">
        <f t="shared" si="107"/>
        <v>0</v>
      </c>
      <c r="AU293" s="135">
        <f t="shared" si="107"/>
        <v>0</v>
      </c>
      <c r="AV293" s="135">
        <f t="shared" si="107"/>
        <v>0</v>
      </c>
      <c r="AW293" s="135">
        <f>SUM(AX294:AX295)</f>
        <v>0</v>
      </c>
      <c r="AX293" s="135">
        <f t="shared" si="107"/>
        <v>0</v>
      </c>
      <c r="AY293" s="135">
        <f t="shared" si="107"/>
        <v>0</v>
      </c>
      <c r="AZ293" s="135">
        <f t="shared" si="107"/>
        <v>0</v>
      </c>
      <c r="BA293" s="135">
        <f t="shared" si="107"/>
        <v>0</v>
      </c>
      <c r="BB293" s="135">
        <f t="shared" si="107"/>
        <v>0</v>
      </c>
      <c r="BC293" s="135">
        <f t="shared" si="107"/>
        <v>0</v>
      </c>
      <c r="BD293" s="136"/>
      <c r="BE293" s="136"/>
      <c r="BF293" s="136"/>
      <c r="BG293" s="138"/>
      <c r="BH293" s="139" t="e">
        <f t="shared" si="43"/>
        <v>#DIV/0!</v>
      </c>
      <c r="BI293" s="139" t="e">
        <f t="shared" si="44"/>
        <v>#DIV/0!</v>
      </c>
      <c r="BJ293" s="415">
        <f t="shared" si="98"/>
        <v>90</v>
      </c>
      <c r="BK293" s="415">
        <f t="shared" si="99"/>
        <v>290</v>
      </c>
      <c r="BL293" s="415">
        <f t="shared" si="100"/>
        <v>290</v>
      </c>
      <c r="BM293" s="415">
        <f t="shared" si="101"/>
        <v>127.275</v>
      </c>
    </row>
    <row r="294" spans="1:65" s="129" customFormat="1" ht="18.75" outlineLevel="1">
      <c r="A294" s="141" t="s">
        <v>116</v>
      </c>
      <c r="B294" s="176" t="s">
        <v>708</v>
      </c>
      <c r="C294" s="190" t="s">
        <v>709</v>
      </c>
      <c r="D294" s="144">
        <v>0.4</v>
      </c>
      <c r="E294" s="161"/>
      <c r="F294" s="161"/>
      <c r="G294" s="161"/>
      <c r="H294" s="238"/>
      <c r="I294" s="149"/>
      <c r="J294" s="149"/>
      <c r="K294" s="149"/>
      <c r="L294" s="149"/>
      <c r="M294" s="149"/>
      <c r="N294" s="149"/>
      <c r="O294" s="149"/>
      <c r="P294" s="149"/>
      <c r="Q294" s="149"/>
      <c r="R294" s="156"/>
      <c r="S294" s="156"/>
      <c r="T294" s="152"/>
      <c r="U294" s="153"/>
      <c r="V294" s="154" t="e">
        <f t="shared" si="75"/>
        <v>#DIV/0!</v>
      </c>
      <c r="W294" s="154" t="e">
        <f t="shared" si="76"/>
        <v>#DIV/0!</v>
      </c>
      <c r="X294" s="163">
        <v>90</v>
      </c>
      <c r="Y294" s="161">
        <v>290</v>
      </c>
      <c r="Z294" s="161">
        <v>290</v>
      </c>
      <c r="AA294" s="238">
        <v>127.275</v>
      </c>
      <c r="AB294" s="149">
        <v>109.844</v>
      </c>
      <c r="AC294" s="149">
        <f>69.93152+17.48288</f>
        <v>87.4144</v>
      </c>
      <c r="AD294" s="149">
        <v>11.474</v>
      </c>
      <c r="AE294" s="149">
        <v>6.165</v>
      </c>
      <c r="AF294" s="149">
        <v>0</v>
      </c>
      <c r="AG294" s="149">
        <v>0</v>
      </c>
      <c r="AH294" s="149">
        <v>4.014</v>
      </c>
      <c r="AI294" s="149">
        <v>1.09268</v>
      </c>
      <c r="AJ294" s="149">
        <v>107.16</v>
      </c>
      <c r="AK294" s="150" t="s">
        <v>119</v>
      </c>
      <c r="AL294" s="151" t="s">
        <v>120</v>
      </c>
      <c r="AM294" s="156"/>
      <c r="AN294" s="153">
        <v>152</v>
      </c>
      <c r="AO294" s="201">
        <f t="shared" si="73"/>
        <v>1414.1666666666667</v>
      </c>
      <c r="AP294" s="154">
        <f t="shared" si="67"/>
        <v>0.43887931034482763</v>
      </c>
      <c r="AQ294" s="161"/>
      <c r="AR294" s="161"/>
      <c r="AS294" s="161"/>
      <c r="AT294" s="238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56"/>
      <c r="BE294" s="156"/>
      <c r="BF294" s="156"/>
      <c r="BG294" s="153"/>
      <c r="BH294" s="154" t="e">
        <f t="shared" si="43"/>
        <v>#DIV/0!</v>
      </c>
      <c r="BI294" s="154" t="e">
        <f t="shared" si="44"/>
        <v>#DIV/0!</v>
      </c>
      <c r="BJ294" s="415">
        <f t="shared" si="98"/>
        <v>90</v>
      </c>
      <c r="BK294" s="415">
        <f t="shared" si="99"/>
        <v>290</v>
      </c>
      <c r="BL294" s="415">
        <f t="shared" si="100"/>
        <v>290</v>
      </c>
      <c r="BM294" s="415">
        <f t="shared" si="101"/>
        <v>127.275</v>
      </c>
    </row>
    <row r="295" spans="1:65" s="129" customFormat="1" ht="14.25">
      <c r="A295" s="141"/>
      <c r="B295" s="179"/>
      <c r="C295" s="190"/>
      <c r="D295" s="144"/>
      <c r="E295" s="219"/>
      <c r="F295" s="193"/>
      <c r="G295" s="165"/>
      <c r="H295" s="239"/>
      <c r="I295" s="149"/>
      <c r="J295" s="149"/>
      <c r="K295" s="149"/>
      <c r="L295" s="149"/>
      <c r="M295" s="149"/>
      <c r="N295" s="149"/>
      <c r="O295" s="149"/>
      <c r="P295" s="149"/>
      <c r="Q295" s="149"/>
      <c r="R295" s="156"/>
      <c r="S295" s="156"/>
      <c r="T295" s="152"/>
      <c r="U295" s="153"/>
      <c r="V295" s="154" t="e">
        <f t="shared" si="75"/>
        <v>#DIV/0!</v>
      </c>
      <c r="W295" s="154" t="e">
        <f t="shared" si="76"/>
        <v>#DIV/0!</v>
      </c>
      <c r="X295" s="194"/>
      <c r="Y295" s="193"/>
      <c r="Z295" s="165"/>
      <c r="AA295" s="23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56"/>
      <c r="AL295" s="156"/>
      <c r="AM295" s="156"/>
      <c r="AN295" s="153"/>
      <c r="AO295" s="201" t="e">
        <f t="shared" si="73"/>
        <v>#DIV/0!</v>
      </c>
      <c r="AP295" s="154" t="e">
        <f t="shared" si="67"/>
        <v>#DIV/0!</v>
      </c>
      <c r="AQ295" s="219"/>
      <c r="AR295" s="193"/>
      <c r="AS295" s="147"/>
      <c r="AT295" s="23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56"/>
      <c r="BE295" s="156"/>
      <c r="BF295" s="156"/>
      <c r="BG295" s="153"/>
      <c r="BH295" s="154" t="e">
        <f t="shared" si="43"/>
        <v>#DIV/0!</v>
      </c>
      <c r="BI295" s="154" t="e">
        <f t="shared" si="44"/>
        <v>#DIV/0!</v>
      </c>
      <c r="BJ295" s="415">
        <f t="shared" si="98"/>
        <v>0</v>
      </c>
      <c r="BK295" s="415">
        <f t="shared" si="99"/>
        <v>0</v>
      </c>
      <c r="BL295" s="415">
        <f t="shared" si="100"/>
        <v>0</v>
      </c>
      <c r="BM295" s="415">
        <f t="shared" si="101"/>
        <v>0</v>
      </c>
    </row>
    <row r="296" spans="1:65" s="129" customFormat="1" ht="24.75" customHeight="1">
      <c r="A296" s="130" t="s">
        <v>4</v>
      </c>
      <c r="B296" s="131" t="s">
        <v>718</v>
      </c>
      <c r="C296" s="132"/>
      <c r="D296" s="133">
        <v>6</v>
      </c>
      <c r="E296" s="134">
        <f>SUM(E297:E298)</f>
        <v>0</v>
      </c>
      <c r="F296" s="134">
        <f>SUM(F297:F298)</f>
        <v>0</v>
      </c>
      <c r="G296" s="134">
        <f>SUM(G297:G298)</f>
        <v>0</v>
      </c>
      <c r="H296" s="135">
        <f>SUM(H297:H298)</f>
        <v>0</v>
      </c>
      <c r="I296" s="135">
        <f aca="true" t="shared" si="108" ref="I296:Q296">SUM(I297:I298)</f>
        <v>0</v>
      </c>
      <c r="J296" s="135">
        <f t="shared" si="108"/>
        <v>0</v>
      </c>
      <c r="K296" s="135">
        <f t="shared" si="108"/>
        <v>0</v>
      </c>
      <c r="L296" s="135">
        <f t="shared" si="108"/>
        <v>0</v>
      </c>
      <c r="M296" s="135">
        <f t="shared" si="108"/>
        <v>0</v>
      </c>
      <c r="N296" s="135">
        <f t="shared" si="108"/>
        <v>0</v>
      </c>
      <c r="O296" s="135">
        <f t="shared" si="108"/>
        <v>0</v>
      </c>
      <c r="P296" s="135">
        <f t="shared" si="108"/>
        <v>0</v>
      </c>
      <c r="Q296" s="135">
        <f t="shared" si="108"/>
        <v>0</v>
      </c>
      <c r="R296" s="136"/>
      <c r="S296" s="136"/>
      <c r="T296" s="137"/>
      <c r="U296" s="138"/>
      <c r="V296" s="139" t="e">
        <f t="shared" si="75"/>
        <v>#DIV/0!</v>
      </c>
      <c r="W296" s="139" t="e">
        <f t="shared" si="76"/>
        <v>#DIV/0!</v>
      </c>
      <c r="X296" s="140">
        <f>SUM(X297:X298)</f>
        <v>0</v>
      </c>
      <c r="Y296" s="134">
        <f>SUM(Y297:Y298)</f>
        <v>0</v>
      </c>
      <c r="Z296" s="134">
        <f>SUM(Z297:Z298)</f>
        <v>0</v>
      </c>
      <c r="AA296" s="135">
        <f>SUM(AA297:AA298)</f>
        <v>0</v>
      </c>
      <c r="AB296" s="135">
        <f aca="true" t="shared" si="109" ref="AB296:AJ296">SUM(AB297:AB298)</f>
        <v>0</v>
      </c>
      <c r="AC296" s="135">
        <f t="shared" si="109"/>
        <v>0</v>
      </c>
      <c r="AD296" s="135">
        <f>SUM(AE297:AE298)</f>
        <v>0</v>
      </c>
      <c r="AE296" s="135">
        <f t="shared" si="109"/>
        <v>0</v>
      </c>
      <c r="AF296" s="135">
        <f t="shared" si="109"/>
        <v>0</v>
      </c>
      <c r="AG296" s="135">
        <f>SUM(AE297:AE298)</f>
        <v>0</v>
      </c>
      <c r="AH296" s="135">
        <f t="shared" si="109"/>
        <v>0</v>
      </c>
      <c r="AI296" s="135">
        <f t="shared" si="109"/>
        <v>0</v>
      </c>
      <c r="AJ296" s="135">
        <f t="shared" si="109"/>
        <v>0</v>
      </c>
      <c r="AK296" s="136"/>
      <c r="AL296" s="136"/>
      <c r="AM296" s="136"/>
      <c r="AN296" s="138"/>
      <c r="AO296" s="139" t="e">
        <f t="shared" si="73"/>
        <v>#DIV/0!</v>
      </c>
      <c r="AP296" s="139" t="e">
        <f t="shared" si="67"/>
        <v>#DIV/0!</v>
      </c>
      <c r="AQ296" s="134">
        <f aca="true" t="shared" si="110" ref="AQ296:BC296">SUM(AQ297:AQ298)</f>
        <v>0</v>
      </c>
      <c r="AR296" s="134">
        <f t="shared" si="110"/>
        <v>0</v>
      </c>
      <c r="AS296" s="134">
        <f t="shared" si="110"/>
        <v>0</v>
      </c>
      <c r="AT296" s="135">
        <f t="shared" si="110"/>
        <v>0</v>
      </c>
      <c r="AU296" s="135">
        <f t="shared" si="110"/>
        <v>0</v>
      </c>
      <c r="AV296" s="135">
        <f t="shared" si="110"/>
        <v>0</v>
      </c>
      <c r="AW296" s="135">
        <f>SUM(AX297:AX298)</f>
        <v>0</v>
      </c>
      <c r="AX296" s="135">
        <f t="shared" si="110"/>
        <v>0</v>
      </c>
      <c r="AY296" s="135">
        <f t="shared" si="110"/>
        <v>0</v>
      </c>
      <c r="AZ296" s="135">
        <f t="shared" si="110"/>
        <v>0</v>
      </c>
      <c r="BA296" s="135">
        <f t="shared" si="110"/>
        <v>0</v>
      </c>
      <c r="BB296" s="135">
        <f t="shared" si="110"/>
        <v>0</v>
      </c>
      <c r="BC296" s="135">
        <f t="shared" si="110"/>
        <v>0</v>
      </c>
      <c r="BD296" s="136"/>
      <c r="BE296" s="136"/>
      <c r="BF296" s="136"/>
      <c r="BG296" s="138"/>
      <c r="BH296" s="139" t="e">
        <f t="shared" si="43"/>
        <v>#DIV/0!</v>
      </c>
      <c r="BI296" s="139" t="e">
        <f t="shared" si="44"/>
        <v>#DIV/0!</v>
      </c>
      <c r="BJ296" s="415">
        <f t="shared" si="98"/>
        <v>0</v>
      </c>
      <c r="BK296" s="415">
        <f t="shared" si="99"/>
        <v>0</v>
      </c>
      <c r="BL296" s="415">
        <f t="shared" si="100"/>
        <v>0</v>
      </c>
      <c r="BM296" s="415">
        <f t="shared" si="101"/>
        <v>0</v>
      </c>
    </row>
    <row r="297" spans="1:65" s="129" customFormat="1" ht="14.25">
      <c r="A297" s="141" t="s">
        <v>146</v>
      </c>
      <c r="B297" s="179"/>
      <c r="C297" s="190"/>
      <c r="D297" s="144"/>
      <c r="E297" s="193"/>
      <c r="F297" s="193"/>
      <c r="G297" s="165"/>
      <c r="H297" s="239"/>
      <c r="I297" s="149"/>
      <c r="J297" s="149"/>
      <c r="K297" s="149"/>
      <c r="L297" s="149"/>
      <c r="M297" s="149"/>
      <c r="N297" s="149"/>
      <c r="O297" s="149"/>
      <c r="P297" s="149"/>
      <c r="Q297" s="149"/>
      <c r="R297" s="156"/>
      <c r="S297" s="156"/>
      <c r="T297" s="152"/>
      <c r="U297" s="153"/>
      <c r="V297" s="154" t="e">
        <f t="shared" si="75"/>
        <v>#DIV/0!</v>
      </c>
      <c r="W297" s="154" t="e">
        <f t="shared" si="76"/>
        <v>#DIV/0!</v>
      </c>
      <c r="X297" s="155"/>
      <c r="Y297" s="193"/>
      <c r="Z297" s="165"/>
      <c r="AA297" s="23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56"/>
      <c r="AL297" s="156"/>
      <c r="AM297" s="156"/>
      <c r="AN297" s="153"/>
      <c r="AO297" s="154" t="e">
        <f t="shared" si="73"/>
        <v>#DIV/0!</v>
      </c>
      <c r="AP297" s="154" t="e">
        <f t="shared" si="67"/>
        <v>#DIV/0!</v>
      </c>
      <c r="AQ297" s="193"/>
      <c r="AR297" s="193"/>
      <c r="AS297" s="147"/>
      <c r="AT297" s="23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56"/>
      <c r="BE297" s="156"/>
      <c r="BF297" s="156"/>
      <c r="BG297" s="153"/>
      <c r="BH297" s="154" t="e">
        <f t="shared" si="43"/>
        <v>#DIV/0!</v>
      </c>
      <c r="BI297" s="154" t="e">
        <f t="shared" si="44"/>
        <v>#DIV/0!</v>
      </c>
      <c r="BJ297" s="415">
        <f t="shared" si="98"/>
        <v>0</v>
      </c>
      <c r="BK297" s="415">
        <f t="shared" si="99"/>
        <v>0</v>
      </c>
      <c r="BL297" s="415">
        <f t="shared" si="100"/>
        <v>0</v>
      </c>
      <c r="BM297" s="415">
        <f t="shared" si="101"/>
        <v>0</v>
      </c>
    </row>
    <row r="298" spans="1:65" s="129" customFormat="1" ht="14.25">
      <c r="A298" s="141"/>
      <c r="B298" s="179"/>
      <c r="C298" s="158"/>
      <c r="D298" s="144"/>
      <c r="E298" s="146"/>
      <c r="F298" s="146"/>
      <c r="G298" s="165"/>
      <c r="H298" s="221"/>
      <c r="I298" s="149"/>
      <c r="J298" s="149"/>
      <c r="K298" s="149"/>
      <c r="L298" s="149"/>
      <c r="M298" s="149"/>
      <c r="N298" s="149"/>
      <c r="O298" s="149"/>
      <c r="P298" s="149"/>
      <c r="Q298" s="149"/>
      <c r="R298" s="156"/>
      <c r="S298" s="156"/>
      <c r="T298" s="152"/>
      <c r="U298" s="153"/>
      <c r="V298" s="154" t="e">
        <f t="shared" si="75"/>
        <v>#DIV/0!</v>
      </c>
      <c r="W298" s="154" t="e">
        <f t="shared" si="76"/>
        <v>#DIV/0!</v>
      </c>
      <c r="X298" s="155"/>
      <c r="Y298" s="146"/>
      <c r="Z298" s="165"/>
      <c r="AA298" s="221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56"/>
      <c r="AL298" s="156"/>
      <c r="AM298" s="156"/>
      <c r="AN298" s="153"/>
      <c r="AO298" s="154" t="e">
        <f t="shared" si="73"/>
        <v>#DIV/0!</v>
      </c>
      <c r="AP298" s="154" t="e">
        <f t="shared" si="67"/>
        <v>#DIV/0!</v>
      </c>
      <c r="AQ298" s="146"/>
      <c r="AR298" s="146"/>
      <c r="AS298" s="147"/>
      <c r="AT298" s="221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56"/>
      <c r="BE298" s="156"/>
      <c r="BF298" s="156"/>
      <c r="BG298" s="153"/>
      <c r="BH298" s="154" t="e">
        <f t="shared" si="43"/>
        <v>#DIV/0!</v>
      </c>
      <c r="BI298" s="154" t="e">
        <f t="shared" si="44"/>
        <v>#DIV/0!</v>
      </c>
      <c r="BJ298" s="415">
        <f t="shared" si="98"/>
        <v>0</v>
      </c>
      <c r="BK298" s="415">
        <f t="shared" si="99"/>
        <v>0</v>
      </c>
      <c r="BL298" s="415">
        <f t="shared" si="100"/>
        <v>0</v>
      </c>
      <c r="BM298" s="415">
        <f t="shared" si="101"/>
        <v>0</v>
      </c>
    </row>
    <row r="299" spans="1:65" s="129" customFormat="1" ht="87" customHeight="1">
      <c r="A299" s="207" t="s">
        <v>719</v>
      </c>
      <c r="B299" s="208" t="s">
        <v>720</v>
      </c>
      <c r="C299" s="240" t="s">
        <v>721</v>
      </c>
      <c r="D299" s="210"/>
      <c r="E299" s="211">
        <f>E300+E304</f>
        <v>2451</v>
      </c>
      <c r="F299" s="211">
        <f>F300+F304</f>
        <v>2218</v>
      </c>
      <c r="G299" s="211">
        <f>G300+G304</f>
        <v>2218</v>
      </c>
      <c r="H299" s="212">
        <f>H300+H304</f>
        <v>4675.90582</v>
      </c>
      <c r="I299" s="212">
        <f aca="true" t="shared" si="111" ref="I299:Q299">I300+I304</f>
        <v>2420.43159</v>
      </c>
      <c r="J299" s="212">
        <f t="shared" si="111"/>
        <v>2585.82166</v>
      </c>
      <c r="K299" s="212">
        <f t="shared" si="111"/>
        <v>855.61754</v>
      </c>
      <c r="L299" s="212">
        <f t="shared" si="111"/>
        <v>633.4254999999999</v>
      </c>
      <c r="M299" s="212">
        <f t="shared" si="111"/>
        <v>0</v>
      </c>
      <c r="N299" s="212">
        <f t="shared" si="111"/>
        <v>0</v>
      </c>
      <c r="O299" s="212">
        <f t="shared" si="111"/>
        <v>235.24475000000004</v>
      </c>
      <c r="P299" s="212">
        <f t="shared" si="111"/>
        <v>2251.4359999999997</v>
      </c>
      <c r="Q299" s="212">
        <f t="shared" si="111"/>
        <v>2430.41186</v>
      </c>
      <c r="R299" s="213"/>
      <c r="S299" s="213"/>
      <c r="T299" s="214"/>
      <c r="U299" s="215"/>
      <c r="V299" s="217">
        <f t="shared" si="75"/>
        <v>1907.7543125255</v>
      </c>
      <c r="W299" s="217">
        <f t="shared" si="76"/>
        <v>2.1081631289449954</v>
      </c>
      <c r="X299" s="211">
        <f>X300+X304</f>
        <v>215</v>
      </c>
      <c r="Y299" s="211">
        <f>Y300+Y304</f>
        <v>400</v>
      </c>
      <c r="Z299" s="211">
        <f>Z300+Z304</f>
        <v>400</v>
      </c>
      <c r="AA299" s="212">
        <f>AA300+AA304</f>
        <v>1053.40856</v>
      </c>
      <c r="AB299" s="212">
        <f aca="true" t="shared" si="112" ref="AB299:AJ299">AB300+AB304</f>
        <v>536.47734</v>
      </c>
      <c r="AC299" s="212">
        <f t="shared" si="112"/>
        <v>456.46788</v>
      </c>
      <c r="AD299" s="212">
        <f>AE300+AE304</f>
        <v>47.23</v>
      </c>
      <c r="AE299" s="212">
        <f t="shared" si="112"/>
        <v>47.23</v>
      </c>
      <c r="AF299" s="212">
        <f t="shared" si="112"/>
        <v>0</v>
      </c>
      <c r="AG299" s="212">
        <f>AE300+AE304</f>
        <v>47.23</v>
      </c>
      <c r="AH299" s="212">
        <f t="shared" si="112"/>
        <v>22.299</v>
      </c>
      <c r="AI299" s="212">
        <f t="shared" si="112"/>
        <v>623.59</v>
      </c>
      <c r="AJ299" s="212">
        <f t="shared" si="112"/>
        <v>537.305</v>
      </c>
      <c r="AK299" s="213"/>
      <c r="AL299" s="213"/>
      <c r="AM299" s="213"/>
      <c r="AN299" s="215"/>
      <c r="AO299" s="216">
        <f t="shared" si="73"/>
        <v>4899.574697674419</v>
      </c>
      <c r="AP299" s="217">
        <f t="shared" si="67"/>
        <v>2.6335214000000002</v>
      </c>
      <c r="AQ299" s="211">
        <f>AQ300+AQ304</f>
        <v>0</v>
      </c>
      <c r="AR299" s="211">
        <f>AR300+AR304</f>
        <v>0</v>
      </c>
      <c r="AS299" s="211">
        <f>AS300+AS304</f>
        <v>0</v>
      </c>
      <c r="AT299" s="212">
        <f>AT300+AT304</f>
        <v>0</v>
      </c>
      <c r="AU299" s="212">
        <f aca="true" t="shared" si="113" ref="AU299:BC299">AU300+AU304</f>
        <v>0</v>
      </c>
      <c r="AV299" s="212">
        <f t="shared" si="113"/>
        <v>0</v>
      </c>
      <c r="AW299" s="212">
        <f>AX300+AX304</f>
        <v>0</v>
      </c>
      <c r="AX299" s="212">
        <f t="shared" si="113"/>
        <v>0</v>
      </c>
      <c r="AY299" s="212">
        <f t="shared" si="113"/>
        <v>0</v>
      </c>
      <c r="AZ299" s="212">
        <f t="shared" si="113"/>
        <v>0</v>
      </c>
      <c r="BA299" s="212">
        <f t="shared" si="113"/>
        <v>0</v>
      </c>
      <c r="BB299" s="212">
        <f t="shared" si="113"/>
        <v>0</v>
      </c>
      <c r="BC299" s="212">
        <f t="shared" si="113"/>
        <v>0</v>
      </c>
      <c r="BD299" s="213"/>
      <c r="BE299" s="213"/>
      <c r="BF299" s="213"/>
      <c r="BG299" s="215"/>
      <c r="BH299" s="217" t="e">
        <f t="shared" si="43"/>
        <v>#DIV/0!</v>
      </c>
      <c r="BI299" s="217" t="e">
        <f t="shared" si="44"/>
        <v>#DIV/0!</v>
      </c>
      <c r="BJ299" s="415">
        <f t="shared" si="98"/>
        <v>2666</v>
      </c>
      <c r="BK299" s="415">
        <f t="shared" si="99"/>
        <v>2618</v>
      </c>
      <c r="BL299" s="415">
        <f t="shared" si="100"/>
        <v>2618</v>
      </c>
      <c r="BM299" s="415">
        <f t="shared" si="101"/>
        <v>5729.31438</v>
      </c>
    </row>
    <row r="300" spans="1:65" s="129" customFormat="1" ht="24.75" customHeight="1">
      <c r="A300" s="130" t="s">
        <v>114</v>
      </c>
      <c r="B300" s="131" t="s">
        <v>693</v>
      </c>
      <c r="C300" s="132"/>
      <c r="D300" s="133">
        <v>6</v>
      </c>
      <c r="E300" s="134">
        <f>SUM(E301:E303)</f>
        <v>247</v>
      </c>
      <c r="F300" s="134">
        <f>SUM(F301:F303)</f>
        <v>128</v>
      </c>
      <c r="G300" s="134">
        <f>SUM(G301:G303)</f>
        <v>128</v>
      </c>
      <c r="H300" s="135">
        <f>SUM(H301:H303)</f>
        <v>1338.30127</v>
      </c>
      <c r="I300" s="135">
        <f aca="true" t="shared" si="114" ref="I300:Q300">SUM(I301:I303)</f>
        <v>353.79688999999996</v>
      </c>
      <c r="J300" s="135">
        <f t="shared" si="114"/>
        <v>296.58614</v>
      </c>
      <c r="K300" s="135">
        <f t="shared" si="114"/>
        <v>511.39853999999997</v>
      </c>
      <c r="L300" s="135">
        <f t="shared" si="114"/>
        <v>22.238570000000003</v>
      </c>
      <c r="M300" s="135">
        <f t="shared" si="114"/>
        <v>0</v>
      </c>
      <c r="N300" s="135">
        <f t="shared" si="114"/>
        <v>0</v>
      </c>
      <c r="O300" s="135">
        <f t="shared" si="114"/>
        <v>18.60283</v>
      </c>
      <c r="P300" s="135">
        <f t="shared" si="114"/>
        <v>867.1959999999999</v>
      </c>
      <c r="Q300" s="135">
        <f t="shared" si="114"/>
        <v>733.21186</v>
      </c>
      <c r="R300" s="136"/>
      <c r="S300" s="136"/>
      <c r="T300" s="137"/>
      <c r="U300" s="138"/>
      <c r="V300" s="139">
        <f t="shared" si="75"/>
        <v>5418.223765182186</v>
      </c>
      <c r="W300" s="139">
        <f t="shared" si="76"/>
        <v>10.455478671875</v>
      </c>
      <c r="X300" s="134">
        <f>SUM(X301:X303)</f>
        <v>0</v>
      </c>
      <c r="Y300" s="134">
        <f>SUM(Y301:Y303)</f>
        <v>0</v>
      </c>
      <c r="Z300" s="134">
        <f>SUM(Z301:Z303)</f>
        <v>0</v>
      </c>
      <c r="AA300" s="135">
        <f>SUM(AA301:AA303)</f>
        <v>0</v>
      </c>
      <c r="AB300" s="135">
        <f aca="true" t="shared" si="115" ref="AB300:AJ300">SUM(AB301:AB303)</f>
        <v>0</v>
      </c>
      <c r="AC300" s="135">
        <f t="shared" si="115"/>
        <v>0</v>
      </c>
      <c r="AD300" s="135">
        <f>SUM(AE301:AE303)</f>
        <v>0</v>
      </c>
      <c r="AE300" s="135">
        <f t="shared" si="115"/>
        <v>0</v>
      </c>
      <c r="AF300" s="135">
        <f t="shared" si="115"/>
        <v>0</v>
      </c>
      <c r="AG300" s="135">
        <f>SUM(AE301:AE303)</f>
        <v>0</v>
      </c>
      <c r="AH300" s="135">
        <f t="shared" si="115"/>
        <v>0</v>
      </c>
      <c r="AI300" s="135">
        <f t="shared" si="115"/>
        <v>0</v>
      </c>
      <c r="AJ300" s="135">
        <f t="shared" si="115"/>
        <v>0</v>
      </c>
      <c r="AK300" s="136"/>
      <c r="AL300" s="136"/>
      <c r="AM300" s="136"/>
      <c r="AN300" s="138"/>
      <c r="AO300" s="200" t="e">
        <f t="shared" si="73"/>
        <v>#DIV/0!</v>
      </c>
      <c r="AP300" s="139" t="e">
        <f t="shared" si="67"/>
        <v>#DIV/0!</v>
      </c>
      <c r="AQ300" s="134">
        <f>SUM(AQ301:AQ303)</f>
        <v>0</v>
      </c>
      <c r="AR300" s="134">
        <f>SUM(AR301:AR303)</f>
        <v>0</v>
      </c>
      <c r="AS300" s="134">
        <f>SUM(AS301:AS303)</f>
        <v>0</v>
      </c>
      <c r="AT300" s="135">
        <f>SUM(AT301:AT303)</f>
        <v>0</v>
      </c>
      <c r="AU300" s="135">
        <f aca="true" t="shared" si="116" ref="AU300:BC300">SUM(AU301:AU303)</f>
        <v>0</v>
      </c>
      <c r="AV300" s="135">
        <f t="shared" si="116"/>
        <v>0</v>
      </c>
      <c r="AW300" s="135">
        <f>SUM(AX301:AX303)</f>
        <v>0</v>
      </c>
      <c r="AX300" s="135">
        <f t="shared" si="116"/>
        <v>0</v>
      </c>
      <c r="AY300" s="135">
        <f t="shared" si="116"/>
        <v>0</v>
      </c>
      <c r="AZ300" s="135">
        <f t="shared" si="116"/>
        <v>0</v>
      </c>
      <c r="BA300" s="135">
        <f t="shared" si="116"/>
        <v>0</v>
      </c>
      <c r="BB300" s="135">
        <f t="shared" si="116"/>
        <v>0</v>
      </c>
      <c r="BC300" s="135">
        <f t="shared" si="116"/>
        <v>0</v>
      </c>
      <c r="BD300" s="136"/>
      <c r="BE300" s="136"/>
      <c r="BF300" s="136"/>
      <c r="BG300" s="138"/>
      <c r="BH300" s="139" t="e">
        <f t="shared" si="43"/>
        <v>#DIV/0!</v>
      </c>
      <c r="BI300" s="139" t="e">
        <f t="shared" si="44"/>
        <v>#DIV/0!</v>
      </c>
      <c r="BJ300" s="415">
        <f t="shared" si="98"/>
        <v>247</v>
      </c>
      <c r="BK300" s="415">
        <f t="shared" si="99"/>
        <v>128</v>
      </c>
      <c r="BL300" s="415">
        <f t="shared" si="100"/>
        <v>128</v>
      </c>
      <c r="BM300" s="415">
        <f t="shared" si="101"/>
        <v>1338.30127</v>
      </c>
    </row>
    <row r="301" spans="1:65" s="129" customFormat="1" ht="26.25" outlineLevel="1">
      <c r="A301" s="141" t="s">
        <v>116</v>
      </c>
      <c r="B301" s="142" t="s">
        <v>722</v>
      </c>
      <c r="C301" s="241" t="s">
        <v>723</v>
      </c>
      <c r="D301" s="144">
        <v>0.4</v>
      </c>
      <c r="E301" s="145">
        <v>67</v>
      </c>
      <c r="F301" s="146">
        <v>30</v>
      </c>
      <c r="G301" s="146">
        <v>30</v>
      </c>
      <c r="H301" s="148">
        <v>645.13427</v>
      </c>
      <c r="I301" s="172">
        <v>169.86789</v>
      </c>
      <c r="J301" s="172">
        <f>58.09034+72.82968+2.60106+2.60106</f>
        <v>136.12213999999997</v>
      </c>
      <c r="K301" s="172">
        <v>33.746</v>
      </c>
      <c r="L301" s="172">
        <v>14.30957</v>
      </c>
      <c r="M301" s="172">
        <v>0</v>
      </c>
      <c r="N301" s="172">
        <v>0</v>
      </c>
      <c r="O301" s="172">
        <v>10.52283</v>
      </c>
      <c r="P301" s="172">
        <v>433.51</v>
      </c>
      <c r="Q301" s="172">
        <v>255.55932</v>
      </c>
      <c r="R301" s="242" t="s">
        <v>724</v>
      </c>
      <c r="S301" s="151"/>
      <c r="T301" s="152" t="s">
        <v>725</v>
      </c>
      <c r="U301" s="153">
        <v>96.99</v>
      </c>
      <c r="V301" s="201">
        <f t="shared" si="75"/>
        <v>9628.869701492536</v>
      </c>
      <c r="W301" s="154">
        <f t="shared" si="76"/>
        <v>21.504475666666668</v>
      </c>
      <c r="X301" s="155"/>
      <c r="Y301" s="146"/>
      <c r="Z301" s="146"/>
      <c r="AA301" s="148"/>
      <c r="AB301" s="186"/>
      <c r="AC301" s="186"/>
      <c r="AD301" s="186"/>
      <c r="AE301" s="186"/>
      <c r="AF301" s="186"/>
      <c r="AG301" s="186"/>
      <c r="AH301" s="186"/>
      <c r="AI301" s="149"/>
      <c r="AJ301" s="149"/>
      <c r="AK301" s="156"/>
      <c r="AL301" s="156"/>
      <c r="AM301" s="156"/>
      <c r="AN301" s="153"/>
      <c r="AO301" s="154" t="e">
        <f t="shared" si="73"/>
        <v>#DIV/0!</v>
      </c>
      <c r="AP301" s="154" t="e">
        <f t="shared" si="67"/>
        <v>#DIV/0!</v>
      </c>
      <c r="AQ301" s="145"/>
      <c r="AR301" s="146"/>
      <c r="AS301" s="146"/>
      <c r="AT301" s="148"/>
      <c r="AU301" s="186"/>
      <c r="AV301" s="186"/>
      <c r="AW301" s="186"/>
      <c r="AX301" s="186"/>
      <c r="AY301" s="186"/>
      <c r="AZ301" s="186"/>
      <c r="BA301" s="186"/>
      <c r="BB301" s="149"/>
      <c r="BC301" s="149"/>
      <c r="BD301" s="156"/>
      <c r="BE301" s="156"/>
      <c r="BF301" s="156"/>
      <c r="BG301" s="153"/>
      <c r="BH301" s="201" t="e">
        <f>AT301/AQ301*1000</f>
        <v>#DIV/0!</v>
      </c>
      <c r="BI301" s="154" t="e">
        <f>AT301/AR301</f>
        <v>#DIV/0!</v>
      </c>
      <c r="BJ301" s="415">
        <f t="shared" si="98"/>
        <v>67</v>
      </c>
      <c r="BK301" s="415">
        <f t="shared" si="99"/>
        <v>30</v>
      </c>
      <c r="BL301" s="415">
        <f t="shared" si="100"/>
        <v>30</v>
      </c>
      <c r="BM301" s="415">
        <f t="shared" si="101"/>
        <v>645.13427</v>
      </c>
    </row>
    <row r="302" spans="1:65" s="129" customFormat="1" ht="26.25" outlineLevel="1">
      <c r="A302" s="141" t="s">
        <v>121</v>
      </c>
      <c r="B302" s="142" t="s">
        <v>726</v>
      </c>
      <c r="C302" s="158" t="s">
        <v>727</v>
      </c>
      <c r="D302" s="144">
        <v>0.4</v>
      </c>
      <c r="E302" s="145">
        <v>180</v>
      </c>
      <c r="F302" s="146">
        <v>98</v>
      </c>
      <c r="G302" s="146">
        <v>98</v>
      </c>
      <c r="H302" s="195">
        <v>693.167</v>
      </c>
      <c r="I302" s="149">
        <v>183.929</v>
      </c>
      <c r="J302" s="149">
        <v>160.464</v>
      </c>
      <c r="K302" s="172">
        <v>477.65254</v>
      </c>
      <c r="L302" s="149">
        <v>7.929</v>
      </c>
      <c r="M302" s="149">
        <v>0</v>
      </c>
      <c r="N302" s="149">
        <v>0</v>
      </c>
      <c r="O302" s="149">
        <v>8.08</v>
      </c>
      <c r="P302" s="149">
        <v>433.686</v>
      </c>
      <c r="Q302" s="172">
        <v>477.65254</v>
      </c>
      <c r="R302" s="242" t="s">
        <v>724</v>
      </c>
      <c r="S302" s="151"/>
      <c r="T302" s="152" t="s">
        <v>725</v>
      </c>
      <c r="U302" s="153">
        <v>388</v>
      </c>
      <c r="V302" s="201">
        <f>H302/E302*1000</f>
        <v>3850.927777777778</v>
      </c>
      <c r="W302" s="154">
        <f>H302/F302</f>
        <v>7.073132653061225</v>
      </c>
      <c r="X302" s="155"/>
      <c r="Y302" s="146"/>
      <c r="Z302" s="146"/>
      <c r="AA302" s="243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56"/>
      <c r="AL302" s="156"/>
      <c r="AM302" s="156"/>
      <c r="AN302" s="153"/>
      <c r="AO302" s="154" t="e">
        <f>AA302/X302*1000</f>
        <v>#DIV/0!</v>
      </c>
      <c r="AP302" s="154" t="e">
        <f>AA302/Y302</f>
        <v>#DIV/0!</v>
      </c>
      <c r="AQ302" s="145"/>
      <c r="AR302" s="146"/>
      <c r="AS302" s="146"/>
      <c r="AT302" s="243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56"/>
      <c r="BE302" s="156"/>
      <c r="BF302" s="156"/>
      <c r="BG302" s="153"/>
      <c r="BH302" s="201" t="e">
        <f>AT302/AQ302*1000</f>
        <v>#DIV/0!</v>
      </c>
      <c r="BI302" s="154" t="e">
        <f>AT302/AR302</f>
        <v>#DIV/0!</v>
      </c>
      <c r="BJ302" s="415">
        <f t="shared" si="98"/>
        <v>180</v>
      </c>
      <c r="BK302" s="415">
        <f t="shared" si="99"/>
        <v>98</v>
      </c>
      <c r="BL302" s="415">
        <f t="shared" si="100"/>
        <v>98</v>
      </c>
      <c r="BM302" s="415">
        <f t="shared" si="101"/>
        <v>693.167</v>
      </c>
    </row>
    <row r="303" spans="1:65" s="129" customFormat="1" ht="14.25">
      <c r="A303" s="141"/>
      <c r="B303" s="244"/>
      <c r="C303" s="241"/>
      <c r="D303" s="144"/>
      <c r="E303" s="145"/>
      <c r="F303" s="146"/>
      <c r="G303" s="146"/>
      <c r="H303" s="149"/>
      <c r="I303" s="172"/>
      <c r="J303" s="172"/>
      <c r="K303" s="172"/>
      <c r="L303" s="172"/>
      <c r="M303" s="172"/>
      <c r="N303" s="172"/>
      <c r="O303" s="172"/>
      <c r="P303" s="172"/>
      <c r="Q303" s="172"/>
      <c r="R303" s="242"/>
      <c r="S303" s="151"/>
      <c r="T303" s="152"/>
      <c r="U303" s="153"/>
      <c r="V303" s="201"/>
      <c r="W303" s="154"/>
      <c r="X303" s="155"/>
      <c r="Y303" s="146"/>
      <c r="Z303" s="146"/>
      <c r="AA303" s="149"/>
      <c r="AB303" s="186"/>
      <c r="AC303" s="186"/>
      <c r="AD303" s="186"/>
      <c r="AE303" s="186"/>
      <c r="AF303" s="186"/>
      <c r="AG303" s="186"/>
      <c r="AH303" s="186"/>
      <c r="AI303" s="149"/>
      <c r="AJ303" s="149"/>
      <c r="AK303" s="156"/>
      <c r="AL303" s="156"/>
      <c r="AM303" s="156"/>
      <c r="AN303" s="153"/>
      <c r="AO303" s="154"/>
      <c r="AP303" s="154"/>
      <c r="AQ303" s="145"/>
      <c r="AR303" s="146"/>
      <c r="AS303" s="146"/>
      <c r="AT303" s="149"/>
      <c r="AU303" s="186"/>
      <c r="AV303" s="186"/>
      <c r="AW303" s="186"/>
      <c r="AX303" s="186"/>
      <c r="AY303" s="186"/>
      <c r="AZ303" s="186"/>
      <c r="BA303" s="186"/>
      <c r="BB303" s="149"/>
      <c r="BC303" s="149"/>
      <c r="BD303" s="156"/>
      <c r="BE303" s="156"/>
      <c r="BF303" s="156"/>
      <c r="BG303" s="153"/>
      <c r="BH303" s="201"/>
      <c r="BI303" s="154"/>
      <c r="BJ303" s="415">
        <f t="shared" si="98"/>
        <v>0</v>
      </c>
      <c r="BK303" s="415">
        <f t="shared" si="99"/>
        <v>0</v>
      </c>
      <c r="BL303" s="415">
        <f t="shared" si="100"/>
        <v>0</v>
      </c>
      <c r="BM303" s="415">
        <f t="shared" si="101"/>
        <v>0</v>
      </c>
    </row>
    <row r="304" spans="1:65" s="129" customFormat="1" ht="24.75" customHeight="1">
      <c r="A304" s="130" t="s">
        <v>144</v>
      </c>
      <c r="B304" s="131" t="s">
        <v>728</v>
      </c>
      <c r="C304" s="132"/>
      <c r="D304" s="133">
        <v>6</v>
      </c>
      <c r="E304" s="134">
        <f aca="true" t="shared" si="117" ref="E304:Q304">SUM(E305:E308)</f>
        <v>2204</v>
      </c>
      <c r="F304" s="134">
        <f t="shared" si="117"/>
        <v>2090</v>
      </c>
      <c r="G304" s="134">
        <f>SUM(G305:G308)</f>
        <v>2090</v>
      </c>
      <c r="H304" s="135">
        <f t="shared" si="117"/>
        <v>3337.6045499999996</v>
      </c>
      <c r="I304" s="135">
        <f t="shared" si="117"/>
        <v>2066.6347</v>
      </c>
      <c r="J304" s="135">
        <f t="shared" si="117"/>
        <v>2289.23552</v>
      </c>
      <c r="K304" s="135">
        <f t="shared" si="117"/>
        <v>344.219</v>
      </c>
      <c r="L304" s="135">
        <f t="shared" si="117"/>
        <v>611.18693</v>
      </c>
      <c r="M304" s="135">
        <f t="shared" si="117"/>
        <v>0</v>
      </c>
      <c r="N304" s="135">
        <f t="shared" si="117"/>
        <v>0</v>
      </c>
      <c r="O304" s="135">
        <f t="shared" si="117"/>
        <v>216.64192000000003</v>
      </c>
      <c r="P304" s="135">
        <f t="shared" si="117"/>
        <v>1384.24</v>
      </c>
      <c r="Q304" s="135">
        <f t="shared" si="117"/>
        <v>1697.2</v>
      </c>
      <c r="R304" s="136"/>
      <c r="S304" s="136"/>
      <c r="T304" s="137"/>
      <c r="U304" s="138"/>
      <c r="V304" s="139">
        <f>H304/E304*1000</f>
        <v>1514.3396324863882</v>
      </c>
      <c r="W304" s="139">
        <f>H304/F304</f>
        <v>1.5969399760765548</v>
      </c>
      <c r="X304" s="134">
        <f aca="true" t="shared" si="118" ref="X304:AJ304">SUM(X305:X308)</f>
        <v>215</v>
      </c>
      <c r="Y304" s="134">
        <f t="shared" si="118"/>
        <v>400</v>
      </c>
      <c r="Z304" s="134">
        <f t="shared" si="118"/>
        <v>400</v>
      </c>
      <c r="AA304" s="135">
        <f t="shared" si="118"/>
        <v>1053.40856</v>
      </c>
      <c r="AB304" s="135">
        <f t="shared" si="118"/>
        <v>536.47734</v>
      </c>
      <c r="AC304" s="135">
        <f t="shared" si="118"/>
        <v>456.46788</v>
      </c>
      <c r="AD304" s="135">
        <f>SUM(AE305:AE308)</f>
        <v>47.23</v>
      </c>
      <c r="AE304" s="135">
        <f t="shared" si="118"/>
        <v>47.23</v>
      </c>
      <c r="AF304" s="135">
        <f t="shared" si="118"/>
        <v>0</v>
      </c>
      <c r="AG304" s="135">
        <f>SUM(AE305:AE308)</f>
        <v>47.23</v>
      </c>
      <c r="AH304" s="135">
        <f t="shared" si="118"/>
        <v>22.299</v>
      </c>
      <c r="AI304" s="135">
        <f t="shared" si="118"/>
        <v>623.59</v>
      </c>
      <c r="AJ304" s="135">
        <f t="shared" si="118"/>
        <v>537.305</v>
      </c>
      <c r="AK304" s="136"/>
      <c r="AL304" s="136"/>
      <c r="AM304" s="136"/>
      <c r="AN304" s="138"/>
      <c r="AO304" s="200">
        <f>AA304/X304*1000</f>
        <v>4899.574697674419</v>
      </c>
      <c r="AP304" s="139">
        <f>AA304/Y304</f>
        <v>2.6335214000000002</v>
      </c>
      <c r="AQ304" s="134">
        <f aca="true" t="shared" si="119" ref="AQ304:BC304">SUM(AQ305:AQ308)</f>
        <v>0</v>
      </c>
      <c r="AR304" s="134">
        <f t="shared" si="119"/>
        <v>0</v>
      </c>
      <c r="AS304" s="134">
        <f t="shared" si="119"/>
        <v>0</v>
      </c>
      <c r="AT304" s="135">
        <f t="shared" si="119"/>
        <v>0</v>
      </c>
      <c r="AU304" s="135">
        <f t="shared" si="119"/>
        <v>0</v>
      </c>
      <c r="AV304" s="135">
        <f t="shared" si="119"/>
        <v>0</v>
      </c>
      <c r="AW304" s="135">
        <f>SUM(AX305:AX308)</f>
        <v>0</v>
      </c>
      <c r="AX304" s="135">
        <f t="shared" si="119"/>
        <v>0</v>
      </c>
      <c r="AY304" s="135">
        <f t="shared" si="119"/>
        <v>0</v>
      </c>
      <c r="AZ304" s="135">
        <f t="shared" si="119"/>
        <v>0</v>
      </c>
      <c r="BA304" s="135">
        <f t="shared" si="119"/>
        <v>0</v>
      </c>
      <c r="BB304" s="135">
        <f t="shared" si="119"/>
        <v>0</v>
      </c>
      <c r="BC304" s="135">
        <f t="shared" si="119"/>
        <v>0</v>
      </c>
      <c r="BD304" s="136"/>
      <c r="BE304" s="136"/>
      <c r="BF304" s="136"/>
      <c r="BG304" s="138"/>
      <c r="BH304" s="139" t="e">
        <f>AT304/AQ304*1000</f>
        <v>#DIV/0!</v>
      </c>
      <c r="BI304" s="139" t="e">
        <f>AT304/AR304</f>
        <v>#DIV/0!</v>
      </c>
      <c r="BJ304" s="415">
        <f t="shared" si="98"/>
        <v>2419</v>
      </c>
      <c r="BK304" s="415">
        <f t="shared" si="99"/>
        <v>2490</v>
      </c>
      <c r="BL304" s="415">
        <f t="shared" si="100"/>
        <v>2490</v>
      </c>
      <c r="BM304" s="415">
        <f t="shared" si="101"/>
        <v>4391.01311</v>
      </c>
    </row>
    <row r="305" spans="1:65" s="129" customFormat="1" ht="26.25" outlineLevel="1">
      <c r="A305" s="141" t="s">
        <v>146</v>
      </c>
      <c r="B305" s="142" t="s">
        <v>729</v>
      </c>
      <c r="C305" s="231" t="s">
        <v>730</v>
      </c>
      <c r="D305" s="144">
        <v>6</v>
      </c>
      <c r="E305" s="192">
        <v>1644</v>
      </c>
      <c r="F305" s="146">
        <v>1520</v>
      </c>
      <c r="G305" s="146">
        <v>1520</v>
      </c>
      <c r="H305" s="232">
        <f>2275.52683+110.0004</f>
        <v>2385.5272299999997</v>
      </c>
      <c r="I305" s="149">
        <f>1917.0467+0.483</f>
        <v>1917.5297</v>
      </c>
      <c r="J305" s="149">
        <f>1224.6465+164.3004+296.6535</f>
        <v>1685.6004000000003</v>
      </c>
      <c r="K305" s="149">
        <v>231.929</v>
      </c>
      <c r="L305" s="149">
        <f>171.89293+90</f>
        <v>261.89293</v>
      </c>
      <c r="M305" s="149">
        <v>0</v>
      </c>
      <c r="N305" s="149">
        <v>0</v>
      </c>
      <c r="O305" s="149">
        <f>67.39592+34.832</f>
        <v>102.22792000000001</v>
      </c>
      <c r="P305" s="149">
        <v>760.65</v>
      </c>
      <c r="Q305" s="149">
        <v>848.6</v>
      </c>
      <c r="R305" s="242" t="s">
        <v>724</v>
      </c>
      <c r="S305" s="151"/>
      <c r="T305" s="152" t="s">
        <v>731</v>
      </c>
      <c r="U305" s="153">
        <v>215.217</v>
      </c>
      <c r="V305" s="201">
        <f>H305/E305*1000</f>
        <v>1451.0506265206811</v>
      </c>
      <c r="W305" s="154">
        <f>H305/F305</f>
        <v>1.5694258092105262</v>
      </c>
      <c r="X305" s="194"/>
      <c r="Y305" s="146"/>
      <c r="Z305" s="146"/>
      <c r="AA305" s="232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56"/>
      <c r="AL305" s="156"/>
      <c r="AM305" s="156"/>
      <c r="AN305" s="153"/>
      <c r="AO305" s="154" t="e">
        <f>AA305/X305*1000</f>
        <v>#DIV/0!</v>
      </c>
      <c r="AP305" s="154" t="e">
        <f>AA305/Y305</f>
        <v>#DIV/0!</v>
      </c>
      <c r="AQ305" s="192"/>
      <c r="AR305" s="146"/>
      <c r="AS305" s="146"/>
      <c r="AT305" s="232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56"/>
      <c r="BE305" s="156"/>
      <c r="BF305" s="156"/>
      <c r="BG305" s="153"/>
      <c r="BH305" s="201" t="e">
        <f>AT305/AQ305*1000</f>
        <v>#DIV/0!</v>
      </c>
      <c r="BI305" s="154" t="e">
        <f>AT305/AR305</f>
        <v>#DIV/0!</v>
      </c>
      <c r="BJ305" s="415">
        <f t="shared" si="98"/>
        <v>1644</v>
      </c>
      <c r="BK305" s="415">
        <f t="shared" si="99"/>
        <v>1520</v>
      </c>
      <c r="BL305" s="415">
        <f t="shared" si="100"/>
        <v>1520</v>
      </c>
      <c r="BM305" s="415">
        <f t="shared" si="101"/>
        <v>2385.5272299999997</v>
      </c>
    </row>
    <row r="306" spans="1:65" s="129" customFormat="1" ht="26.25" outlineLevel="1">
      <c r="A306" s="141" t="s">
        <v>149</v>
      </c>
      <c r="B306" s="142" t="s">
        <v>732</v>
      </c>
      <c r="C306" s="231" t="s">
        <v>733</v>
      </c>
      <c r="D306" s="144">
        <v>6</v>
      </c>
      <c r="E306" s="192">
        <v>560</v>
      </c>
      <c r="F306" s="146">
        <v>570</v>
      </c>
      <c r="G306" s="146">
        <v>570</v>
      </c>
      <c r="H306" s="235">
        <v>952.07732</v>
      </c>
      <c r="I306" s="149">
        <v>149.105</v>
      </c>
      <c r="J306" s="149">
        <v>603.63512</v>
      </c>
      <c r="K306" s="149">
        <v>112.29</v>
      </c>
      <c r="L306" s="149">
        <v>349.294</v>
      </c>
      <c r="M306" s="149">
        <v>0</v>
      </c>
      <c r="N306" s="149">
        <v>0</v>
      </c>
      <c r="O306" s="149">
        <v>114.414</v>
      </c>
      <c r="P306" s="149">
        <v>623.59</v>
      </c>
      <c r="Q306" s="172">
        <v>848.6</v>
      </c>
      <c r="R306" s="242" t="s">
        <v>724</v>
      </c>
      <c r="S306" s="151"/>
      <c r="T306" s="152" t="s">
        <v>731</v>
      </c>
      <c r="U306" s="153">
        <v>405.409</v>
      </c>
      <c r="V306" s="201">
        <f>H306/E306*1000</f>
        <v>1700.1380714285715</v>
      </c>
      <c r="W306" s="154">
        <f aca="true" t="shared" si="120" ref="W306:W319">H306/F306</f>
        <v>1.6703110877192981</v>
      </c>
      <c r="X306" s="194"/>
      <c r="Y306" s="146"/>
      <c r="Z306" s="146"/>
      <c r="AA306" s="235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56"/>
      <c r="AL306" s="156"/>
      <c r="AM306" s="156"/>
      <c r="AN306" s="153"/>
      <c r="AO306" s="154" t="e">
        <f>AA306/X306*1000</f>
        <v>#DIV/0!</v>
      </c>
      <c r="AP306" s="154" t="e">
        <f aca="true" t="shared" si="121" ref="AP306:AP369">AA306/Y306</f>
        <v>#DIV/0!</v>
      </c>
      <c r="AQ306" s="192"/>
      <c r="AR306" s="146"/>
      <c r="AS306" s="146"/>
      <c r="AT306" s="235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56"/>
      <c r="BE306" s="156"/>
      <c r="BF306" s="156"/>
      <c r="BG306" s="153"/>
      <c r="BH306" s="201" t="e">
        <f>AT306/AQ306*1000</f>
        <v>#DIV/0!</v>
      </c>
      <c r="BI306" s="154" t="e">
        <f>AT306/AR306</f>
        <v>#DIV/0!</v>
      </c>
      <c r="BJ306" s="415">
        <f t="shared" si="98"/>
        <v>560</v>
      </c>
      <c r="BK306" s="415">
        <f t="shared" si="99"/>
        <v>570</v>
      </c>
      <c r="BL306" s="415">
        <f t="shared" si="100"/>
        <v>570</v>
      </c>
      <c r="BM306" s="415">
        <f t="shared" si="101"/>
        <v>952.07732</v>
      </c>
    </row>
    <row r="307" spans="1:65" s="129" customFormat="1" ht="26.25" outlineLevel="1">
      <c r="A307" s="141" t="s">
        <v>152</v>
      </c>
      <c r="B307" s="173" t="s">
        <v>705</v>
      </c>
      <c r="C307" s="190" t="s">
        <v>706</v>
      </c>
      <c r="D307" s="144">
        <v>6</v>
      </c>
      <c r="E307" s="161"/>
      <c r="F307" s="161"/>
      <c r="G307" s="161"/>
      <c r="H307" s="238"/>
      <c r="I307" s="149"/>
      <c r="J307" s="149"/>
      <c r="K307" s="149"/>
      <c r="L307" s="149"/>
      <c r="M307" s="149"/>
      <c r="N307" s="149"/>
      <c r="O307" s="149"/>
      <c r="P307" s="149"/>
      <c r="Q307" s="149"/>
      <c r="R307" s="156"/>
      <c r="S307" s="156"/>
      <c r="T307" s="152"/>
      <c r="U307" s="153"/>
      <c r="V307" s="154" t="e">
        <f>H307/E307*1000</f>
        <v>#DIV/0!</v>
      </c>
      <c r="W307" s="154" t="e">
        <f t="shared" si="120"/>
        <v>#DIV/0!</v>
      </c>
      <c r="X307" s="245">
        <v>215</v>
      </c>
      <c r="Y307" s="245">
        <v>400</v>
      </c>
      <c r="Z307" s="245">
        <v>400</v>
      </c>
      <c r="AA307" s="238">
        <v>1053.40856</v>
      </c>
      <c r="AB307" s="149">
        <v>536.47734</v>
      </c>
      <c r="AC307" s="149">
        <f>159.01545+289.96935+7.48308</f>
        <v>456.46788</v>
      </c>
      <c r="AD307" s="149">
        <v>537.305</v>
      </c>
      <c r="AE307" s="149">
        <v>47.23</v>
      </c>
      <c r="AF307" s="149">
        <v>0</v>
      </c>
      <c r="AG307" s="149">
        <v>0</v>
      </c>
      <c r="AH307" s="149">
        <v>22.299</v>
      </c>
      <c r="AI307" s="149">
        <v>623.59</v>
      </c>
      <c r="AJ307" s="149">
        <v>537.305</v>
      </c>
      <c r="AK307" s="246" t="s">
        <v>724</v>
      </c>
      <c r="AL307" s="151"/>
      <c r="AM307" s="152" t="s">
        <v>734</v>
      </c>
      <c r="AN307" s="153" t="s">
        <v>735</v>
      </c>
      <c r="AO307" s="201">
        <f>AA307/X307*1000</f>
        <v>4899.574697674419</v>
      </c>
      <c r="AP307" s="154">
        <f t="shared" si="121"/>
        <v>2.6335214000000002</v>
      </c>
      <c r="AQ307" s="161"/>
      <c r="AR307" s="161"/>
      <c r="AS307" s="161"/>
      <c r="AT307" s="238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56"/>
      <c r="BE307" s="156"/>
      <c r="BF307" s="156"/>
      <c r="BG307" s="153"/>
      <c r="BH307" s="154" t="e">
        <f>AT307/AQ307*1000</f>
        <v>#DIV/0!</v>
      </c>
      <c r="BI307" s="154" t="e">
        <f>AT307/AR307</f>
        <v>#DIV/0!</v>
      </c>
      <c r="BJ307" s="415">
        <f t="shared" si="98"/>
        <v>215</v>
      </c>
      <c r="BK307" s="415">
        <f t="shared" si="99"/>
        <v>400</v>
      </c>
      <c r="BL307" s="415">
        <f t="shared" si="100"/>
        <v>400</v>
      </c>
      <c r="BM307" s="415">
        <f t="shared" si="101"/>
        <v>1053.40856</v>
      </c>
    </row>
    <row r="308" spans="1:65" s="129" customFormat="1" ht="14.25">
      <c r="A308" s="141"/>
      <c r="B308" s="179"/>
      <c r="C308" s="158"/>
      <c r="D308" s="144"/>
      <c r="E308" s="146"/>
      <c r="F308" s="146"/>
      <c r="G308" s="165"/>
      <c r="H308" s="221"/>
      <c r="I308" s="149"/>
      <c r="J308" s="149"/>
      <c r="K308" s="149"/>
      <c r="L308" s="149"/>
      <c r="M308" s="149"/>
      <c r="N308" s="149"/>
      <c r="O308" s="149"/>
      <c r="P308" s="149"/>
      <c r="Q308" s="149"/>
      <c r="R308" s="156"/>
      <c r="S308" s="156"/>
      <c r="T308" s="152"/>
      <c r="U308" s="153"/>
      <c r="V308" s="154" t="e">
        <f>H308/E308*1000</f>
        <v>#DIV/0!</v>
      </c>
      <c r="W308" s="154" t="e">
        <f t="shared" si="120"/>
        <v>#DIV/0!</v>
      </c>
      <c r="X308" s="155"/>
      <c r="Y308" s="146"/>
      <c r="Z308" s="165"/>
      <c r="AA308" s="221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56"/>
      <c r="AL308" s="156"/>
      <c r="AM308" s="156"/>
      <c r="AN308" s="153"/>
      <c r="AO308" s="201" t="e">
        <f>AA308/X308*1000</f>
        <v>#DIV/0!</v>
      </c>
      <c r="AP308" s="154" t="e">
        <f t="shared" si="121"/>
        <v>#DIV/0!</v>
      </c>
      <c r="AQ308" s="146"/>
      <c r="AR308" s="146"/>
      <c r="AS308" s="147"/>
      <c r="AT308" s="221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56"/>
      <c r="BE308" s="156"/>
      <c r="BF308" s="156"/>
      <c r="BG308" s="153"/>
      <c r="BH308" s="154" t="e">
        <f>AT308/AQ308*1000</f>
        <v>#DIV/0!</v>
      </c>
      <c r="BI308" s="154" t="e">
        <f>AT308/AR308</f>
        <v>#DIV/0!</v>
      </c>
      <c r="BJ308" s="415">
        <f t="shared" si="98"/>
        <v>0</v>
      </c>
      <c r="BK308" s="415">
        <f t="shared" si="99"/>
        <v>0</v>
      </c>
      <c r="BL308" s="415">
        <f t="shared" si="100"/>
        <v>0</v>
      </c>
      <c r="BM308" s="415">
        <f t="shared" si="101"/>
        <v>0</v>
      </c>
    </row>
    <row r="309" spans="1:65" s="129" customFormat="1" ht="88.5" customHeight="1">
      <c r="A309" s="247" t="s">
        <v>736</v>
      </c>
      <c r="B309" s="248" t="s">
        <v>737</v>
      </c>
      <c r="C309" s="249"/>
      <c r="D309" s="250"/>
      <c r="E309" s="251">
        <f aca="true" t="shared" si="122" ref="E309:Q309">E310+E316</f>
        <v>0</v>
      </c>
      <c r="F309" s="251">
        <f>F310+F316</f>
        <v>65</v>
      </c>
      <c r="G309" s="251">
        <f>G310+G316</f>
        <v>65</v>
      </c>
      <c r="H309" s="252">
        <f t="shared" si="122"/>
        <v>840.87861</v>
      </c>
      <c r="I309" s="252">
        <f t="shared" si="122"/>
        <v>290.45957</v>
      </c>
      <c r="J309" s="252">
        <f t="shared" si="122"/>
        <v>504.95149000000004</v>
      </c>
      <c r="K309" s="252">
        <f t="shared" si="122"/>
        <v>42.699000000000005</v>
      </c>
      <c r="L309" s="252">
        <f t="shared" si="122"/>
        <v>13.73751</v>
      </c>
      <c r="M309" s="252">
        <f t="shared" si="122"/>
        <v>0</v>
      </c>
      <c r="N309" s="252">
        <f t="shared" si="122"/>
        <v>0</v>
      </c>
      <c r="O309" s="252">
        <f t="shared" si="122"/>
        <v>37.52188</v>
      </c>
      <c r="P309" s="252">
        <f t="shared" si="122"/>
        <v>504.95149000000004</v>
      </c>
      <c r="Q309" s="252">
        <f t="shared" si="122"/>
        <v>299.891</v>
      </c>
      <c r="R309" s="253"/>
      <c r="S309" s="253"/>
      <c r="T309" s="254"/>
      <c r="U309" s="255"/>
      <c r="V309" s="256"/>
      <c r="W309" s="256">
        <f t="shared" si="120"/>
        <v>12.936594</v>
      </c>
      <c r="X309" s="251">
        <f aca="true" t="shared" si="123" ref="X309:AJ309">X310+X316</f>
        <v>0</v>
      </c>
      <c r="Y309" s="251">
        <f t="shared" si="123"/>
        <v>50</v>
      </c>
      <c r="Z309" s="251">
        <f t="shared" si="123"/>
        <v>50</v>
      </c>
      <c r="AA309" s="252">
        <f t="shared" si="123"/>
        <v>135.20595</v>
      </c>
      <c r="AB309" s="252">
        <f t="shared" si="123"/>
        <v>99.64918</v>
      </c>
      <c r="AC309" s="252">
        <f t="shared" si="123"/>
        <v>78.38983</v>
      </c>
      <c r="AD309" s="252">
        <f>AE310+AE316</f>
        <v>4.59969</v>
      </c>
      <c r="AE309" s="252">
        <f t="shared" si="123"/>
        <v>4.59969</v>
      </c>
      <c r="AF309" s="252">
        <f t="shared" si="123"/>
        <v>0</v>
      </c>
      <c r="AG309" s="252">
        <f>AE310+AE316</f>
        <v>4.59969</v>
      </c>
      <c r="AH309" s="252">
        <f t="shared" si="123"/>
        <v>11.02225</v>
      </c>
      <c r="AI309" s="252">
        <f t="shared" si="123"/>
        <v>78.38983</v>
      </c>
      <c r="AJ309" s="252">
        <f t="shared" si="123"/>
        <v>21.259</v>
      </c>
      <c r="AK309" s="253"/>
      <c r="AL309" s="253"/>
      <c r="AM309" s="253"/>
      <c r="AN309" s="255"/>
      <c r="AO309" s="256"/>
      <c r="AP309" s="256">
        <f t="shared" si="121"/>
        <v>2.704119</v>
      </c>
      <c r="AQ309" s="251">
        <f aca="true" t="shared" si="124" ref="AQ309:BC309">AQ310+AQ316</f>
        <v>0</v>
      </c>
      <c r="AR309" s="251">
        <f t="shared" si="124"/>
        <v>100</v>
      </c>
      <c r="AS309" s="251">
        <f t="shared" si="124"/>
        <v>100</v>
      </c>
      <c r="AT309" s="252">
        <f t="shared" si="124"/>
        <v>222.745</v>
      </c>
      <c r="AU309" s="252">
        <f t="shared" si="124"/>
        <v>177.238</v>
      </c>
      <c r="AV309" s="252">
        <f t="shared" si="124"/>
        <v>146.18644</v>
      </c>
      <c r="AW309" s="252">
        <f>AX310+AX316</f>
        <v>0</v>
      </c>
      <c r="AX309" s="252">
        <f t="shared" si="124"/>
        <v>0</v>
      </c>
      <c r="AY309" s="252">
        <f t="shared" si="124"/>
        <v>0</v>
      </c>
      <c r="AZ309" s="252">
        <f t="shared" si="124"/>
        <v>0</v>
      </c>
      <c r="BA309" s="252">
        <f t="shared" si="124"/>
        <v>0</v>
      </c>
      <c r="BB309" s="252">
        <f t="shared" si="124"/>
        <v>146.18644</v>
      </c>
      <c r="BC309" s="252">
        <f t="shared" si="124"/>
        <v>9.958</v>
      </c>
      <c r="BD309" s="253"/>
      <c r="BE309" s="253"/>
      <c r="BF309" s="253"/>
      <c r="BG309" s="255"/>
      <c r="BH309" s="256"/>
      <c r="BI309" s="256">
        <f t="shared" si="44"/>
        <v>2.22745</v>
      </c>
      <c r="BJ309" s="415">
        <f t="shared" si="98"/>
        <v>0</v>
      </c>
      <c r="BK309" s="415">
        <f t="shared" si="99"/>
        <v>215</v>
      </c>
      <c r="BL309" s="415">
        <f t="shared" si="100"/>
        <v>215</v>
      </c>
      <c r="BM309" s="415">
        <f t="shared" si="101"/>
        <v>1198.8295600000001</v>
      </c>
    </row>
    <row r="310" spans="1:65" s="129" customFormat="1" ht="24.75" customHeight="1">
      <c r="A310" s="130" t="s">
        <v>114</v>
      </c>
      <c r="B310" s="131" t="s">
        <v>738</v>
      </c>
      <c r="C310" s="132"/>
      <c r="D310" s="133">
        <v>6</v>
      </c>
      <c r="E310" s="134">
        <f aca="true" t="shared" si="125" ref="E310:Q310">SUM(E311:E315)</f>
        <v>0</v>
      </c>
      <c r="F310" s="134">
        <f>SUM(F311:F315)</f>
        <v>50</v>
      </c>
      <c r="G310" s="134">
        <f>SUM(G311:G315)</f>
        <v>50</v>
      </c>
      <c r="H310" s="135">
        <f t="shared" si="125"/>
        <v>546.7646100000001</v>
      </c>
      <c r="I310" s="135">
        <f t="shared" si="125"/>
        <v>290.45957</v>
      </c>
      <c r="J310" s="135">
        <f t="shared" si="125"/>
        <v>247.7596</v>
      </c>
      <c r="K310" s="135">
        <f t="shared" si="125"/>
        <v>42.699000000000005</v>
      </c>
      <c r="L310" s="135">
        <f t="shared" si="125"/>
        <v>10.80451</v>
      </c>
      <c r="M310" s="135">
        <f t="shared" si="125"/>
        <v>0</v>
      </c>
      <c r="N310" s="135">
        <f t="shared" si="125"/>
        <v>0</v>
      </c>
      <c r="O310" s="135">
        <f t="shared" si="125"/>
        <v>30.910880000000002</v>
      </c>
      <c r="P310" s="135">
        <f t="shared" si="125"/>
        <v>247.7596</v>
      </c>
      <c r="Q310" s="135">
        <f t="shared" si="125"/>
        <v>42.699000000000005</v>
      </c>
      <c r="R310" s="136"/>
      <c r="S310" s="136"/>
      <c r="T310" s="137"/>
      <c r="U310" s="138"/>
      <c r="V310" s="139"/>
      <c r="W310" s="139">
        <f t="shared" si="120"/>
        <v>10.935292200000001</v>
      </c>
      <c r="X310" s="134">
        <f aca="true" t="shared" si="126" ref="X310:AJ310">SUM(X311:X315)</f>
        <v>0</v>
      </c>
      <c r="Y310" s="134">
        <f t="shared" si="126"/>
        <v>50</v>
      </c>
      <c r="Z310" s="134">
        <f t="shared" si="126"/>
        <v>50</v>
      </c>
      <c r="AA310" s="135">
        <f t="shared" si="126"/>
        <v>135.20595</v>
      </c>
      <c r="AB310" s="135">
        <f t="shared" si="126"/>
        <v>99.64918</v>
      </c>
      <c r="AC310" s="135">
        <f t="shared" si="126"/>
        <v>78.38983</v>
      </c>
      <c r="AD310" s="135">
        <f>SUM(AE311:AE315)</f>
        <v>4.59969</v>
      </c>
      <c r="AE310" s="135">
        <f t="shared" si="126"/>
        <v>4.59969</v>
      </c>
      <c r="AF310" s="135">
        <f t="shared" si="126"/>
        <v>0</v>
      </c>
      <c r="AG310" s="135">
        <f>SUM(AE311:AE315)</f>
        <v>4.59969</v>
      </c>
      <c r="AH310" s="135">
        <f t="shared" si="126"/>
        <v>11.02225</v>
      </c>
      <c r="AI310" s="135">
        <f t="shared" si="126"/>
        <v>78.38983</v>
      </c>
      <c r="AJ310" s="135">
        <f t="shared" si="126"/>
        <v>21.259</v>
      </c>
      <c r="AK310" s="136"/>
      <c r="AL310" s="136"/>
      <c r="AM310" s="136"/>
      <c r="AN310" s="138"/>
      <c r="AO310" s="139"/>
      <c r="AP310" s="139">
        <f t="shared" si="121"/>
        <v>2.704119</v>
      </c>
      <c r="AQ310" s="134">
        <f aca="true" t="shared" si="127" ref="AQ310:BC310">SUM(AQ311:AQ315)</f>
        <v>0</v>
      </c>
      <c r="AR310" s="134">
        <f t="shared" si="127"/>
        <v>0</v>
      </c>
      <c r="AS310" s="134">
        <f t="shared" si="127"/>
        <v>0</v>
      </c>
      <c r="AT310" s="135">
        <f t="shared" si="127"/>
        <v>0</v>
      </c>
      <c r="AU310" s="135">
        <f t="shared" si="127"/>
        <v>0</v>
      </c>
      <c r="AV310" s="135">
        <f t="shared" si="127"/>
        <v>0</v>
      </c>
      <c r="AW310" s="135">
        <f>SUM(AX311:AX315)</f>
        <v>0</v>
      </c>
      <c r="AX310" s="135">
        <f t="shared" si="127"/>
        <v>0</v>
      </c>
      <c r="AY310" s="135">
        <f t="shared" si="127"/>
        <v>0</v>
      </c>
      <c r="AZ310" s="135">
        <f t="shared" si="127"/>
        <v>0</v>
      </c>
      <c r="BA310" s="135">
        <f t="shared" si="127"/>
        <v>0</v>
      </c>
      <c r="BB310" s="135">
        <f t="shared" si="127"/>
        <v>0</v>
      </c>
      <c r="BC310" s="135">
        <f t="shared" si="127"/>
        <v>0</v>
      </c>
      <c r="BD310" s="136"/>
      <c r="BE310" s="136"/>
      <c r="BF310" s="136"/>
      <c r="BG310" s="138"/>
      <c r="BH310" s="139"/>
      <c r="BI310" s="139" t="e">
        <f t="shared" si="44"/>
        <v>#DIV/0!</v>
      </c>
      <c r="BJ310" s="415">
        <f t="shared" si="98"/>
        <v>0</v>
      </c>
      <c r="BK310" s="415">
        <f t="shared" si="99"/>
        <v>100</v>
      </c>
      <c r="BL310" s="415">
        <f t="shared" si="100"/>
        <v>100</v>
      </c>
      <c r="BM310" s="415">
        <f t="shared" si="101"/>
        <v>681.9705600000001</v>
      </c>
    </row>
    <row r="311" spans="1:65" s="129" customFormat="1" ht="18.75" outlineLevel="1">
      <c r="A311" s="141" t="s">
        <v>116</v>
      </c>
      <c r="B311" s="257" t="s">
        <v>624</v>
      </c>
      <c r="C311" s="258" t="s">
        <v>625</v>
      </c>
      <c r="D311" s="102">
        <v>6</v>
      </c>
      <c r="E311" s="259"/>
      <c r="F311" s="260">
        <v>20</v>
      </c>
      <c r="G311" s="260">
        <v>20</v>
      </c>
      <c r="H311" s="261">
        <v>295.90381</v>
      </c>
      <c r="I311" s="262">
        <v>113.263</v>
      </c>
      <c r="J311" s="262">
        <v>92.76101</v>
      </c>
      <c r="K311" s="262">
        <v>20.501</v>
      </c>
      <c r="L311" s="262">
        <v>4.032</v>
      </c>
      <c r="M311" s="262">
        <v>0</v>
      </c>
      <c r="N311" s="262">
        <v>0</v>
      </c>
      <c r="O311" s="262">
        <v>9.592</v>
      </c>
      <c r="P311" s="262">
        <v>92.76101</v>
      </c>
      <c r="Q311" s="149">
        <v>20.501</v>
      </c>
      <c r="R311" s="150" t="s">
        <v>119</v>
      </c>
      <c r="S311" s="151" t="s">
        <v>120</v>
      </c>
      <c r="T311" s="152"/>
      <c r="U311" s="153">
        <v>375</v>
      </c>
      <c r="V311" s="154"/>
      <c r="W311" s="154">
        <f t="shared" si="120"/>
        <v>14.7951905</v>
      </c>
      <c r="X311" s="203"/>
      <c r="Y311" s="161"/>
      <c r="Z311" s="161"/>
      <c r="AA311" s="148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50"/>
      <c r="AL311" s="151"/>
      <c r="AM311" s="156"/>
      <c r="AN311" s="153"/>
      <c r="AO311" s="201"/>
      <c r="AP311" s="154" t="e">
        <f t="shared" si="121"/>
        <v>#DIV/0!</v>
      </c>
      <c r="AQ311" s="165"/>
      <c r="AR311" s="161"/>
      <c r="AS311" s="161"/>
      <c r="AT311" s="148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56"/>
      <c r="BE311" s="156"/>
      <c r="BF311" s="156"/>
      <c r="BG311" s="153"/>
      <c r="BH311" s="154"/>
      <c r="BI311" s="154" t="e">
        <f t="shared" si="44"/>
        <v>#DIV/0!</v>
      </c>
      <c r="BJ311" s="415">
        <f t="shared" si="98"/>
        <v>0</v>
      </c>
      <c r="BK311" s="415">
        <f t="shared" si="99"/>
        <v>20</v>
      </c>
      <c r="BL311" s="415">
        <f t="shared" si="100"/>
        <v>20</v>
      </c>
      <c r="BM311" s="415">
        <f t="shared" si="101"/>
        <v>295.90381</v>
      </c>
    </row>
    <row r="312" spans="1:65" s="129" customFormat="1" ht="18.75" outlineLevel="1">
      <c r="A312" s="141" t="s">
        <v>121</v>
      </c>
      <c r="B312" s="142" t="s">
        <v>159</v>
      </c>
      <c r="C312" s="158" t="s">
        <v>160</v>
      </c>
      <c r="D312" s="102">
        <v>6</v>
      </c>
      <c r="E312" s="259"/>
      <c r="F312" s="260">
        <v>15</v>
      </c>
      <c r="G312" s="260">
        <v>15</v>
      </c>
      <c r="H312" s="261">
        <v>141.1318</v>
      </c>
      <c r="I312" s="262">
        <v>106.16557</v>
      </c>
      <c r="J312" s="262">
        <v>93.68644</v>
      </c>
      <c r="K312" s="262">
        <v>12.479</v>
      </c>
      <c r="L312" s="262">
        <v>3.65651</v>
      </c>
      <c r="M312" s="262">
        <v>0</v>
      </c>
      <c r="N312" s="262">
        <v>0</v>
      </c>
      <c r="O312" s="262">
        <v>10.24088</v>
      </c>
      <c r="P312" s="262">
        <v>93.68644</v>
      </c>
      <c r="Q312" s="149">
        <v>12.479</v>
      </c>
      <c r="R312" s="150" t="s">
        <v>119</v>
      </c>
      <c r="S312" s="151" t="s">
        <v>120</v>
      </c>
      <c r="T312" s="152"/>
      <c r="U312" s="153">
        <v>41</v>
      </c>
      <c r="V312" s="154"/>
      <c r="W312" s="154">
        <f t="shared" si="120"/>
        <v>9.408786666666666</v>
      </c>
      <c r="X312" s="203"/>
      <c r="Y312" s="161"/>
      <c r="Z312" s="161"/>
      <c r="AA312" s="148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50"/>
      <c r="AL312" s="151"/>
      <c r="AM312" s="156"/>
      <c r="AN312" s="153"/>
      <c r="AO312" s="201"/>
      <c r="AP312" s="154" t="e">
        <f t="shared" si="121"/>
        <v>#DIV/0!</v>
      </c>
      <c r="AQ312" s="165"/>
      <c r="AR312" s="161"/>
      <c r="AS312" s="161"/>
      <c r="AT312" s="148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56"/>
      <c r="BE312" s="156"/>
      <c r="BF312" s="156"/>
      <c r="BG312" s="153"/>
      <c r="BH312" s="154"/>
      <c r="BI312" s="154" t="e">
        <f t="shared" si="44"/>
        <v>#DIV/0!</v>
      </c>
      <c r="BJ312" s="415">
        <f t="shared" si="98"/>
        <v>0</v>
      </c>
      <c r="BK312" s="415">
        <f t="shared" si="99"/>
        <v>15</v>
      </c>
      <c r="BL312" s="415">
        <f t="shared" si="100"/>
        <v>15</v>
      </c>
      <c r="BM312" s="415">
        <f t="shared" si="101"/>
        <v>141.1318</v>
      </c>
    </row>
    <row r="313" spans="1:65" s="129" customFormat="1" ht="18.75" outlineLevel="1">
      <c r="A313" s="141" t="s">
        <v>124</v>
      </c>
      <c r="B313" s="142" t="s">
        <v>659</v>
      </c>
      <c r="C313" s="158" t="s">
        <v>660</v>
      </c>
      <c r="D313" s="102">
        <v>6</v>
      </c>
      <c r="E313" s="259"/>
      <c r="F313" s="260">
        <v>15</v>
      </c>
      <c r="G313" s="260">
        <v>15</v>
      </c>
      <c r="H313" s="261">
        <v>109.729</v>
      </c>
      <c r="I313" s="262">
        <v>71.031</v>
      </c>
      <c r="J313" s="262">
        <v>61.31215</v>
      </c>
      <c r="K313" s="262">
        <v>9.719</v>
      </c>
      <c r="L313" s="262">
        <v>3.116</v>
      </c>
      <c r="M313" s="262">
        <v>0</v>
      </c>
      <c r="N313" s="262">
        <v>0</v>
      </c>
      <c r="O313" s="262">
        <v>11.078</v>
      </c>
      <c r="P313" s="262">
        <v>61.31215</v>
      </c>
      <c r="Q313" s="149">
        <v>9.719</v>
      </c>
      <c r="R313" s="150" t="s">
        <v>119</v>
      </c>
      <c r="S313" s="151" t="s">
        <v>120</v>
      </c>
      <c r="T313" s="152"/>
      <c r="U313" s="153">
        <v>87</v>
      </c>
      <c r="V313" s="154"/>
      <c r="W313" s="154">
        <f t="shared" si="120"/>
        <v>7.315266666666667</v>
      </c>
      <c r="X313" s="203"/>
      <c r="Y313" s="161"/>
      <c r="Z313" s="161"/>
      <c r="AA313" s="148"/>
      <c r="AB313" s="149"/>
      <c r="AC313" s="149"/>
      <c r="AD313" s="149"/>
      <c r="AE313" s="149"/>
      <c r="AF313" s="149"/>
      <c r="AG313" s="149"/>
      <c r="AH313" s="149"/>
      <c r="AI313" s="149"/>
      <c r="AJ313" s="149"/>
      <c r="AK313" s="150"/>
      <c r="AL313" s="151"/>
      <c r="AM313" s="156"/>
      <c r="AN313" s="153"/>
      <c r="AO313" s="201"/>
      <c r="AP313" s="154" t="e">
        <f t="shared" si="121"/>
        <v>#DIV/0!</v>
      </c>
      <c r="AQ313" s="165"/>
      <c r="AR313" s="161"/>
      <c r="AS313" s="161"/>
      <c r="AT313" s="148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56"/>
      <c r="BE313" s="156"/>
      <c r="BF313" s="156"/>
      <c r="BG313" s="153"/>
      <c r="BH313" s="154"/>
      <c r="BI313" s="154" t="e">
        <f t="shared" si="44"/>
        <v>#DIV/0!</v>
      </c>
      <c r="BJ313" s="415">
        <f t="shared" si="98"/>
        <v>0</v>
      </c>
      <c r="BK313" s="415">
        <f t="shared" si="99"/>
        <v>15</v>
      </c>
      <c r="BL313" s="415">
        <f t="shared" si="100"/>
        <v>15</v>
      </c>
      <c r="BM313" s="415">
        <f t="shared" si="101"/>
        <v>109.729</v>
      </c>
    </row>
    <row r="314" spans="1:65" s="129" customFormat="1" ht="18.75" outlineLevel="1">
      <c r="A314" s="141" t="s">
        <v>127</v>
      </c>
      <c r="B314" s="159" t="s">
        <v>671</v>
      </c>
      <c r="C314" s="160" t="s">
        <v>672</v>
      </c>
      <c r="D314" s="144">
        <v>6</v>
      </c>
      <c r="E314" s="165"/>
      <c r="F314" s="161"/>
      <c r="G314" s="161"/>
      <c r="H314" s="162"/>
      <c r="I314" s="149"/>
      <c r="J314" s="149"/>
      <c r="K314" s="149"/>
      <c r="L314" s="149"/>
      <c r="M314" s="149"/>
      <c r="N314" s="149"/>
      <c r="O314" s="149"/>
      <c r="P314" s="149"/>
      <c r="Q314" s="149"/>
      <c r="R314" s="156"/>
      <c r="S314" s="156"/>
      <c r="T314" s="152"/>
      <c r="U314" s="153"/>
      <c r="V314" s="154"/>
      <c r="W314" s="154" t="e">
        <f t="shared" si="120"/>
        <v>#DIV/0!</v>
      </c>
      <c r="X314" s="203"/>
      <c r="Y314" s="161">
        <v>50</v>
      </c>
      <c r="Z314" s="161">
        <v>50</v>
      </c>
      <c r="AA314" s="162">
        <v>135.20595</v>
      </c>
      <c r="AB314" s="149">
        <v>99.64918</v>
      </c>
      <c r="AC314" s="149">
        <v>78.38983</v>
      </c>
      <c r="AD314" s="149">
        <v>21.259</v>
      </c>
      <c r="AE314" s="149">
        <v>4.59969</v>
      </c>
      <c r="AF314" s="149">
        <v>0</v>
      </c>
      <c r="AG314" s="149">
        <v>0</v>
      </c>
      <c r="AH314" s="149">
        <v>11.02225</v>
      </c>
      <c r="AI314" s="149">
        <v>78.38983</v>
      </c>
      <c r="AJ314" s="149">
        <v>21.259</v>
      </c>
      <c r="AK314" s="150" t="s">
        <v>119</v>
      </c>
      <c r="AL314" s="151" t="s">
        <v>120</v>
      </c>
      <c r="AM314" s="156"/>
      <c r="AN314" s="153">
        <v>136</v>
      </c>
      <c r="AO314" s="201"/>
      <c r="AP314" s="154">
        <f t="shared" si="121"/>
        <v>2.704119</v>
      </c>
      <c r="AQ314" s="165"/>
      <c r="AR314" s="161"/>
      <c r="AS314" s="161"/>
      <c r="AT314" s="162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56"/>
      <c r="BE314" s="156"/>
      <c r="BF314" s="156"/>
      <c r="BG314" s="153"/>
      <c r="BH314" s="154"/>
      <c r="BI314" s="154" t="e">
        <f t="shared" si="44"/>
        <v>#DIV/0!</v>
      </c>
      <c r="BJ314" s="415">
        <f t="shared" si="98"/>
        <v>0</v>
      </c>
      <c r="BK314" s="415">
        <f t="shared" si="99"/>
        <v>50</v>
      </c>
      <c r="BL314" s="415">
        <f t="shared" si="100"/>
        <v>50</v>
      </c>
      <c r="BM314" s="415">
        <f t="shared" si="101"/>
        <v>135.20595</v>
      </c>
    </row>
    <row r="315" spans="1:65" s="129" customFormat="1" ht="14.25">
      <c r="A315" s="141"/>
      <c r="B315" s="179"/>
      <c r="C315" s="158"/>
      <c r="D315" s="144"/>
      <c r="E315" s="165"/>
      <c r="F315" s="146"/>
      <c r="G315" s="146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56"/>
      <c r="S315" s="156"/>
      <c r="T315" s="152"/>
      <c r="U315" s="153"/>
      <c r="V315" s="154"/>
      <c r="W315" s="154" t="e">
        <f t="shared" si="120"/>
        <v>#DIV/0!</v>
      </c>
      <c r="X315" s="203"/>
      <c r="Y315" s="146"/>
      <c r="Z315" s="165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56"/>
      <c r="AL315" s="156"/>
      <c r="AM315" s="156"/>
      <c r="AN315" s="153"/>
      <c r="AO315" s="201"/>
      <c r="AP315" s="154" t="e">
        <f t="shared" si="121"/>
        <v>#DIV/0!</v>
      </c>
      <c r="AQ315" s="165"/>
      <c r="AR315" s="146"/>
      <c r="AS315" s="147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56"/>
      <c r="BE315" s="156"/>
      <c r="BF315" s="156"/>
      <c r="BG315" s="153"/>
      <c r="BH315" s="154"/>
      <c r="BI315" s="154" t="e">
        <f t="shared" si="44"/>
        <v>#DIV/0!</v>
      </c>
      <c r="BJ315" s="415">
        <f t="shared" si="98"/>
        <v>0</v>
      </c>
      <c r="BK315" s="415">
        <f t="shared" si="99"/>
        <v>0</v>
      </c>
      <c r="BL315" s="415">
        <f t="shared" si="100"/>
        <v>0</v>
      </c>
      <c r="BM315" s="415">
        <f t="shared" si="101"/>
        <v>0</v>
      </c>
    </row>
    <row r="316" spans="1:65" s="129" customFormat="1" ht="24.75" customHeight="1">
      <c r="A316" s="130" t="s">
        <v>144</v>
      </c>
      <c r="B316" s="131" t="s">
        <v>739</v>
      </c>
      <c r="C316" s="132"/>
      <c r="D316" s="133">
        <v>6</v>
      </c>
      <c r="E316" s="134">
        <f>SUM(E317:E319)</f>
        <v>0</v>
      </c>
      <c r="F316" s="134">
        <f>SUM(F317:F319)</f>
        <v>15</v>
      </c>
      <c r="G316" s="134">
        <f>SUM(G317:G319)</f>
        <v>15</v>
      </c>
      <c r="H316" s="135">
        <f>SUM(H317:H319)</f>
        <v>294.114</v>
      </c>
      <c r="I316" s="135">
        <f aca="true" t="shared" si="128" ref="I316:Q316">SUM(I317:I319)</f>
        <v>0</v>
      </c>
      <c r="J316" s="135">
        <f t="shared" si="128"/>
        <v>257.19189</v>
      </c>
      <c r="K316" s="135">
        <f t="shared" si="128"/>
        <v>0</v>
      </c>
      <c r="L316" s="135">
        <f t="shared" si="128"/>
        <v>2.933</v>
      </c>
      <c r="M316" s="135">
        <f t="shared" si="128"/>
        <v>0</v>
      </c>
      <c r="N316" s="135">
        <f t="shared" si="128"/>
        <v>0</v>
      </c>
      <c r="O316" s="135">
        <f t="shared" si="128"/>
        <v>6.611</v>
      </c>
      <c r="P316" s="135">
        <f t="shared" si="128"/>
        <v>257.19189</v>
      </c>
      <c r="Q316" s="135">
        <f t="shared" si="128"/>
        <v>257.192</v>
      </c>
      <c r="R316" s="136"/>
      <c r="S316" s="136"/>
      <c r="T316" s="137"/>
      <c r="U316" s="138"/>
      <c r="V316" s="139"/>
      <c r="W316" s="139">
        <f t="shared" si="120"/>
        <v>19.607599999999998</v>
      </c>
      <c r="X316" s="134">
        <f>SUM(X317:X319)</f>
        <v>0</v>
      </c>
      <c r="Y316" s="134">
        <f>SUM(Y317:Y319)</f>
        <v>0</v>
      </c>
      <c r="Z316" s="134">
        <f>SUM(Z317:Z319)</f>
        <v>0</v>
      </c>
      <c r="AA316" s="135">
        <f>SUM(AA317:AA319)</f>
        <v>0</v>
      </c>
      <c r="AB316" s="135">
        <f aca="true" t="shared" si="129" ref="AB316:AJ316">SUM(AB317:AB319)</f>
        <v>0</v>
      </c>
      <c r="AC316" s="135">
        <f t="shared" si="129"/>
        <v>0</v>
      </c>
      <c r="AD316" s="135">
        <f>SUM(AE317:AE319)</f>
        <v>0</v>
      </c>
      <c r="AE316" s="135">
        <f t="shared" si="129"/>
        <v>0</v>
      </c>
      <c r="AF316" s="135">
        <f t="shared" si="129"/>
        <v>0</v>
      </c>
      <c r="AG316" s="135">
        <f>SUM(AE317:AE319)</f>
        <v>0</v>
      </c>
      <c r="AH316" s="135">
        <f t="shared" si="129"/>
        <v>0</v>
      </c>
      <c r="AI316" s="135">
        <f t="shared" si="129"/>
        <v>0</v>
      </c>
      <c r="AJ316" s="135">
        <f t="shared" si="129"/>
        <v>0</v>
      </c>
      <c r="AK316" s="136"/>
      <c r="AL316" s="136"/>
      <c r="AM316" s="136"/>
      <c r="AN316" s="138"/>
      <c r="AO316" s="139"/>
      <c r="AP316" s="139" t="e">
        <f t="shared" si="121"/>
        <v>#DIV/0!</v>
      </c>
      <c r="AQ316" s="134">
        <f>SUM(AQ317:AQ319)</f>
        <v>0</v>
      </c>
      <c r="AR316" s="134">
        <f>SUM(AR317:AR319)</f>
        <v>100</v>
      </c>
      <c r="AS316" s="134">
        <f>SUM(AS317:AS319)</f>
        <v>100</v>
      </c>
      <c r="AT316" s="135">
        <f>SUM(AT317:AT319)</f>
        <v>222.745</v>
      </c>
      <c r="AU316" s="135">
        <f aca="true" t="shared" si="130" ref="AU316:BC316">SUM(AU317:AU319)</f>
        <v>177.238</v>
      </c>
      <c r="AV316" s="135">
        <f t="shared" si="130"/>
        <v>146.18644</v>
      </c>
      <c r="AW316" s="135">
        <f>SUM(AX317:AX319)</f>
        <v>0</v>
      </c>
      <c r="AX316" s="135">
        <f t="shared" si="130"/>
        <v>0</v>
      </c>
      <c r="AY316" s="135">
        <f t="shared" si="130"/>
        <v>0</v>
      </c>
      <c r="AZ316" s="135">
        <f t="shared" si="130"/>
        <v>0</v>
      </c>
      <c r="BA316" s="135">
        <f t="shared" si="130"/>
        <v>0</v>
      </c>
      <c r="BB316" s="135">
        <f t="shared" si="130"/>
        <v>146.18644</v>
      </c>
      <c r="BC316" s="135">
        <f t="shared" si="130"/>
        <v>9.958</v>
      </c>
      <c r="BD316" s="136"/>
      <c r="BE316" s="136"/>
      <c r="BF316" s="136"/>
      <c r="BG316" s="138"/>
      <c r="BH316" s="139"/>
      <c r="BI316" s="139">
        <f t="shared" si="44"/>
        <v>2.22745</v>
      </c>
      <c r="BJ316" s="415">
        <f t="shared" si="98"/>
        <v>0</v>
      </c>
      <c r="BK316" s="415">
        <f t="shared" si="99"/>
        <v>115</v>
      </c>
      <c r="BL316" s="415">
        <f t="shared" si="100"/>
        <v>115</v>
      </c>
      <c r="BM316" s="415">
        <f t="shared" si="101"/>
        <v>516.8589999999999</v>
      </c>
    </row>
    <row r="317" spans="1:65" s="129" customFormat="1" ht="18.75" outlineLevel="1">
      <c r="A317" s="141" t="s">
        <v>146</v>
      </c>
      <c r="B317" s="257" t="s">
        <v>572</v>
      </c>
      <c r="C317" s="258" t="s">
        <v>573</v>
      </c>
      <c r="D317" s="144">
        <v>6</v>
      </c>
      <c r="E317" s="145"/>
      <c r="F317" s="260">
        <v>15</v>
      </c>
      <c r="G317" s="260">
        <v>15</v>
      </c>
      <c r="H317" s="261">
        <v>294.114</v>
      </c>
      <c r="I317" s="262">
        <v>0</v>
      </c>
      <c r="J317" s="262">
        <v>257.19189</v>
      </c>
      <c r="K317" s="262">
        <v>0</v>
      </c>
      <c r="L317" s="262">
        <v>2.933</v>
      </c>
      <c r="M317" s="262">
        <v>0</v>
      </c>
      <c r="N317" s="262">
        <v>0</v>
      </c>
      <c r="O317" s="262">
        <v>6.611</v>
      </c>
      <c r="P317" s="262">
        <v>257.19189</v>
      </c>
      <c r="Q317" s="149">
        <v>257.192</v>
      </c>
      <c r="R317" s="150" t="s">
        <v>119</v>
      </c>
      <c r="S317" s="151" t="s">
        <v>120</v>
      </c>
      <c r="T317" s="152"/>
      <c r="U317" s="153">
        <v>219</v>
      </c>
      <c r="V317" s="201"/>
      <c r="W317" s="154">
        <f t="shared" si="120"/>
        <v>19.607599999999998</v>
      </c>
      <c r="X317" s="155"/>
      <c r="Y317" s="146"/>
      <c r="Z317" s="165"/>
      <c r="AA317" s="166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56"/>
      <c r="AL317" s="156"/>
      <c r="AM317" s="156"/>
      <c r="AN317" s="153"/>
      <c r="AO317" s="201"/>
      <c r="AP317" s="154" t="e">
        <f t="shared" si="121"/>
        <v>#DIV/0!</v>
      </c>
      <c r="AQ317" s="145"/>
      <c r="AR317" s="146">
        <v>50</v>
      </c>
      <c r="AS317" s="147">
        <v>50</v>
      </c>
      <c r="AT317" s="263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50"/>
      <c r="BE317" s="151"/>
      <c r="BF317" s="156"/>
      <c r="BG317" s="153"/>
      <c r="BH317" s="154"/>
      <c r="BI317" s="154">
        <f t="shared" si="44"/>
        <v>0</v>
      </c>
      <c r="BJ317" s="415">
        <f t="shared" si="98"/>
        <v>0</v>
      </c>
      <c r="BK317" s="415">
        <f t="shared" si="99"/>
        <v>65</v>
      </c>
      <c r="BL317" s="415">
        <f t="shared" si="100"/>
        <v>65</v>
      </c>
      <c r="BM317" s="415">
        <f t="shared" si="101"/>
        <v>294.114</v>
      </c>
    </row>
    <row r="318" spans="1:65" s="129" customFormat="1" ht="18.75" outlineLevel="1">
      <c r="A318" s="141" t="s">
        <v>149</v>
      </c>
      <c r="B318" s="177" t="s">
        <v>675</v>
      </c>
      <c r="C318" s="158" t="s">
        <v>676</v>
      </c>
      <c r="D318" s="144">
        <v>6</v>
      </c>
      <c r="E318" s="145"/>
      <c r="F318" s="146"/>
      <c r="G318" s="146"/>
      <c r="H318" s="166"/>
      <c r="I318" s="149"/>
      <c r="J318" s="149"/>
      <c r="K318" s="149"/>
      <c r="L318" s="149"/>
      <c r="M318" s="149"/>
      <c r="N318" s="149"/>
      <c r="O318" s="149"/>
      <c r="P318" s="149"/>
      <c r="Q318" s="149"/>
      <c r="R318" s="156"/>
      <c r="S318" s="156"/>
      <c r="T318" s="152"/>
      <c r="U318" s="153"/>
      <c r="V318" s="201"/>
      <c r="W318" s="154" t="e">
        <f t="shared" si="120"/>
        <v>#DIV/0!</v>
      </c>
      <c r="X318" s="155"/>
      <c r="Y318" s="146"/>
      <c r="Z318" s="165"/>
      <c r="AA318" s="166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56"/>
      <c r="AL318" s="156"/>
      <c r="AM318" s="156"/>
      <c r="AN318" s="153"/>
      <c r="AO318" s="201"/>
      <c r="AP318" s="154" t="e">
        <f t="shared" si="121"/>
        <v>#DIV/0!</v>
      </c>
      <c r="AQ318" s="145"/>
      <c r="AR318" s="146">
        <v>50</v>
      </c>
      <c r="AS318" s="147">
        <v>50</v>
      </c>
      <c r="AT318" s="166">
        <v>222.745</v>
      </c>
      <c r="AU318" s="149">
        <v>177.238</v>
      </c>
      <c r="AV318" s="149">
        <v>146.18644</v>
      </c>
      <c r="AW318" s="149">
        <v>17.935</v>
      </c>
      <c r="AX318" s="149">
        <v>0</v>
      </c>
      <c r="AY318" s="149">
        <v>0</v>
      </c>
      <c r="AZ318" s="149">
        <v>0</v>
      </c>
      <c r="BA318" s="149" t="s">
        <v>740</v>
      </c>
      <c r="BB318" s="149">
        <v>146.18644</v>
      </c>
      <c r="BC318" s="149">
        <v>9.958</v>
      </c>
      <c r="BD318" s="150" t="s">
        <v>119</v>
      </c>
      <c r="BE318" s="151" t="s">
        <v>120</v>
      </c>
      <c r="BF318" s="156"/>
      <c r="BG318" s="153">
        <v>204</v>
      </c>
      <c r="BH318" s="154"/>
      <c r="BI318" s="154">
        <f t="shared" si="44"/>
        <v>4.4549</v>
      </c>
      <c r="BJ318" s="415">
        <f t="shared" si="98"/>
        <v>0</v>
      </c>
      <c r="BK318" s="415">
        <f t="shared" si="99"/>
        <v>50</v>
      </c>
      <c r="BL318" s="415">
        <f t="shared" si="100"/>
        <v>50</v>
      </c>
      <c r="BM318" s="415">
        <f t="shared" si="101"/>
        <v>222.745</v>
      </c>
    </row>
    <row r="319" spans="1:65" s="129" customFormat="1" ht="14.25">
      <c r="A319" s="141"/>
      <c r="B319" s="179"/>
      <c r="C319" s="158"/>
      <c r="D319" s="144"/>
      <c r="E319" s="146"/>
      <c r="F319" s="146"/>
      <c r="G319" s="146"/>
      <c r="H319" s="221"/>
      <c r="I319" s="149"/>
      <c r="J319" s="149"/>
      <c r="K319" s="149"/>
      <c r="L319" s="149"/>
      <c r="M319" s="149"/>
      <c r="N319" s="149"/>
      <c r="O319" s="149"/>
      <c r="P319" s="149"/>
      <c r="Q319" s="149"/>
      <c r="R319" s="156"/>
      <c r="S319" s="156"/>
      <c r="T319" s="152"/>
      <c r="U319" s="153"/>
      <c r="V319" s="154"/>
      <c r="W319" s="154" t="e">
        <f t="shared" si="120"/>
        <v>#DIV/0!</v>
      </c>
      <c r="X319" s="155"/>
      <c r="Y319" s="146"/>
      <c r="Z319" s="165"/>
      <c r="AA319" s="221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56"/>
      <c r="AL319" s="156"/>
      <c r="AM319" s="156"/>
      <c r="AN319" s="153"/>
      <c r="AO319" s="201"/>
      <c r="AP319" s="154" t="e">
        <f t="shared" si="121"/>
        <v>#DIV/0!</v>
      </c>
      <c r="AQ319" s="146"/>
      <c r="AR319" s="146"/>
      <c r="AS319" s="147"/>
      <c r="AT319" s="221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56"/>
      <c r="BE319" s="156"/>
      <c r="BF319" s="156"/>
      <c r="BG319" s="153"/>
      <c r="BH319" s="154"/>
      <c r="BI319" s="154" t="e">
        <f t="shared" si="44"/>
        <v>#DIV/0!</v>
      </c>
      <c r="BJ319" s="415">
        <f t="shared" si="98"/>
        <v>0</v>
      </c>
      <c r="BK319" s="415">
        <f t="shared" si="99"/>
        <v>0</v>
      </c>
      <c r="BL319" s="415">
        <f t="shared" si="100"/>
        <v>0</v>
      </c>
      <c r="BM319" s="415">
        <f t="shared" si="101"/>
        <v>0</v>
      </c>
    </row>
    <row r="320" spans="1:65" s="129" customFormat="1" ht="90" customHeight="1">
      <c r="A320" s="264" t="s">
        <v>741</v>
      </c>
      <c r="B320" s="265" t="s">
        <v>742</v>
      </c>
      <c r="C320" s="249"/>
      <c r="D320" s="266"/>
      <c r="E320" s="267">
        <f>E321+E324+E327+E332+E335</f>
        <v>0</v>
      </c>
      <c r="F320" s="267">
        <f>F321+F324+F327+F332+F335</f>
        <v>15</v>
      </c>
      <c r="G320" s="267">
        <f>G321+G324+G327+G332+G335</f>
        <v>15</v>
      </c>
      <c r="H320" s="268">
        <f>H321+H324+H327+H332+H335</f>
        <v>284.058</v>
      </c>
      <c r="I320" s="268">
        <f aca="true" t="shared" si="131" ref="I320:Q320">I321+I324+I327+I332+I335</f>
        <v>23.586</v>
      </c>
      <c r="J320" s="268">
        <f t="shared" si="131"/>
        <v>206.77966</v>
      </c>
      <c r="K320" s="268">
        <f t="shared" si="131"/>
        <v>23.586</v>
      </c>
      <c r="L320" s="268">
        <f t="shared" si="131"/>
        <v>14.911</v>
      </c>
      <c r="M320" s="268">
        <f t="shared" si="131"/>
        <v>0</v>
      </c>
      <c r="N320" s="268">
        <f t="shared" si="131"/>
        <v>0</v>
      </c>
      <c r="O320" s="268">
        <f t="shared" si="131"/>
        <v>8.799</v>
      </c>
      <c r="P320" s="268">
        <f t="shared" si="131"/>
        <v>206.77966</v>
      </c>
      <c r="Q320" s="268">
        <f t="shared" si="131"/>
        <v>206.78</v>
      </c>
      <c r="R320" s="269"/>
      <c r="S320" s="269"/>
      <c r="T320" s="270"/>
      <c r="U320" s="271"/>
      <c r="V320" s="272"/>
      <c r="W320" s="272">
        <f t="shared" si="76"/>
        <v>18.9372</v>
      </c>
      <c r="X320" s="267">
        <f>X321+X324+X327+X332+X335</f>
        <v>0</v>
      </c>
      <c r="Y320" s="267">
        <f>Y321+Y324+Y327+Y332+Y335</f>
        <v>574</v>
      </c>
      <c r="Z320" s="267">
        <f>Z321+Z324+Z327+Z332+Z335</f>
        <v>574</v>
      </c>
      <c r="AA320" s="268">
        <f>AA321+AA324+AA327+AA332+AA335</f>
        <v>1553.92162</v>
      </c>
      <c r="AB320" s="268">
        <f aca="true" t="shared" si="132" ref="AB320:AJ320">AB321+AB324+AB327+AB332+AB335</f>
        <v>1335.63762</v>
      </c>
      <c r="AC320" s="268">
        <f t="shared" si="132"/>
        <v>422</v>
      </c>
      <c r="AD320" s="268">
        <f>AE321+AE324+AE327+AE332+AE335</f>
        <v>24.050109999999997</v>
      </c>
      <c r="AE320" s="268">
        <f t="shared" si="132"/>
        <v>24.050109999999997</v>
      </c>
      <c r="AF320" s="268">
        <f t="shared" si="132"/>
        <v>0</v>
      </c>
      <c r="AG320" s="268">
        <f>AE321+AE324+AE327+AE332+AE335</f>
        <v>24.050109999999997</v>
      </c>
      <c r="AH320" s="268">
        <f t="shared" si="132"/>
        <v>49.424679999999995</v>
      </c>
      <c r="AI320" s="268">
        <f t="shared" si="132"/>
        <v>422</v>
      </c>
      <c r="AJ320" s="268">
        <f t="shared" si="132"/>
        <v>762.711</v>
      </c>
      <c r="AK320" s="269"/>
      <c r="AL320" s="269"/>
      <c r="AM320" s="269"/>
      <c r="AN320" s="271"/>
      <c r="AO320" s="272"/>
      <c r="AP320" s="272">
        <f t="shared" si="121"/>
        <v>2.7071805226480836</v>
      </c>
      <c r="AQ320" s="267">
        <f>AQ321+AQ324+AQ327+AQ332+AQ335</f>
        <v>0</v>
      </c>
      <c r="AR320" s="267">
        <f>AR321+AR324+AR327+AR332+AR335</f>
        <v>240</v>
      </c>
      <c r="AS320" s="267">
        <f>AS321+AS324+AS327+AS332+AS335</f>
        <v>240</v>
      </c>
      <c r="AT320" s="268">
        <f>AT321+AT324+AT327+AT332+AT335</f>
        <v>610.4684</v>
      </c>
      <c r="AU320" s="268">
        <f aca="true" t="shared" si="133" ref="AU320:BC320">AU321+AU324+AU327+AU332+AU335</f>
        <v>380.80841999999996</v>
      </c>
      <c r="AV320" s="268">
        <f t="shared" si="133"/>
        <v>277.15139999999997</v>
      </c>
      <c r="AW320" s="268">
        <f>AX321+AX324+AX327+AX332+AX335</f>
        <v>49.214330000000004</v>
      </c>
      <c r="AX320" s="268">
        <f t="shared" si="133"/>
        <v>49.214330000000004</v>
      </c>
      <c r="AY320" s="268">
        <f t="shared" si="133"/>
        <v>0</v>
      </c>
      <c r="AZ320" s="268">
        <f t="shared" si="133"/>
        <v>0</v>
      </c>
      <c r="BA320" s="268">
        <f t="shared" si="133"/>
        <v>66.04463</v>
      </c>
      <c r="BB320" s="268">
        <f t="shared" si="133"/>
        <v>277.15139999999997</v>
      </c>
      <c r="BC320" s="268">
        <f t="shared" si="133"/>
        <v>24.684</v>
      </c>
      <c r="BD320" s="269"/>
      <c r="BE320" s="269"/>
      <c r="BF320" s="269"/>
      <c r="BG320" s="271"/>
      <c r="BH320" s="272"/>
      <c r="BI320" s="272">
        <f t="shared" si="44"/>
        <v>2.5436183333333333</v>
      </c>
      <c r="BJ320" s="415">
        <f t="shared" si="98"/>
        <v>0</v>
      </c>
      <c r="BK320" s="415">
        <f t="shared" si="99"/>
        <v>829</v>
      </c>
      <c r="BL320" s="415">
        <f t="shared" si="100"/>
        <v>829</v>
      </c>
      <c r="BM320" s="415">
        <f t="shared" si="101"/>
        <v>2448.44802</v>
      </c>
    </row>
    <row r="321" spans="1:65" s="129" customFormat="1" ht="24.75" customHeight="1">
      <c r="A321" s="130" t="s">
        <v>114</v>
      </c>
      <c r="B321" s="131" t="s">
        <v>743</v>
      </c>
      <c r="C321" s="132"/>
      <c r="D321" s="133">
        <v>6</v>
      </c>
      <c r="E321" s="134">
        <f>SUM(E322:E323)</f>
        <v>0</v>
      </c>
      <c r="F321" s="134">
        <f>SUM(F322:F323)</f>
        <v>0</v>
      </c>
      <c r="G321" s="134">
        <f>SUM(G322:G323)</f>
        <v>0</v>
      </c>
      <c r="H321" s="135">
        <f>SUM(H322:H323)</f>
        <v>0</v>
      </c>
      <c r="I321" s="135">
        <f aca="true" t="shared" si="134" ref="I321:Q321">SUM(I322:I323)</f>
        <v>0</v>
      </c>
      <c r="J321" s="135">
        <f t="shared" si="134"/>
        <v>0</v>
      </c>
      <c r="K321" s="135">
        <f t="shared" si="134"/>
        <v>0</v>
      </c>
      <c r="L321" s="135">
        <f t="shared" si="134"/>
        <v>0</v>
      </c>
      <c r="M321" s="135">
        <f t="shared" si="134"/>
        <v>0</v>
      </c>
      <c r="N321" s="135">
        <f t="shared" si="134"/>
        <v>0</v>
      </c>
      <c r="O321" s="135">
        <f t="shared" si="134"/>
        <v>0</v>
      </c>
      <c r="P321" s="135">
        <f t="shared" si="134"/>
        <v>0</v>
      </c>
      <c r="Q321" s="135">
        <f t="shared" si="134"/>
        <v>0</v>
      </c>
      <c r="R321" s="136"/>
      <c r="S321" s="136"/>
      <c r="T321" s="137"/>
      <c r="U321" s="138"/>
      <c r="V321" s="139"/>
      <c r="W321" s="139" t="e">
        <f t="shared" si="76"/>
        <v>#DIV/0!</v>
      </c>
      <c r="X321" s="140">
        <f>SUM(X322:X323)</f>
        <v>0</v>
      </c>
      <c r="Y321" s="140">
        <f>SUM(Y322:Y323)</f>
        <v>0</v>
      </c>
      <c r="Z321" s="140">
        <f>SUM(Z322:Z323)</f>
        <v>0</v>
      </c>
      <c r="AA321" s="135">
        <f>SUM(AA322:AA323)</f>
        <v>0</v>
      </c>
      <c r="AB321" s="135">
        <f aca="true" t="shared" si="135" ref="AB321:AJ321">SUM(AB322:AB323)</f>
        <v>0</v>
      </c>
      <c r="AC321" s="135">
        <f t="shared" si="135"/>
        <v>0</v>
      </c>
      <c r="AD321" s="135">
        <f>SUM(AE322:AE323)</f>
        <v>0</v>
      </c>
      <c r="AE321" s="135">
        <f t="shared" si="135"/>
        <v>0</v>
      </c>
      <c r="AF321" s="135">
        <f t="shared" si="135"/>
        <v>0</v>
      </c>
      <c r="AG321" s="135">
        <f>SUM(AE322:AE323)</f>
        <v>0</v>
      </c>
      <c r="AH321" s="135">
        <f t="shared" si="135"/>
        <v>0</v>
      </c>
      <c r="AI321" s="135">
        <f t="shared" si="135"/>
        <v>0</v>
      </c>
      <c r="AJ321" s="135">
        <f t="shared" si="135"/>
        <v>0</v>
      </c>
      <c r="AK321" s="136"/>
      <c r="AL321" s="136"/>
      <c r="AM321" s="136"/>
      <c r="AN321" s="138"/>
      <c r="AO321" s="139"/>
      <c r="AP321" s="139" t="e">
        <f t="shared" si="121"/>
        <v>#DIV/0!</v>
      </c>
      <c r="AQ321" s="140">
        <f>SUM(AQ322:AQ323)</f>
        <v>0</v>
      </c>
      <c r="AR321" s="140">
        <f>SUM(AR322:AR323)</f>
        <v>100</v>
      </c>
      <c r="AS321" s="140">
        <f>SUM(AS322:AS323)</f>
        <v>100</v>
      </c>
      <c r="AT321" s="135">
        <f>SUM(AT322:AT323)</f>
        <v>248.903</v>
      </c>
      <c r="AU321" s="135">
        <f aca="true" t="shared" si="136" ref="AU321:BC321">SUM(AU322:AU323)</f>
        <v>173.91</v>
      </c>
      <c r="AV321" s="135">
        <f t="shared" si="136"/>
        <v>169.0814</v>
      </c>
      <c r="AW321" s="135">
        <f>SUM(AX322:AX323)</f>
        <v>16.382</v>
      </c>
      <c r="AX321" s="135">
        <f t="shared" si="136"/>
        <v>16.382</v>
      </c>
      <c r="AY321" s="135">
        <f t="shared" si="136"/>
        <v>0</v>
      </c>
      <c r="AZ321" s="135">
        <f t="shared" si="136"/>
        <v>0</v>
      </c>
      <c r="BA321" s="135">
        <f t="shared" si="136"/>
        <v>21.53</v>
      </c>
      <c r="BB321" s="135">
        <f t="shared" si="136"/>
        <v>169.0814</v>
      </c>
      <c r="BC321" s="135">
        <f t="shared" si="136"/>
        <v>0</v>
      </c>
      <c r="BD321" s="136"/>
      <c r="BE321" s="136"/>
      <c r="BF321" s="136"/>
      <c r="BG321" s="138"/>
      <c r="BH321" s="139"/>
      <c r="BI321" s="139">
        <f t="shared" si="44"/>
        <v>2.48903</v>
      </c>
      <c r="BJ321" s="415">
        <f t="shared" si="98"/>
        <v>0</v>
      </c>
      <c r="BK321" s="415">
        <f t="shared" si="99"/>
        <v>100</v>
      </c>
      <c r="BL321" s="415">
        <f t="shared" si="100"/>
        <v>100</v>
      </c>
      <c r="BM321" s="415">
        <f t="shared" si="101"/>
        <v>248.903</v>
      </c>
    </row>
    <row r="322" spans="1:65" s="129" customFormat="1" ht="18.75" outlineLevel="1">
      <c r="A322" s="141" t="s">
        <v>116</v>
      </c>
      <c r="B322" s="177" t="s">
        <v>673</v>
      </c>
      <c r="C322" s="158" t="s">
        <v>674</v>
      </c>
      <c r="D322" s="144">
        <v>6</v>
      </c>
      <c r="E322" s="145"/>
      <c r="F322" s="146"/>
      <c r="G322" s="146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56"/>
      <c r="S322" s="156"/>
      <c r="T322" s="152"/>
      <c r="U322" s="153"/>
      <c r="V322" s="201"/>
      <c r="W322" s="154" t="e">
        <f t="shared" si="76"/>
        <v>#DIV/0!</v>
      </c>
      <c r="X322" s="155"/>
      <c r="Y322" s="146"/>
      <c r="Z322" s="165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56"/>
      <c r="AL322" s="156"/>
      <c r="AM322" s="156"/>
      <c r="AN322" s="153"/>
      <c r="AO322" s="201"/>
      <c r="AP322" s="154" t="e">
        <f t="shared" si="121"/>
        <v>#DIV/0!</v>
      </c>
      <c r="AQ322" s="145"/>
      <c r="AR322" s="146">
        <v>100</v>
      </c>
      <c r="AS322" s="147">
        <v>100</v>
      </c>
      <c r="AT322" s="166">
        <v>248.903</v>
      </c>
      <c r="AU322" s="149">
        <v>173.91</v>
      </c>
      <c r="AV322" s="149">
        <v>169.0814</v>
      </c>
      <c r="AW322" s="149">
        <v>4.829</v>
      </c>
      <c r="AX322" s="149">
        <v>16.382</v>
      </c>
      <c r="AY322" s="149">
        <v>0</v>
      </c>
      <c r="AZ322" s="149">
        <v>0</v>
      </c>
      <c r="BA322" s="149">
        <v>21.53</v>
      </c>
      <c r="BB322" s="149">
        <v>169.0814</v>
      </c>
      <c r="BC322" s="149">
        <v>0</v>
      </c>
      <c r="BD322" s="150" t="s">
        <v>119</v>
      </c>
      <c r="BE322" s="151" t="s">
        <v>120</v>
      </c>
      <c r="BF322" s="156"/>
      <c r="BG322" s="153">
        <v>96</v>
      </c>
      <c r="BH322" s="154"/>
      <c r="BI322" s="154">
        <f t="shared" si="44"/>
        <v>2.48903</v>
      </c>
      <c r="BJ322" s="415">
        <f t="shared" si="98"/>
        <v>0</v>
      </c>
      <c r="BK322" s="415">
        <f t="shared" si="99"/>
        <v>100</v>
      </c>
      <c r="BL322" s="415">
        <f t="shared" si="100"/>
        <v>100</v>
      </c>
      <c r="BM322" s="415">
        <f t="shared" si="101"/>
        <v>248.903</v>
      </c>
    </row>
    <row r="323" spans="1:65" s="129" customFormat="1" ht="14.25">
      <c r="A323" s="141"/>
      <c r="B323" s="179"/>
      <c r="C323" s="158"/>
      <c r="D323" s="144"/>
      <c r="E323" s="165"/>
      <c r="F323" s="146"/>
      <c r="G323" s="146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56"/>
      <c r="S323" s="156"/>
      <c r="T323" s="152"/>
      <c r="U323" s="153"/>
      <c r="V323" s="154"/>
      <c r="W323" s="154" t="e">
        <f t="shared" si="76"/>
        <v>#DIV/0!</v>
      </c>
      <c r="X323" s="203"/>
      <c r="Y323" s="146"/>
      <c r="Z323" s="165"/>
      <c r="AA323" s="149"/>
      <c r="AB323" s="149"/>
      <c r="AC323" s="149"/>
      <c r="AD323" s="149"/>
      <c r="AE323" s="149"/>
      <c r="AF323" s="149"/>
      <c r="AG323" s="149"/>
      <c r="AH323" s="149"/>
      <c r="AI323" s="149"/>
      <c r="AJ323" s="149"/>
      <c r="AK323" s="156"/>
      <c r="AL323" s="156"/>
      <c r="AM323" s="156"/>
      <c r="AN323" s="153"/>
      <c r="AO323" s="201"/>
      <c r="AP323" s="154" t="e">
        <f t="shared" si="121"/>
        <v>#DIV/0!</v>
      </c>
      <c r="AQ323" s="165"/>
      <c r="AR323" s="146"/>
      <c r="AS323" s="147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56"/>
      <c r="BE323" s="156"/>
      <c r="BF323" s="156"/>
      <c r="BG323" s="153"/>
      <c r="BH323" s="154"/>
      <c r="BI323" s="154" t="e">
        <f t="shared" si="44"/>
        <v>#DIV/0!</v>
      </c>
      <c r="BJ323" s="415">
        <f t="shared" si="98"/>
        <v>0</v>
      </c>
      <c r="BK323" s="415">
        <f t="shared" si="99"/>
        <v>0</v>
      </c>
      <c r="BL323" s="415">
        <f t="shared" si="100"/>
        <v>0</v>
      </c>
      <c r="BM323" s="415">
        <f t="shared" si="101"/>
        <v>0</v>
      </c>
    </row>
    <row r="324" spans="1:65" s="129" customFormat="1" ht="24.75" customHeight="1">
      <c r="A324" s="130" t="s">
        <v>144</v>
      </c>
      <c r="B324" s="131" t="s">
        <v>744</v>
      </c>
      <c r="C324" s="132"/>
      <c r="D324" s="133">
        <v>6</v>
      </c>
      <c r="E324" s="134">
        <f>SUM(E325:E326)</f>
        <v>0</v>
      </c>
      <c r="F324" s="134">
        <f>SUM(F325:F326)</f>
        <v>0</v>
      </c>
      <c r="G324" s="134">
        <f>SUM(G325:G326)</f>
        <v>0</v>
      </c>
      <c r="H324" s="135">
        <f>SUM(H325:H326)</f>
        <v>0</v>
      </c>
      <c r="I324" s="135">
        <f aca="true" t="shared" si="137" ref="I324:Q324">SUM(I325:I326)</f>
        <v>0</v>
      </c>
      <c r="J324" s="135">
        <f t="shared" si="137"/>
        <v>0</v>
      </c>
      <c r="K324" s="135">
        <f t="shared" si="137"/>
        <v>0</v>
      </c>
      <c r="L324" s="135">
        <f t="shared" si="137"/>
        <v>0</v>
      </c>
      <c r="M324" s="135">
        <f t="shared" si="137"/>
        <v>0</v>
      </c>
      <c r="N324" s="135">
        <f t="shared" si="137"/>
        <v>0</v>
      </c>
      <c r="O324" s="135">
        <f t="shared" si="137"/>
        <v>0</v>
      </c>
      <c r="P324" s="135">
        <f t="shared" si="137"/>
        <v>0</v>
      </c>
      <c r="Q324" s="135">
        <f t="shared" si="137"/>
        <v>0</v>
      </c>
      <c r="R324" s="136"/>
      <c r="S324" s="136"/>
      <c r="T324" s="137"/>
      <c r="U324" s="138"/>
      <c r="V324" s="139"/>
      <c r="W324" s="139" t="e">
        <f t="shared" si="76"/>
        <v>#DIV/0!</v>
      </c>
      <c r="X324" s="140">
        <f>SUM(X325:X326)</f>
        <v>0</v>
      </c>
      <c r="Y324" s="140">
        <f>SUM(Y325:Y326)</f>
        <v>0</v>
      </c>
      <c r="Z324" s="140">
        <f>SUM(Z325:Z326)</f>
        <v>0</v>
      </c>
      <c r="AA324" s="135">
        <f>SUM(AA325:AA326)</f>
        <v>0</v>
      </c>
      <c r="AB324" s="135">
        <f aca="true" t="shared" si="138" ref="AB324:AJ324">SUM(AB325:AB326)</f>
        <v>0</v>
      </c>
      <c r="AC324" s="135">
        <f t="shared" si="138"/>
        <v>0</v>
      </c>
      <c r="AD324" s="135">
        <f>SUM(AE325:AE326)</f>
        <v>0</v>
      </c>
      <c r="AE324" s="135">
        <f t="shared" si="138"/>
        <v>0</v>
      </c>
      <c r="AF324" s="135">
        <f t="shared" si="138"/>
        <v>0</v>
      </c>
      <c r="AG324" s="135">
        <f>SUM(AE325:AE326)</f>
        <v>0</v>
      </c>
      <c r="AH324" s="135">
        <f t="shared" si="138"/>
        <v>0</v>
      </c>
      <c r="AI324" s="135">
        <f t="shared" si="138"/>
        <v>0</v>
      </c>
      <c r="AJ324" s="135">
        <f t="shared" si="138"/>
        <v>0</v>
      </c>
      <c r="AK324" s="136"/>
      <c r="AL324" s="136"/>
      <c r="AM324" s="136"/>
      <c r="AN324" s="138"/>
      <c r="AO324" s="139"/>
      <c r="AP324" s="139" t="e">
        <f t="shared" si="121"/>
        <v>#DIV/0!</v>
      </c>
      <c r="AQ324" s="134">
        <f aca="true" t="shared" si="139" ref="AQ324:BC324">SUM(AQ325:AQ326)</f>
        <v>0</v>
      </c>
      <c r="AR324" s="134">
        <f t="shared" si="139"/>
        <v>0</v>
      </c>
      <c r="AS324" s="134">
        <f t="shared" si="139"/>
        <v>0</v>
      </c>
      <c r="AT324" s="135">
        <f t="shared" si="139"/>
        <v>0</v>
      </c>
      <c r="AU324" s="135">
        <f t="shared" si="139"/>
        <v>0</v>
      </c>
      <c r="AV324" s="135">
        <f t="shared" si="139"/>
        <v>0</v>
      </c>
      <c r="AW324" s="135">
        <f>SUM(AX325:AX326)</f>
        <v>0</v>
      </c>
      <c r="AX324" s="135">
        <f t="shared" si="139"/>
        <v>0</v>
      </c>
      <c r="AY324" s="135">
        <f t="shared" si="139"/>
        <v>0</v>
      </c>
      <c r="AZ324" s="135">
        <f t="shared" si="139"/>
        <v>0</v>
      </c>
      <c r="BA324" s="135">
        <f t="shared" si="139"/>
        <v>0</v>
      </c>
      <c r="BB324" s="135">
        <f t="shared" si="139"/>
        <v>0</v>
      </c>
      <c r="BC324" s="135">
        <f t="shared" si="139"/>
        <v>0</v>
      </c>
      <c r="BD324" s="136"/>
      <c r="BE324" s="136"/>
      <c r="BF324" s="136"/>
      <c r="BG324" s="138"/>
      <c r="BH324" s="139"/>
      <c r="BI324" s="139" t="e">
        <f t="shared" si="44"/>
        <v>#DIV/0!</v>
      </c>
      <c r="BJ324" s="415">
        <f t="shared" si="98"/>
        <v>0</v>
      </c>
      <c r="BK324" s="415">
        <f t="shared" si="99"/>
        <v>0</v>
      </c>
      <c r="BL324" s="415">
        <f t="shared" si="100"/>
        <v>0</v>
      </c>
      <c r="BM324" s="415">
        <f t="shared" si="101"/>
        <v>0</v>
      </c>
    </row>
    <row r="325" spans="1:65" s="129" customFormat="1" ht="14.25">
      <c r="A325" s="141" t="s">
        <v>146</v>
      </c>
      <c r="B325" s="179"/>
      <c r="C325" s="160"/>
      <c r="D325" s="144">
        <v>6</v>
      </c>
      <c r="E325" s="165"/>
      <c r="F325" s="146"/>
      <c r="G325" s="146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56"/>
      <c r="S325" s="156"/>
      <c r="T325" s="152"/>
      <c r="U325" s="153"/>
      <c r="V325" s="154"/>
      <c r="W325" s="154" t="e">
        <f t="shared" si="76"/>
        <v>#DIV/0!</v>
      </c>
      <c r="X325" s="203"/>
      <c r="Y325" s="146"/>
      <c r="Z325" s="165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56"/>
      <c r="AL325" s="156"/>
      <c r="AM325" s="156"/>
      <c r="AN325" s="153"/>
      <c r="AO325" s="201"/>
      <c r="AP325" s="154" t="e">
        <f t="shared" si="121"/>
        <v>#DIV/0!</v>
      </c>
      <c r="AQ325" s="165"/>
      <c r="AR325" s="146"/>
      <c r="AS325" s="147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56"/>
      <c r="BE325" s="156"/>
      <c r="BF325" s="156"/>
      <c r="BG325" s="153"/>
      <c r="BH325" s="154"/>
      <c r="BI325" s="154" t="e">
        <f t="shared" si="44"/>
        <v>#DIV/0!</v>
      </c>
      <c r="BJ325" s="415">
        <f t="shared" si="98"/>
        <v>0</v>
      </c>
      <c r="BK325" s="415">
        <f t="shared" si="99"/>
        <v>0</v>
      </c>
      <c r="BL325" s="415">
        <f t="shared" si="100"/>
        <v>0</v>
      </c>
      <c r="BM325" s="415">
        <f t="shared" si="101"/>
        <v>0</v>
      </c>
    </row>
    <row r="326" spans="1:65" s="129" customFormat="1" ht="14.25">
      <c r="A326" s="141"/>
      <c r="B326" s="179"/>
      <c r="C326" s="158"/>
      <c r="D326" s="144"/>
      <c r="E326" s="165"/>
      <c r="F326" s="146"/>
      <c r="G326" s="146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56"/>
      <c r="S326" s="156"/>
      <c r="T326" s="152"/>
      <c r="U326" s="153"/>
      <c r="V326" s="154"/>
      <c r="W326" s="154" t="e">
        <f t="shared" si="76"/>
        <v>#DIV/0!</v>
      </c>
      <c r="X326" s="203"/>
      <c r="Y326" s="146"/>
      <c r="Z326" s="165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56"/>
      <c r="AL326" s="156"/>
      <c r="AM326" s="156"/>
      <c r="AN326" s="153"/>
      <c r="AO326" s="201"/>
      <c r="AP326" s="154" t="e">
        <f t="shared" si="121"/>
        <v>#DIV/0!</v>
      </c>
      <c r="AQ326" s="165"/>
      <c r="AR326" s="146"/>
      <c r="AS326" s="147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56"/>
      <c r="BE326" s="156"/>
      <c r="BF326" s="156"/>
      <c r="BG326" s="153"/>
      <c r="BH326" s="154"/>
      <c r="BI326" s="154" t="e">
        <f t="shared" si="44"/>
        <v>#DIV/0!</v>
      </c>
      <c r="BJ326" s="415">
        <f t="shared" si="98"/>
        <v>0</v>
      </c>
      <c r="BK326" s="415">
        <f t="shared" si="99"/>
        <v>0</v>
      </c>
      <c r="BL326" s="415">
        <f t="shared" si="100"/>
        <v>0</v>
      </c>
      <c r="BM326" s="415">
        <f t="shared" si="101"/>
        <v>0</v>
      </c>
    </row>
    <row r="327" spans="1:65" s="129" customFormat="1" ht="24.75" customHeight="1">
      <c r="A327" s="130" t="s">
        <v>335</v>
      </c>
      <c r="B327" s="131" t="s">
        <v>745</v>
      </c>
      <c r="C327" s="132"/>
      <c r="D327" s="133">
        <v>6</v>
      </c>
      <c r="E327" s="134">
        <f>SUM(E328:E331)</f>
        <v>0</v>
      </c>
      <c r="F327" s="134">
        <f>SUM(F328:F331)</f>
        <v>15</v>
      </c>
      <c r="G327" s="134">
        <f>SUM(G328:G331)</f>
        <v>15</v>
      </c>
      <c r="H327" s="135">
        <f>SUM(H328:H331)</f>
        <v>284.058</v>
      </c>
      <c r="I327" s="135">
        <f aca="true" t="shared" si="140" ref="I327:Q327">SUM(I328:I331)</f>
        <v>23.586</v>
      </c>
      <c r="J327" s="135">
        <f t="shared" si="140"/>
        <v>206.77966</v>
      </c>
      <c r="K327" s="135">
        <f t="shared" si="140"/>
        <v>23.586</v>
      </c>
      <c r="L327" s="135">
        <f t="shared" si="140"/>
        <v>14.911</v>
      </c>
      <c r="M327" s="135">
        <f t="shared" si="140"/>
        <v>0</v>
      </c>
      <c r="N327" s="135">
        <f t="shared" si="140"/>
        <v>0</v>
      </c>
      <c r="O327" s="135">
        <f t="shared" si="140"/>
        <v>8.799</v>
      </c>
      <c r="P327" s="135">
        <f t="shared" si="140"/>
        <v>206.77966</v>
      </c>
      <c r="Q327" s="135">
        <f t="shared" si="140"/>
        <v>206.78</v>
      </c>
      <c r="R327" s="136"/>
      <c r="S327" s="136"/>
      <c r="T327" s="137"/>
      <c r="U327" s="138"/>
      <c r="V327" s="139"/>
      <c r="W327" s="139">
        <f t="shared" si="76"/>
        <v>18.9372</v>
      </c>
      <c r="X327" s="140">
        <f>SUM(X328:X331)</f>
        <v>0</v>
      </c>
      <c r="Y327" s="140">
        <f>SUM(Y328:Y331)</f>
        <v>424</v>
      </c>
      <c r="Z327" s="140">
        <f>SUM(Z328:Z331)</f>
        <v>424</v>
      </c>
      <c r="AA327" s="135">
        <f>SUM(AA328:AA331)</f>
        <v>1458.0117500000001</v>
      </c>
      <c r="AB327" s="135">
        <f aca="true" t="shared" si="141" ref="AB327:AJ327">SUM(AB328:AB331)</f>
        <v>1281.8229999999999</v>
      </c>
      <c r="AC327" s="135">
        <f t="shared" si="141"/>
        <v>422</v>
      </c>
      <c r="AD327" s="135">
        <f>SUM(AE328:AE331)</f>
        <v>18.955</v>
      </c>
      <c r="AE327" s="135">
        <f t="shared" si="141"/>
        <v>18.955</v>
      </c>
      <c r="AF327" s="135">
        <f t="shared" si="141"/>
        <v>0</v>
      </c>
      <c r="AG327" s="135">
        <f>SUM(AE328:AE331)</f>
        <v>18.955</v>
      </c>
      <c r="AH327" s="135">
        <f t="shared" si="141"/>
        <v>36.351</v>
      </c>
      <c r="AI327" s="135">
        <f t="shared" si="141"/>
        <v>422</v>
      </c>
      <c r="AJ327" s="135">
        <f t="shared" si="141"/>
        <v>762.711</v>
      </c>
      <c r="AK327" s="136"/>
      <c r="AL327" s="136"/>
      <c r="AM327" s="136"/>
      <c r="AN327" s="138"/>
      <c r="AO327" s="139"/>
      <c r="AP327" s="139">
        <f t="shared" si="121"/>
        <v>3.4387069575471703</v>
      </c>
      <c r="AQ327" s="140">
        <f>SUM(AQ328:AQ331)</f>
        <v>0</v>
      </c>
      <c r="AR327" s="140">
        <f>SUM(AR328:AR331)</f>
        <v>0</v>
      </c>
      <c r="AS327" s="140">
        <f>SUM(AS328:AS331)</f>
        <v>0</v>
      </c>
      <c r="AT327" s="135">
        <f>SUM(AT328:AT331)</f>
        <v>0</v>
      </c>
      <c r="AU327" s="135">
        <f aca="true" t="shared" si="142" ref="AU327:BC327">SUM(AU328:AU331)</f>
        <v>0</v>
      </c>
      <c r="AV327" s="135">
        <f t="shared" si="142"/>
        <v>0</v>
      </c>
      <c r="AW327" s="135">
        <f>SUM(AX328:AX331)</f>
        <v>0</v>
      </c>
      <c r="AX327" s="135">
        <f t="shared" si="142"/>
        <v>0</v>
      </c>
      <c r="AY327" s="135">
        <f t="shared" si="142"/>
        <v>0</v>
      </c>
      <c r="AZ327" s="135">
        <f t="shared" si="142"/>
        <v>0</v>
      </c>
      <c r="BA327" s="135">
        <f t="shared" si="142"/>
        <v>0</v>
      </c>
      <c r="BB327" s="135">
        <f t="shared" si="142"/>
        <v>0</v>
      </c>
      <c r="BC327" s="135">
        <f t="shared" si="142"/>
        <v>0</v>
      </c>
      <c r="BD327" s="136"/>
      <c r="BE327" s="136"/>
      <c r="BF327" s="136"/>
      <c r="BG327" s="138"/>
      <c r="BH327" s="139"/>
      <c r="BI327" s="139" t="e">
        <f t="shared" si="44"/>
        <v>#DIV/0!</v>
      </c>
      <c r="BJ327" s="415">
        <f t="shared" si="98"/>
        <v>0</v>
      </c>
      <c r="BK327" s="415">
        <f t="shared" si="99"/>
        <v>439</v>
      </c>
      <c r="BL327" s="415">
        <f t="shared" si="100"/>
        <v>439</v>
      </c>
      <c r="BM327" s="415">
        <f t="shared" si="101"/>
        <v>1742.06975</v>
      </c>
    </row>
    <row r="328" spans="1:65" s="129" customFormat="1" ht="18.75" outlineLevel="1">
      <c r="A328" s="141" t="s">
        <v>337</v>
      </c>
      <c r="B328" s="257" t="s">
        <v>572</v>
      </c>
      <c r="C328" s="258" t="s">
        <v>573</v>
      </c>
      <c r="D328" s="144">
        <v>6</v>
      </c>
      <c r="E328" s="165"/>
      <c r="F328" s="260">
        <v>15</v>
      </c>
      <c r="G328" s="260">
        <v>15</v>
      </c>
      <c r="H328" s="261">
        <v>284.058</v>
      </c>
      <c r="I328" s="262">
        <v>23.586</v>
      </c>
      <c r="J328" s="262">
        <v>206.77966</v>
      </c>
      <c r="K328" s="262">
        <v>23.586</v>
      </c>
      <c r="L328" s="262">
        <v>14.911</v>
      </c>
      <c r="M328" s="262">
        <v>0</v>
      </c>
      <c r="N328" s="262">
        <v>0</v>
      </c>
      <c r="O328" s="262">
        <v>8.799</v>
      </c>
      <c r="P328" s="262">
        <v>206.77966</v>
      </c>
      <c r="Q328" s="149">
        <v>206.78</v>
      </c>
      <c r="R328" s="156"/>
      <c r="S328" s="156"/>
      <c r="T328" s="152"/>
      <c r="U328" s="153">
        <v>220</v>
      </c>
      <c r="V328" s="154"/>
      <c r="W328" s="154">
        <f t="shared" si="76"/>
        <v>18.9372</v>
      </c>
      <c r="X328" s="203"/>
      <c r="Y328" s="273">
        <v>112</v>
      </c>
      <c r="Z328" s="273">
        <v>112</v>
      </c>
      <c r="AA328" s="148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50" t="s">
        <v>119</v>
      </c>
      <c r="AL328" s="151" t="s">
        <v>120</v>
      </c>
      <c r="AM328" s="156"/>
      <c r="AN328" s="153"/>
      <c r="AO328" s="201"/>
      <c r="AP328" s="154">
        <f t="shared" si="121"/>
        <v>0</v>
      </c>
      <c r="AQ328" s="165"/>
      <c r="AR328" s="273"/>
      <c r="AS328" s="273"/>
      <c r="AT328" s="148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56"/>
      <c r="BE328" s="156"/>
      <c r="BF328" s="156"/>
      <c r="BG328" s="153"/>
      <c r="BH328" s="154"/>
      <c r="BI328" s="154" t="e">
        <f t="shared" si="44"/>
        <v>#DIV/0!</v>
      </c>
      <c r="BJ328" s="415">
        <f t="shared" si="98"/>
        <v>0</v>
      </c>
      <c r="BK328" s="415">
        <f t="shared" si="99"/>
        <v>127</v>
      </c>
      <c r="BL328" s="415">
        <f t="shared" si="100"/>
        <v>127</v>
      </c>
      <c r="BM328" s="415">
        <f t="shared" si="101"/>
        <v>284.058</v>
      </c>
    </row>
    <row r="329" spans="1:65" s="129" customFormat="1" ht="18.75" outlineLevel="1">
      <c r="A329" s="141" t="s">
        <v>340</v>
      </c>
      <c r="B329" s="176" t="s">
        <v>341</v>
      </c>
      <c r="C329" s="158" t="s">
        <v>342</v>
      </c>
      <c r="D329" s="144">
        <v>6</v>
      </c>
      <c r="E329" s="165"/>
      <c r="F329" s="273"/>
      <c r="G329" s="273"/>
      <c r="H329" s="162"/>
      <c r="I329" s="149"/>
      <c r="J329" s="149"/>
      <c r="K329" s="149"/>
      <c r="L329" s="149"/>
      <c r="M329" s="149"/>
      <c r="N329" s="149"/>
      <c r="O329" s="149"/>
      <c r="P329" s="149"/>
      <c r="Q329" s="149"/>
      <c r="R329" s="156"/>
      <c r="S329" s="156"/>
      <c r="T329" s="152"/>
      <c r="U329" s="153"/>
      <c r="V329" s="154"/>
      <c r="W329" s="154" t="e">
        <f t="shared" si="76"/>
        <v>#DIV/0!</v>
      </c>
      <c r="X329" s="203"/>
      <c r="Y329" s="273">
        <v>112</v>
      </c>
      <c r="Z329" s="273">
        <v>112</v>
      </c>
      <c r="AA329" s="162">
        <v>719.54675</v>
      </c>
      <c r="AB329" s="149">
        <v>618.026</v>
      </c>
      <c r="AC329" s="149">
        <v>211</v>
      </c>
      <c r="AD329" s="149">
        <v>25.67</v>
      </c>
      <c r="AE329" s="149">
        <v>0</v>
      </c>
      <c r="AF329" s="149">
        <v>0</v>
      </c>
      <c r="AG329" s="149">
        <v>0</v>
      </c>
      <c r="AH329" s="149">
        <v>23.668</v>
      </c>
      <c r="AI329" s="149">
        <v>211</v>
      </c>
      <c r="AJ329" s="149">
        <v>381.356</v>
      </c>
      <c r="AK329" s="150" t="s">
        <v>119</v>
      </c>
      <c r="AL329" s="151" t="s">
        <v>120</v>
      </c>
      <c r="AM329" s="156"/>
      <c r="AN329" s="153">
        <v>191</v>
      </c>
      <c r="AO329" s="201"/>
      <c r="AP329" s="154">
        <f t="shared" si="121"/>
        <v>6.424524553571429</v>
      </c>
      <c r="AQ329" s="165"/>
      <c r="AR329" s="273"/>
      <c r="AS329" s="273"/>
      <c r="AT329" s="162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56"/>
      <c r="BE329" s="156"/>
      <c r="BF329" s="156"/>
      <c r="BG329" s="153"/>
      <c r="BH329" s="154"/>
      <c r="BI329" s="154" t="e">
        <f t="shared" si="44"/>
        <v>#DIV/0!</v>
      </c>
      <c r="BJ329" s="415">
        <f t="shared" si="98"/>
        <v>0</v>
      </c>
      <c r="BK329" s="415">
        <f t="shared" si="99"/>
        <v>112</v>
      </c>
      <c r="BL329" s="415">
        <f t="shared" si="100"/>
        <v>112</v>
      </c>
      <c r="BM329" s="415">
        <f t="shared" si="101"/>
        <v>719.54675</v>
      </c>
    </row>
    <row r="330" spans="1:65" s="129" customFormat="1" ht="18.75" outlineLevel="1">
      <c r="A330" s="141" t="s">
        <v>343</v>
      </c>
      <c r="B330" s="173" t="s">
        <v>669</v>
      </c>
      <c r="C330" s="158" t="s">
        <v>670</v>
      </c>
      <c r="D330" s="144">
        <v>6</v>
      </c>
      <c r="E330" s="165"/>
      <c r="F330" s="273"/>
      <c r="G330" s="273"/>
      <c r="H330" s="162"/>
      <c r="I330" s="149"/>
      <c r="J330" s="149"/>
      <c r="K330" s="149"/>
      <c r="L330" s="149"/>
      <c r="M330" s="149"/>
      <c r="N330" s="149"/>
      <c r="O330" s="149"/>
      <c r="P330" s="149"/>
      <c r="Q330" s="149"/>
      <c r="R330" s="156"/>
      <c r="S330" s="156"/>
      <c r="T330" s="152"/>
      <c r="U330" s="153"/>
      <c r="V330" s="154"/>
      <c r="W330" s="154" t="e">
        <f t="shared" si="76"/>
        <v>#DIV/0!</v>
      </c>
      <c r="X330" s="203"/>
      <c r="Y330" s="273">
        <v>200</v>
      </c>
      <c r="Z330" s="273">
        <v>200</v>
      </c>
      <c r="AA330" s="162">
        <v>738.465</v>
      </c>
      <c r="AB330" s="149">
        <v>663.797</v>
      </c>
      <c r="AC330" s="149">
        <v>211</v>
      </c>
      <c r="AD330" s="149">
        <v>71.442</v>
      </c>
      <c r="AE330" s="149">
        <v>18.955</v>
      </c>
      <c r="AF330" s="149">
        <v>0</v>
      </c>
      <c r="AG330" s="149">
        <v>0</v>
      </c>
      <c r="AH330" s="149">
        <v>12.683</v>
      </c>
      <c r="AI330" s="149">
        <v>211</v>
      </c>
      <c r="AJ330" s="149">
        <v>381.355</v>
      </c>
      <c r="AK330" s="150" t="s">
        <v>119</v>
      </c>
      <c r="AL330" s="151" t="s">
        <v>120</v>
      </c>
      <c r="AM330" s="156"/>
      <c r="AN330" s="153">
        <v>264</v>
      </c>
      <c r="AO330" s="201"/>
      <c r="AP330" s="154">
        <f t="shared" si="121"/>
        <v>3.6923250000000003</v>
      </c>
      <c r="AQ330" s="165"/>
      <c r="AR330" s="273"/>
      <c r="AS330" s="273"/>
      <c r="AT330" s="162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56"/>
      <c r="BE330" s="156"/>
      <c r="BF330" s="156"/>
      <c r="BG330" s="153"/>
      <c r="BH330" s="154"/>
      <c r="BI330" s="154" t="e">
        <f t="shared" si="44"/>
        <v>#DIV/0!</v>
      </c>
      <c r="BJ330" s="415">
        <f t="shared" si="98"/>
        <v>0</v>
      </c>
      <c r="BK330" s="415">
        <f t="shared" si="99"/>
        <v>200</v>
      </c>
      <c r="BL330" s="415">
        <f t="shared" si="100"/>
        <v>200</v>
      </c>
      <c r="BM330" s="415">
        <f t="shared" si="101"/>
        <v>738.465</v>
      </c>
    </row>
    <row r="331" spans="1:65" s="129" customFormat="1" ht="14.25">
      <c r="A331" s="141"/>
      <c r="B331" s="179"/>
      <c r="C331" s="158"/>
      <c r="D331" s="144"/>
      <c r="E331" s="165"/>
      <c r="F331" s="146"/>
      <c r="G331" s="146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56"/>
      <c r="S331" s="156"/>
      <c r="T331" s="152"/>
      <c r="U331" s="153"/>
      <c r="V331" s="154"/>
      <c r="W331" s="154" t="e">
        <f t="shared" si="76"/>
        <v>#DIV/0!</v>
      </c>
      <c r="X331" s="203"/>
      <c r="Y331" s="146"/>
      <c r="Z331" s="165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56"/>
      <c r="AL331" s="156"/>
      <c r="AM331" s="156"/>
      <c r="AN331" s="153"/>
      <c r="AO331" s="201"/>
      <c r="AP331" s="154" t="e">
        <f t="shared" si="121"/>
        <v>#DIV/0!</v>
      </c>
      <c r="AQ331" s="165"/>
      <c r="AR331" s="146"/>
      <c r="AS331" s="147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56"/>
      <c r="BE331" s="156"/>
      <c r="BF331" s="156"/>
      <c r="BG331" s="153"/>
      <c r="BH331" s="154"/>
      <c r="BI331" s="154" t="e">
        <f t="shared" si="44"/>
        <v>#DIV/0!</v>
      </c>
      <c r="BJ331" s="415">
        <f t="shared" si="98"/>
        <v>0</v>
      </c>
      <c r="BK331" s="415">
        <f t="shared" si="99"/>
        <v>0</v>
      </c>
      <c r="BL331" s="415">
        <f t="shared" si="100"/>
        <v>0</v>
      </c>
      <c r="BM331" s="415">
        <f t="shared" si="101"/>
        <v>0</v>
      </c>
    </row>
    <row r="332" spans="1:65" s="129" customFormat="1" ht="24.75" customHeight="1">
      <c r="A332" s="130" t="s">
        <v>364</v>
      </c>
      <c r="B332" s="131" t="s">
        <v>744</v>
      </c>
      <c r="C332" s="132"/>
      <c r="D332" s="133">
        <v>6</v>
      </c>
      <c r="E332" s="134">
        <f>SUM(E333:E334)</f>
        <v>0</v>
      </c>
      <c r="F332" s="134">
        <f>SUM(F333:F334)</f>
        <v>0</v>
      </c>
      <c r="G332" s="134">
        <f>SUM(G333:G334)</f>
        <v>0</v>
      </c>
      <c r="H332" s="135">
        <f>SUM(H333:H334)</f>
        <v>0</v>
      </c>
      <c r="I332" s="135">
        <f aca="true" t="shared" si="143" ref="I332:Q332">SUM(I333:I334)</f>
        <v>0</v>
      </c>
      <c r="J332" s="135">
        <f t="shared" si="143"/>
        <v>0</v>
      </c>
      <c r="K332" s="135">
        <f t="shared" si="143"/>
        <v>0</v>
      </c>
      <c r="L332" s="135">
        <f t="shared" si="143"/>
        <v>0</v>
      </c>
      <c r="M332" s="135">
        <f t="shared" si="143"/>
        <v>0</v>
      </c>
      <c r="N332" s="135">
        <f t="shared" si="143"/>
        <v>0</v>
      </c>
      <c r="O332" s="135">
        <f t="shared" si="143"/>
        <v>0</v>
      </c>
      <c r="P332" s="135">
        <f t="shared" si="143"/>
        <v>0</v>
      </c>
      <c r="Q332" s="135">
        <f t="shared" si="143"/>
        <v>0</v>
      </c>
      <c r="R332" s="136"/>
      <c r="S332" s="136"/>
      <c r="T332" s="137"/>
      <c r="U332" s="138"/>
      <c r="V332" s="139"/>
      <c r="W332" s="139" t="e">
        <f t="shared" si="76"/>
        <v>#DIV/0!</v>
      </c>
      <c r="X332" s="134">
        <f>SUM(X333:X334)</f>
        <v>0</v>
      </c>
      <c r="Y332" s="134">
        <f>SUM(Y333:Y334)</f>
        <v>150</v>
      </c>
      <c r="Z332" s="134">
        <f>SUM(Z333:Z334)</f>
        <v>150</v>
      </c>
      <c r="AA332" s="135">
        <f>SUM(AA333:AA334)</f>
        <v>95.90987</v>
      </c>
      <c r="AB332" s="135">
        <f aca="true" t="shared" si="144" ref="AB332:AJ332">SUM(AB333:AB334)</f>
        <v>53.81462</v>
      </c>
      <c r="AC332" s="135">
        <f t="shared" si="144"/>
        <v>0</v>
      </c>
      <c r="AD332" s="135">
        <f>SUM(AE333:AE334)</f>
        <v>5.09511</v>
      </c>
      <c r="AE332" s="135">
        <f t="shared" si="144"/>
        <v>5.09511</v>
      </c>
      <c r="AF332" s="135">
        <f t="shared" si="144"/>
        <v>0</v>
      </c>
      <c r="AG332" s="135">
        <f>SUM(AE333:AE334)</f>
        <v>5.09511</v>
      </c>
      <c r="AH332" s="135">
        <f t="shared" si="144"/>
        <v>13.07368</v>
      </c>
      <c r="AI332" s="135">
        <f t="shared" si="144"/>
        <v>0</v>
      </c>
      <c r="AJ332" s="135">
        <f t="shared" si="144"/>
        <v>0</v>
      </c>
      <c r="AK332" s="136"/>
      <c r="AL332" s="136"/>
      <c r="AM332" s="136"/>
      <c r="AN332" s="138"/>
      <c r="AO332" s="139"/>
      <c r="AP332" s="139">
        <f t="shared" si="121"/>
        <v>0.6393991333333333</v>
      </c>
      <c r="AQ332" s="134">
        <f>SUM(AQ333:AQ334)</f>
        <v>0</v>
      </c>
      <c r="AR332" s="134">
        <f>SUM(AR333:AR334)</f>
        <v>0</v>
      </c>
      <c r="AS332" s="134">
        <f>SUM(AS333:AS334)</f>
        <v>0</v>
      </c>
      <c r="AT332" s="135">
        <f>SUM(AT333:AT334)</f>
        <v>0</v>
      </c>
      <c r="AU332" s="135">
        <f aca="true" t="shared" si="145" ref="AU332:BC332">SUM(AU333:AU334)</f>
        <v>0</v>
      </c>
      <c r="AV332" s="135">
        <f t="shared" si="145"/>
        <v>0</v>
      </c>
      <c r="AW332" s="135">
        <f>SUM(AX333:AX334)</f>
        <v>0</v>
      </c>
      <c r="AX332" s="135">
        <f t="shared" si="145"/>
        <v>0</v>
      </c>
      <c r="AY332" s="135">
        <f t="shared" si="145"/>
        <v>0</v>
      </c>
      <c r="AZ332" s="135">
        <f t="shared" si="145"/>
        <v>0</v>
      </c>
      <c r="BA332" s="135">
        <f t="shared" si="145"/>
        <v>0</v>
      </c>
      <c r="BB332" s="135">
        <f t="shared" si="145"/>
        <v>0</v>
      </c>
      <c r="BC332" s="135">
        <f t="shared" si="145"/>
        <v>0</v>
      </c>
      <c r="BD332" s="136"/>
      <c r="BE332" s="136"/>
      <c r="BF332" s="136"/>
      <c r="BG332" s="138"/>
      <c r="BH332" s="139"/>
      <c r="BI332" s="139" t="e">
        <f t="shared" si="44"/>
        <v>#DIV/0!</v>
      </c>
      <c r="BJ332" s="415">
        <f t="shared" si="98"/>
        <v>0</v>
      </c>
      <c r="BK332" s="415">
        <f t="shared" si="99"/>
        <v>150</v>
      </c>
      <c r="BL332" s="415">
        <f t="shared" si="100"/>
        <v>150</v>
      </c>
      <c r="BM332" s="415">
        <f t="shared" si="101"/>
        <v>95.90987</v>
      </c>
    </row>
    <row r="333" spans="1:65" s="129" customFormat="1" ht="18.75" outlineLevel="1">
      <c r="A333" s="141" t="s">
        <v>366</v>
      </c>
      <c r="B333" s="173" t="s">
        <v>746</v>
      </c>
      <c r="C333" s="158" t="s">
        <v>747</v>
      </c>
      <c r="D333" s="144">
        <v>6</v>
      </c>
      <c r="E333" s="165"/>
      <c r="F333" s="273"/>
      <c r="G333" s="273"/>
      <c r="H333" s="162"/>
      <c r="I333" s="149"/>
      <c r="J333" s="149"/>
      <c r="K333" s="149"/>
      <c r="L333" s="149"/>
      <c r="M333" s="149"/>
      <c r="N333" s="149"/>
      <c r="O333" s="149"/>
      <c r="P333" s="149"/>
      <c r="Q333" s="149"/>
      <c r="R333" s="156"/>
      <c r="S333" s="156"/>
      <c r="T333" s="152"/>
      <c r="U333" s="153"/>
      <c r="V333" s="154"/>
      <c r="W333" s="154" t="e">
        <f t="shared" si="76"/>
        <v>#DIV/0!</v>
      </c>
      <c r="X333" s="203"/>
      <c r="Y333" s="273">
        <v>150</v>
      </c>
      <c r="Z333" s="273">
        <v>150</v>
      </c>
      <c r="AA333" s="162">
        <v>95.90987</v>
      </c>
      <c r="AB333" s="149">
        <v>53.81462</v>
      </c>
      <c r="AC333" s="149">
        <v>0</v>
      </c>
      <c r="AD333" s="149">
        <v>0</v>
      </c>
      <c r="AE333" s="149">
        <v>5.09511</v>
      </c>
      <c r="AF333" s="149">
        <v>0</v>
      </c>
      <c r="AG333" s="149">
        <v>0</v>
      </c>
      <c r="AH333" s="149">
        <v>13.07368</v>
      </c>
      <c r="AI333" s="149">
        <v>0</v>
      </c>
      <c r="AJ333" s="149">
        <v>0</v>
      </c>
      <c r="AK333" s="150" t="s">
        <v>119</v>
      </c>
      <c r="AL333" s="151" t="s">
        <v>120</v>
      </c>
      <c r="AM333" s="156"/>
      <c r="AN333" s="153">
        <v>144</v>
      </c>
      <c r="AO333" s="201"/>
      <c r="AP333" s="154">
        <f t="shared" si="121"/>
        <v>0.6393991333333333</v>
      </c>
      <c r="AQ333" s="165"/>
      <c r="AR333" s="273"/>
      <c r="AS333" s="273"/>
      <c r="AT333" s="162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56"/>
      <c r="BE333" s="156"/>
      <c r="BF333" s="156"/>
      <c r="BG333" s="153"/>
      <c r="BH333" s="154"/>
      <c r="BI333" s="154" t="e">
        <f t="shared" si="44"/>
        <v>#DIV/0!</v>
      </c>
      <c r="BJ333" s="415">
        <f t="shared" si="98"/>
        <v>0</v>
      </c>
      <c r="BK333" s="415">
        <f t="shared" si="99"/>
        <v>150</v>
      </c>
      <c r="BL333" s="415">
        <f t="shared" si="100"/>
        <v>150</v>
      </c>
      <c r="BM333" s="415">
        <f t="shared" si="101"/>
        <v>95.90987</v>
      </c>
    </row>
    <row r="334" spans="1:65" s="129" customFormat="1" ht="14.25">
      <c r="A334" s="141"/>
      <c r="B334" s="179"/>
      <c r="C334" s="158"/>
      <c r="D334" s="144"/>
      <c r="E334" s="165"/>
      <c r="F334" s="146"/>
      <c r="G334" s="146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56"/>
      <c r="S334" s="156"/>
      <c r="T334" s="152"/>
      <c r="U334" s="153"/>
      <c r="V334" s="154"/>
      <c r="W334" s="154" t="e">
        <f t="shared" si="76"/>
        <v>#DIV/0!</v>
      </c>
      <c r="X334" s="203"/>
      <c r="Y334" s="146"/>
      <c r="Z334" s="165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56"/>
      <c r="AL334" s="156"/>
      <c r="AM334" s="156"/>
      <c r="AN334" s="153"/>
      <c r="AO334" s="201"/>
      <c r="AP334" s="154" t="e">
        <f t="shared" si="121"/>
        <v>#DIV/0!</v>
      </c>
      <c r="AQ334" s="165"/>
      <c r="AR334" s="146"/>
      <c r="AS334" s="147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56"/>
      <c r="BE334" s="156"/>
      <c r="BF334" s="156"/>
      <c r="BG334" s="153"/>
      <c r="BH334" s="154"/>
      <c r="BI334" s="154" t="e">
        <f t="shared" si="44"/>
        <v>#DIV/0!</v>
      </c>
      <c r="BJ334" s="415">
        <f t="shared" si="98"/>
        <v>0</v>
      </c>
      <c r="BK334" s="415">
        <f t="shared" si="99"/>
        <v>0</v>
      </c>
      <c r="BL334" s="415">
        <f t="shared" si="100"/>
        <v>0</v>
      </c>
      <c r="BM334" s="415">
        <f t="shared" si="101"/>
        <v>0</v>
      </c>
    </row>
    <row r="335" spans="1:65" s="129" customFormat="1" ht="24.75" customHeight="1">
      <c r="A335" s="130" t="s">
        <v>468</v>
      </c>
      <c r="B335" s="131" t="s">
        <v>748</v>
      </c>
      <c r="C335" s="132"/>
      <c r="D335" s="133">
        <v>6</v>
      </c>
      <c r="E335" s="134">
        <f>SUM(E336:E338)</f>
        <v>0</v>
      </c>
      <c r="F335" s="134">
        <f>SUM(F336:F338)</f>
        <v>0</v>
      </c>
      <c r="G335" s="134">
        <f>SUM(G336:G338)</f>
        <v>0</v>
      </c>
      <c r="H335" s="135">
        <f>SUM(H336:H338)</f>
        <v>0</v>
      </c>
      <c r="I335" s="135">
        <f aca="true" t="shared" si="146" ref="I335:Q335">SUM(I336:I338)</f>
        <v>0</v>
      </c>
      <c r="J335" s="135">
        <f t="shared" si="146"/>
        <v>0</v>
      </c>
      <c r="K335" s="135">
        <f t="shared" si="146"/>
        <v>0</v>
      </c>
      <c r="L335" s="135">
        <f t="shared" si="146"/>
        <v>0</v>
      </c>
      <c r="M335" s="135">
        <f t="shared" si="146"/>
        <v>0</v>
      </c>
      <c r="N335" s="135">
        <f t="shared" si="146"/>
        <v>0</v>
      </c>
      <c r="O335" s="135">
        <f t="shared" si="146"/>
        <v>0</v>
      </c>
      <c r="P335" s="135">
        <f t="shared" si="146"/>
        <v>0</v>
      </c>
      <c r="Q335" s="135">
        <f t="shared" si="146"/>
        <v>0</v>
      </c>
      <c r="R335" s="136"/>
      <c r="S335" s="136"/>
      <c r="T335" s="137"/>
      <c r="U335" s="138"/>
      <c r="V335" s="139"/>
      <c r="W335" s="139" t="e">
        <f t="shared" si="76"/>
        <v>#DIV/0!</v>
      </c>
      <c r="X335" s="134">
        <f>SUM(X336:X338)</f>
        <v>0</v>
      </c>
      <c r="Y335" s="134">
        <f>SUM(Y336:Y338)</f>
        <v>0</v>
      </c>
      <c r="Z335" s="134">
        <f>SUM(Z336:Z338)</f>
        <v>0</v>
      </c>
      <c r="AA335" s="135">
        <f>SUM(AA336:AA338)</f>
        <v>0</v>
      </c>
      <c r="AB335" s="135">
        <f aca="true" t="shared" si="147" ref="AB335:AJ335">SUM(AB336:AB338)</f>
        <v>0</v>
      </c>
      <c r="AC335" s="135">
        <f t="shared" si="147"/>
        <v>0</v>
      </c>
      <c r="AD335" s="135">
        <f>SUM(AE336:AE338)</f>
        <v>0</v>
      </c>
      <c r="AE335" s="135">
        <f t="shared" si="147"/>
        <v>0</v>
      </c>
      <c r="AF335" s="135">
        <f t="shared" si="147"/>
        <v>0</v>
      </c>
      <c r="AG335" s="135">
        <f>SUM(AE336:AE338)</f>
        <v>0</v>
      </c>
      <c r="AH335" s="135">
        <f t="shared" si="147"/>
        <v>0</v>
      </c>
      <c r="AI335" s="135">
        <f t="shared" si="147"/>
        <v>0</v>
      </c>
      <c r="AJ335" s="135">
        <f t="shared" si="147"/>
        <v>0</v>
      </c>
      <c r="AK335" s="136"/>
      <c r="AL335" s="136"/>
      <c r="AM335" s="136"/>
      <c r="AN335" s="138"/>
      <c r="AO335" s="139"/>
      <c r="AP335" s="139" t="e">
        <f t="shared" si="121"/>
        <v>#DIV/0!</v>
      </c>
      <c r="AQ335" s="134">
        <f>SUM(AQ336:AQ338)</f>
        <v>0</v>
      </c>
      <c r="AR335" s="134">
        <f>SUM(AR336:AR338)</f>
        <v>140</v>
      </c>
      <c r="AS335" s="134">
        <f>SUM(AS336:AS338)</f>
        <v>140</v>
      </c>
      <c r="AT335" s="135">
        <f>SUM(AT336:AT338)</f>
        <v>361.5654</v>
      </c>
      <c r="AU335" s="135">
        <f aca="true" t="shared" si="148" ref="AU335:BC335">SUM(AU336:AU338)</f>
        <v>206.89842</v>
      </c>
      <c r="AV335" s="135">
        <f t="shared" si="148"/>
        <v>108.07</v>
      </c>
      <c r="AW335" s="135">
        <f>SUM(AX336:AX338)</f>
        <v>32.83233</v>
      </c>
      <c r="AX335" s="135">
        <f t="shared" si="148"/>
        <v>32.83233</v>
      </c>
      <c r="AY335" s="135">
        <f t="shared" si="148"/>
        <v>0</v>
      </c>
      <c r="AZ335" s="135">
        <f t="shared" si="148"/>
        <v>0</v>
      </c>
      <c r="BA335" s="135">
        <f t="shared" si="148"/>
        <v>44.51463</v>
      </c>
      <c r="BB335" s="135">
        <f t="shared" si="148"/>
        <v>108.07</v>
      </c>
      <c r="BC335" s="135">
        <f t="shared" si="148"/>
        <v>24.684</v>
      </c>
      <c r="BD335" s="136"/>
      <c r="BE335" s="136"/>
      <c r="BF335" s="136"/>
      <c r="BG335" s="138"/>
      <c r="BH335" s="139"/>
      <c r="BI335" s="139">
        <f t="shared" si="44"/>
        <v>2.5826100000000003</v>
      </c>
      <c r="BJ335" s="415">
        <f t="shared" si="98"/>
        <v>0</v>
      </c>
      <c r="BK335" s="415">
        <f t="shared" si="99"/>
        <v>140</v>
      </c>
      <c r="BL335" s="415">
        <f t="shared" si="100"/>
        <v>140</v>
      </c>
      <c r="BM335" s="415">
        <f t="shared" si="101"/>
        <v>361.5654</v>
      </c>
    </row>
    <row r="336" spans="1:65" s="129" customFormat="1" ht="18.75" outlineLevel="1">
      <c r="A336" s="141" t="s">
        <v>470</v>
      </c>
      <c r="B336" s="274" t="s">
        <v>749</v>
      </c>
      <c r="C336" s="158" t="s">
        <v>750</v>
      </c>
      <c r="D336" s="144">
        <v>6</v>
      </c>
      <c r="E336" s="165"/>
      <c r="F336" s="273"/>
      <c r="G336" s="273"/>
      <c r="H336" s="166"/>
      <c r="I336" s="149"/>
      <c r="J336" s="149"/>
      <c r="K336" s="149"/>
      <c r="L336" s="149"/>
      <c r="M336" s="149"/>
      <c r="N336" s="149"/>
      <c r="O336" s="149"/>
      <c r="P336" s="149"/>
      <c r="Q336" s="149"/>
      <c r="R336" s="156"/>
      <c r="S336" s="156"/>
      <c r="T336" s="152"/>
      <c r="U336" s="153"/>
      <c r="V336" s="154"/>
      <c r="W336" s="154" t="e">
        <f t="shared" si="76"/>
        <v>#DIV/0!</v>
      </c>
      <c r="X336" s="203"/>
      <c r="Y336" s="273"/>
      <c r="Z336" s="273"/>
      <c r="AA336" s="166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56"/>
      <c r="AL336" s="156"/>
      <c r="AM336" s="156"/>
      <c r="AN336" s="153"/>
      <c r="AO336" s="201"/>
      <c r="AP336" s="154" t="e">
        <f t="shared" si="121"/>
        <v>#DIV/0!</v>
      </c>
      <c r="AQ336" s="165"/>
      <c r="AR336" s="273">
        <v>100</v>
      </c>
      <c r="AS336" s="273">
        <v>100</v>
      </c>
      <c r="AT336" s="166">
        <v>149.1704</v>
      </c>
      <c r="AU336" s="149">
        <v>74.14442</v>
      </c>
      <c r="AV336" s="149">
        <v>0</v>
      </c>
      <c r="AW336" s="149">
        <v>19.60999</v>
      </c>
      <c r="AX336" s="149">
        <v>16.26733</v>
      </c>
      <c r="AY336" s="149">
        <v>0</v>
      </c>
      <c r="AZ336" s="149">
        <v>0</v>
      </c>
      <c r="BA336" s="149">
        <v>21.50263</v>
      </c>
      <c r="BB336" s="149">
        <v>0</v>
      </c>
      <c r="BC336" s="149">
        <v>0</v>
      </c>
      <c r="BD336" s="150" t="s">
        <v>119</v>
      </c>
      <c r="BE336" s="151" t="s">
        <v>120</v>
      </c>
      <c r="BF336" s="156"/>
      <c r="BG336" s="153">
        <v>68</v>
      </c>
      <c r="BH336" s="154"/>
      <c r="BI336" s="154">
        <f t="shared" si="44"/>
        <v>1.491704</v>
      </c>
      <c r="BJ336" s="415">
        <f t="shared" si="98"/>
        <v>0</v>
      </c>
      <c r="BK336" s="415">
        <f t="shared" si="99"/>
        <v>100</v>
      </c>
      <c r="BL336" s="415">
        <f t="shared" si="100"/>
        <v>100</v>
      </c>
      <c r="BM336" s="415">
        <f t="shared" si="101"/>
        <v>149.1704</v>
      </c>
    </row>
    <row r="337" spans="1:65" s="129" customFormat="1" ht="18.75" outlineLevel="1">
      <c r="A337" s="141" t="s">
        <v>473</v>
      </c>
      <c r="B337" s="177" t="s">
        <v>619</v>
      </c>
      <c r="C337" s="158" t="s">
        <v>620</v>
      </c>
      <c r="D337" s="144">
        <v>6</v>
      </c>
      <c r="E337" s="165"/>
      <c r="F337" s="146"/>
      <c r="G337" s="146"/>
      <c r="H337" s="166"/>
      <c r="I337" s="149"/>
      <c r="J337" s="149"/>
      <c r="K337" s="149"/>
      <c r="L337" s="149"/>
      <c r="M337" s="149"/>
      <c r="N337" s="149"/>
      <c r="O337" s="149"/>
      <c r="P337" s="149"/>
      <c r="Q337" s="149"/>
      <c r="R337" s="156"/>
      <c r="S337" s="156"/>
      <c r="T337" s="152"/>
      <c r="U337" s="153"/>
      <c r="V337" s="154"/>
      <c r="W337" s="154" t="e">
        <f t="shared" si="76"/>
        <v>#DIV/0!</v>
      </c>
      <c r="X337" s="203"/>
      <c r="Y337" s="146"/>
      <c r="Z337" s="165"/>
      <c r="AA337" s="166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56"/>
      <c r="AL337" s="156"/>
      <c r="AM337" s="156"/>
      <c r="AN337" s="153"/>
      <c r="AO337" s="201"/>
      <c r="AP337" s="154" t="e">
        <f t="shared" si="121"/>
        <v>#DIV/0!</v>
      </c>
      <c r="AQ337" s="165"/>
      <c r="AR337" s="146">
        <v>40</v>
      </c>
      <c r="AS337" s="147">
        <v>40</v>
      </c>
      <c r="AT337" s="166">
        <v>212.395</v>
      </c>
      <c r="AU337" s="149">
        <v>132.754</v>
      </c>
      <c r="AV337" s="149">
        <v>108.07</v>
      </c>
      <c r="AW337" s="149">
        <v>24.684</v>
      </c>
      <c r="AX337" s="149">
        <v>16.565</v>
      </c>
      <c r="AY337" s="149">
        <v>0</v>
      </c>
      <c r="AZ337" s="149">
        <v>0</v>
      </c>
      <c r="BA337" s="149">
        <v>23.012</v>
      </c>
      <c r="BB337" s="149">
        <v>108.07</v>
      </c>
      <c r="BC337" s="149">
        <v>24.684</v>
      </c>
      <c r="BD337" s="150" t="s">
        <v>119</v>
      </c>
      <c r="BE337" s="151" t="s">
        <v>120</v>
      </c>
      <c r="BF337" s="156"/>
      <c r="BG337" s="153">
        <v>300</v>
      </c>
      <c r="BH337" s="154"/>
      <c r="BI337" s="154">
        <f t="shared" si="44"/>
        <v>5.309875</v>
      </c>
      <c r="BJ337" s="415">
        <f t="shared" si="98"/>
        <v>0</v>
      </c>
      <c r="BK337" s="415">
        <f t="shared" si="99"/>
        <v>40</v>
      </c>
      <c r="BL337" s="415">
        <f t="shared" si="100"/>
        <v>40</v>
      </c>
      <c r="BM337" s="415">
        <f t="shared" si="101"/>
        <v>212.395</v>
      </c>
    </row>
    <row r="338" spans="1:65" s="129" customFormat="1" ht="14.25">
      <c r="A338" s="141"/>
      <c r="B338" s="179"/>
      <c r="C338" s="158"/>
      <c r="D338" s="144"/>
      <c r="E338" s="165"/>
      <c r="F338" s="146"/>
      <c r="G338" s="146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56"/>
      <c r="S338" s="156"/>
      <c r="T338" s="152"/>
      <c r="U338" s="153"/>
      <c r="V338" s="154"/>
      <c r="W338" s="154" t="e">
        <f t="shared" si="76"/>
        <v>#DIV/0!</v>
      </c>
      <c r="X338" s="203"/>
      <c r="Y338" s="146"/>
      <c r="Z338" s="165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56"/>
      <c r="AL338" s="156"/>
      <c r="AM338" s="156"/>
      <c r="AN338" s="153"/>
      <c r="AO338" s="201"/>
      <c r="AP338" s="154" t="e">
        <f t="shared" si="121"/>
        <v>#DIV/0!</v>
      </c>
      <c r="AQ338" s="165"/>
      <c r="AR338" s="146"/>
      <c r="AS338" s="147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56"/>
      <c r="BE338" s="156"/>
      <c r="BF338" s="156"/>
      <c r="BG338" s="153"/>
      <c r="BH338" s="154"/>
      <c r="BI338" s="154" t="e">
        <f t="shared" si="44"/>
        <v>#DIV/0!</v>
      </c>
      <c r="BJ338" s="415">
        <f t="shared" si="98"/>
        <v>0</v>
      </c>
      <c r="BK338" s="415">
        <f t="shared" si="99"/>
        <v>0</v>
      </c>
      <c r="BL338" s="415">
        <f t="shared" si="100"/>
        <v>0</v>
      </c>
      <c r="BM338" s="415">
        <f t="shared" si="101"/>
        <v>0</v>
      </c>
    </row>
    <row r="339" spans="1:65" s="129" customFormat="1" ht="90" customHeight="1">
      <c r="A339" s="264" t="s">
        <v>751</v>
      </c>
      <c r="B339" s="265" t="s">
        <v>752</v>
      </c>
      <c r="C339" s="249"/>
      <c r="D339" s="266"/>
      <c r="E339" s="267">
        <f>E340+E343+E346</f>
        <v>0</v>
      </c>
      <c r="F339" s="267">
        <f>F340+F343+F346</f>
        <v>450</v>
      </c>
      <c r="G339" s="267">
        <f>G340+G343+G346</f>
        <v>450</v>
      </c>
      <c r="H339" s="268">
        <f>H340+H343+H346</f>
        <v>771.40025</v>
      </c>
      <c r="I339" s="268">
        <f aca="true" t="shared" si="149" ref="I339:P339">I340+I343+I346</f>
        <v>0</v>
      </c>
      <c r="J339" s="268">
        <f t="shared" si="149"/>
        <v>370</v>
      </c>
      <c r="K339" s="268">
        <f t="shared" si="149"/>
        <v>0</v>
      </c>
      <c r="L339" s="268">
        <f t="shared" si="149"/>
        <v>0</v>
      </c>
      <c r="M339" s="268">
        <f t="shared" si="149"/>
        <v>0</v>
      </c>
      <c r="N339" s="268">
        <f t="shared" si="149"/>
        <v>0</v>
      </c>
      <c r="O339" s="268">
        <f t="shared" si="149"/>
        <v>0</v>
      </c>
      <c r="P339" s="268">
        <f t="shared" si="149"/>
        <v>370</v>
      </c>
      <c r="Q339" s="268">
        <f>Q340+Q343+Q346</f>
        <v>0</v>
      </c>
      <c r="R339" s="269"/>
      <c r="S339" s="269"/>
      <c r="T339" s="270"/>
      <c r="U339" s="271"/>
      <c r="V339" s="272"/>
      <c r="W339" s="272">
        <f t="shared" si="76"/>
        <v>1.7142227777777779</v>
      </c>
      <c r="X339" s="267">
        <f>X340+X343+X346</f>
        <v>0</v>
      </c>
      <c r="Y339" s="267">
        <f>Y340+Y343+Y346</f>
        <v>665</v>
      </c>
      <c r="Z339" s="267">
        <f>Z340+Z343+Z346</f>
        <v>665</v>
      </c>
      <c r="AA339" s="268">
        <f>AA340+AA343+AA346</f>
        <v>1946.5463100000002</v>
      </c>
      <c r="AB339" s="268">
        <f aca="true" t="shared" si="150" ref="AB339:AI339">AB340+AB343+AB346</f>
        <v>1632.08276</v>
      </c>
      <c r="AC339" s="268">
        <f t="shared" si="150"/>
        <v>895.0848900000001</v>
      </c>
      <c r="AD339" s="268">
        <f>AE340+AE343+AE346</f>
        <v>104.84951</v>
      </c>
      <c r="AE339" s="268">
        <f t="shared" si="150"/>
        <v>104.84951</v>
      </c>
      <c r="AF339" s="268">
        <f t="shared" si="150"/>
        <v>0</v>
      </c>
      <c r="AG339" s="268">
        <f>AE340+AE343+AE346</f>
        <v>104.84951</v>
      </c>
      <c r="AH339" s="268">
        <f t="shared" si="150"/>
        <v>46.32516</v>
      </c>
      <c r="AI339" s="268">
        <f t="shared" si="150"/>
        <v>875.89831</v>
      </c>
      <c r="AJ339" s="268">
        <f>AJ340+AJ343+AJ346</f>
        <v>447.30899999999997</v>
      </c>
      <c r="AK339" s="269"/>
      <c r="AL339" s="269"/>
      <c r="AM339" s="269"/>
      <c r="AN339" s="271"/>
      <c r="AO339" s="272"/>
      <c r="AP339" s="272">
        <f t="shared" si="121"/>
        <v>2.927137308270677</v>
      </c>
      <c r="AQ339" s="267">
        <f>AQ340+AQ343+AQ346</f>
        <v>0</v>
      </c>
      <c r="AR339" s="267">
        <f>AR340+AR343+AR346</f>
        <v>365</v>
      </c>
      <c r="AS339" s="267">
        <f>AS340+AS343+AS346</f>
        <v>365</v>
      </c>
      <c r="AT339" s="268">
        <f>AT340+AT343+AT346</f>
        <v>1445.33392</v>
      </c>
      <c r="AU339" s="268">
        <f aca="true" t="shared" si="151" ref="AU339:BB339">AU340+AU343+AU346</f>
        <v>1294.76259</v>
      </c>
      <c r="AV339" s="268">
        <f t="shared" si="151"/>
        <v>672.65331</v>
      </c>
      <c r="AW339" s="268">
        <f>AX340+AX343+AX346</f>
        <v>33.52943</v>
      </c>
      <c r="AX339" s="268">
        <f t="shared" si="151"/>
        <v>33.52943</v>
      </c>
      <c r="AY339" s="268">
        <f t="shared" si="151"/>
        <v>0</v>
      </c>
      <c r="AZ339" s="268">
        <f t="shared" si="151"/>
        <v>0</v>
      </c>
      <c r="BA339" s="268">
        <f t="shared" si="151"/>
        <v>39.49785</v>
      </c>
      <c r="BB339" s="268">
        <f t="shared" si="151"/>
        <v>672.65331</v>
      </c>
      <c r="BC339" s="268">
        <f>BC340+BC343+BC346</f>
        <v>984.943</v>
      </c>
      <c r="BD339" s="269"/>
      <c r="BE339" s="269"/>
      <c r="BF339" s="269"/>
      <c r="BG339" s="271"/>
      <c r="BH339" s="272"/>
      <c r="BI339" s="272">
        <f t="shared" si="44"/>
        <v>3.9598189589041097</v>
      </c>
      <c r="BJ339" s="415">
        <f t="shared" si="98"/>
        <v>0</v>
      </c>
      <c r="BK339" s="415">
        <f t="shared" si="99"/>
        <v>1480</v>
      </c>
      <c r="BL339" s="415">
        <f t="shared" si="100"/>
        <v>1480</v>
      </c>
      <c r="BM339" s="415">
        <f t="shared" si="101"/>
        <v>4163.28048</v>
      </c>
    </row>
    <row r="340" spans="1:65" s="129" customFormat="1" ht="24.75" customHeight="1">
      <c r="A340" s="130" t="s">
        <v>114</v>
      </c>
      <c r="B340" s="131" t="s">
        <v>753</v>
      </c>
      <c r="C340" s="132"/>
      <c r="D340" s="133">
        <v>6</v>
      </c>
      <c r="E340" s="134">
        <f>SUM(E341:E342)</f>
        <v>0</v>
      </c>
      <c r="F340" s="134">
        <f>SUM(F341:F342)</f>
        <v>0</v>
      </c>
      <c r="G340" s="134">
        <f>SUM(G341:G342)</f>
        <v>0</v>
      </c>
      <c r="H340" s="135">
        <f>SUM(H341:H342)</f>
        <v>0</v>
      </c>
      <c r="I340" s="135">
        <f aca="true" t="shared" si="152" ref="I340:Q340">SUM(I341:I342)</f>
        <v>0</v>
      </c>
      <c r="J340" s="135">
        <f t="shared" si="152"/>
        <v>0</v>
      </c>
      <c r="K340" s="135">
        <f t="shared" si="152"/>
        <v>0</v>
      </c>
      <c r="L340" s="135">
        <f t="shared" si="152"/>
        <v>0</v>
      </c>
      <c r="M340" s="135">
        <f t="shared" si="152"/>
        <v>0</v>
      </c>
      <c r="N340" s="135">
        <f t="shared" si="152"/>
        <v>0</v>
      </c>
      <c r="O340" s="135">
        <f t="shared" si="152"/>
        <v>0</v>
      </c>
      <c r="P340" s="135">
        <f t="shared" si="152"/>
        <v>0</v>
      </c>
      <c r="Q340" s="135">
        <f t="shared" si="152"/>
        <v>0</v>
      </c>
      <c r="R340" s="136"/>
      <c r="S340" s="136"/>
      <c r="T340" s="137"/>
      <c r="U340" s="138"/>
      <c r="V340" s="139"/>
      <c r="W340" s="139" t="e">
        <f t="shared" si="76"/>
        <v>#DIV/0!</v>
      </c>
      <c r="X340" s="134">
        <f>SUM(X341:X342)</f>
        <v>0</v>
      </c>
      <c r="Y340" s="134">
        <f>SUM(Y341:Y342)</f>
        <v>100</v>
      </c>
      <c r="Z340" s="134">
        <f>SUM(Z341:Z342)</f>
        <v>100</v>
      </c>
      <c r="AA340" s="135">
        <f>SUM(AA341:AA342)</f>
        <v>775.264</v>
      </c>
      <c r="AB340" s="135">
        <f aca="true" t="shared" si="153" ref="AB340:AJ340">SUM(AB341:AB342)</f>
        <v>680.232</v>
      </c>
      <c r="AC340" s="135">
        <f t="shared" si="153"/>
        <v>209.18658</v>
      </c>
      <c r="AD340" s="135">
        <f>SUM(AE341:AE342)</f>
        <v>22.49951</v>
      </c>
      <c r="AE340" s="135">
        <f t="shared" si="153"/>
        <v>22.49951</v>
      </c>
      <c r="AF340" s="135">
        <f t="shared" si="153"/>
        <v>0</v>
      </c>
      <c r="AG340" s="135">
        <f>SUM(AE341:AE342)</f>
        <v>22.49951</v>
      </c>
      <c r="AH340" s="135">
        <f t="shared" si="153"/>
        <v>18.22416</v>
      </c>
      <c r="AI340" s="135">
        <f t="shared" si="153"/>
        <v>190</v>
      </c>
      <c r="AJ340" s="135">
        <f t="shared" si="153"/>
        <v>381.356</v>
      </c>
      <c r="AK340" s="136"/>
      <c r="AL340" s="136"/>
      <c r="AM340" s="136"/>
      <c r="AN340" s="138"/>
      <c r="AO340" s="139"/>
      <c r="AP340" s="139">
        <f t="shared" si="121"/>
        <v>7.75264</v>
      </c>
      <c r="AQ340" s="134">
        <f>SUM(AQ341:AQ342)</f>
        <v>0</v>
      </c>
      <c r="AR340" s="134">
        <f>SUM(AR341:AR342)</f>
        <v>0</v>
      </c>
      <c r="AS340" s="134">
        <f>SUM(AS341:AS342)</f>
        <v>0</v>
      </c>
      <c r="AT340" s="135">
        <f>SUM(AT341:AT342)</f>
        <v>0</v>
      </c>
      <c r="AU340" s="135">
        <f aca="true" t="shared" si="154" ref="AU340:BC340">SUM(AU341:AU342)</f>
        <v>0</v>
      </c>
      <c r="AV340" s="135">
        <f t="shared" si="154"/>
        <v>0</v>
      </c>
      <c r="AW340" s="135">
        <f>SUM(AX341:AX342)</f>
        <v>0</v>
      </c>
      <c r="AX340" s="135">
        <f t="shared" si="154"/>
        <v>0</v>
      </c>
      <c r="AY340" s="135">
        <f t="shared" si="154"/>
        <v>0</v>
      </c>
      <c r="AZ340" s="135">
        <f t="shared" si="154"/>
        <v>0</v>
      </c>
      <c r="BA340" s="135">
        <f t="shared" si="154"/>
        <v>0</v>
      </c>
      <c r="BB340" s="135">
        <f t="shared" si="154"/>
        <v>0</v>
      </c>
      <c r="BC340" s="135">
        <f t="shared" si="154"/>
        <v>0</v>
      </c>
      <c r="BD340" s="136"/>
      <c r="BE340" s="136"/>
      <c r="BF340" s="136"/>
      <c r="BG340" s="138"/>
      <c r="BH340" s="139"/>
      <c r="BI340" s="139" t="e">
        <f t="shared" si="44"/>
        <v>#DIV/0!</v>
      </c>
      <c r="BJ340" s="415">
        <f t="shared" si="98"/>
        <v>0</v>
      </c>
      <c r="BK340" s="415">
        <f t="shared" si="99"/>
        <v>100</v>
      </c>
      <c r="BL340" s="415">
        <f t="shared" si="100"/>
        <v>100</v>
      </c>
      <c r="BM340" s="415">
        <f t="shared" si="101"/>
        <v>775.264</v>
      </c>
    </row>
    <row r="341" spans="1:65" s="129" customFormat="1" ht="18.75" outlineLevel="1">
      <c r="A341" s="141" t="s">
        <v>116</v>
      </c>
      <c r="B341" s="159" t="s">
        <v>665</v>
      </c>
      <c r="C341" s="160" t="s">
        <v>666</v>
      </c>
      <c r="D341" s="144">
        <v>6</v>
      </c>
      <c r="E341" s="165"/>
      <c r="F341" s="146"/>
      <c r="G341" s="146"/>
      <c r="H341" s="162"/>
      <c r="I341" s="149"/>
      <c r="J341" s="149"/>
      <c r="K341" s="149"/>
      <c r="L341" s="149"/>
      <c r="M341" s="149"/>
      <c r="N341" s="149"/>
      <c r="O341" s="149"/>
      <c r="P341" s="149"/>
      <c r="Q341" s="149"/>
      <c r="R341" s="156"/>
      <c r="S341" s="156"/>
      <c r="T341" s="152"/>
      <c r="U341" s="153"/>
      <c r="V341" s="154"/>
      <c r="W341" s="154" t="e">
        <f t="shared" si="76"/>
        <v>#DIV/0!</v>
      </c>
      <c r="X341" s="203"/>
      <c r="Y341" s="146">
        <v>100</v>
      </c>
      <c r="Z341" s="146">
        <v>100</v>
      </c>
      <c r="AA341" s="162">
        <v>775.264</v>
      </c>
      <c r="AB341" s="149">
        <v>680.232</v>
      </c>
      <c r="AC341" s="149">
        <v>209.18658</v>
      </c>
      <c r="AD341" s="149">
        <v>89.37414</v>
      </c>
      <c r="AE341" s="149">
        <v>22.49951</v>
      </c>
      <c r="AF341" s="149">
        <v>0</v>
      </c>
      <c r="AG341" s="149">
        <v>0</v>
      </c>
      <c r="AH341" s="149">
        <v>18.22416</v>
      </c>
      <c r="AI341" s="149">
        <v>190</v>
      </c>
      <c r="AJ341" s="149">
        <v>381.356</v>
      </c>
      <c r="AK341" s="150" t="s">
        <v>119</v>
      </c>
      <c r="AL341" s="151" t="s">
        <v>120</v>
      </c>
      <c r="AM341" s="156"/>
      <c r="AN341" s="153">
        <v>46</v>
      </c>
      <c r="AO341" s="201"/>
      <c r="AP341" s="154">
        <f t="shared" si="121"/>
        <v>7.75264</v>
      </c>
      <c r="AQ341" s="165"/>
      <c r="AR341" s="146"/>
      <c r="AS341" s="146"/>
      <c r="AT341" s="162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56"/>
      <c r="BE341" s="156"/>
      <c r="BF341" s="156"/>
      <c r="BG341" s="153"/>
      <c r="BH341" s="154"/>
      <c r="BI341" s="154" t="e">
        <f t="shared" si="44"/>
        <v>#DIV/0!</v>
      </c>
      <c r="BJ341" s="415">
        <f t="shared" si="98"/>
        <v>0</v>
      </c>
      <c r="BK341" s="415">
        <f t="shared" si="99"/>
        <v>100</v>
      </c>
      <c r="BL341" s="415">
        <f t="shared" si="100"/>
        <v>100</v>
      </c>
      <c r="BM341" s="415">
        <f t="shared" si="101"/>
        <v>775.264</v>
      </c>
    </row>
    <row r="342" spans="1:65" s="129" customFormat="1" ht="14.25">
      <c r="A342" s="141"/>
      <c r="B342" s="179"/>
      <c r="C342" s="158"/>
      <c r="D342" s="144"/>
      <c r="E342" s="165"/>
      <c r="F342" s="146"/>
      <c r="G342" s="146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56"/>
      <c r="S342" s="156"/>
      <c r="T342" s="152"/>
      <c r="U342" s="153"/>
      <c r="V342" s="154"/>
      <c r="W342" s="154" t="e">
        <f t="shared" si="76"/>
        <v>#DIV/0!</v>
      </c>
      <c r="X342" s="203"/>
      <c r="Y342" s="146"/>
      <c r="Z342" s="165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56"/>
      <c r="AL342" s="156"/>
      <c r="AM342" s="156"/>
      <c r="AN342" s="153"/>
      <c r="AO342" s="201"/>
      <c r="AP342" s="154" t="e">
        <f t="shared" si="121"/>
        <v>#DIV/0!</v>
      </c>
      <c r="AQ342" s="165"/>
      <c r="AR342" s="146"/>
      <c r="AS342" s="147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56"/>
      <c r="BE342" s="156"/>
      <c r="BF342" s="156"/>
      <c r="BG342" s="153"/>
      <c r="BH342" s="154"/>
      <c r="BI342" s="154" t="e">
        <f t="shared" si="44"/>
        <v>#DIV/0!</v>
      </c>
      <c r="BJ342" s="415">
        <f t="shared" si="98"/>
        <v>0</v>
      </c>
      <c r="BK342" s="415">
        <f t="shared" si="99"/>
        <v>0</v>
      </c>
      <c r="BL342" s="415">
        <f t="shared" si="100"/>
        <v>0</v>
      </c>
      <c r="BM342" s="415">
        <f t="shared" si="101"/>
        <v>0</v>
      </c>
    </row>
    <row r="343" spans="1:65" s="129" customFormat="1" ht="24.75" customHeight="1">
      <c r="A343" s="130" t="s">
        <v>144</v>
      </c>
      <c r="B343" s="131" t="s">
        <v>754</v>
      </c>
      <c r="C343" s="132"/>
      <c r="D343" s="133">
        <v>6</v>
      </c>
      <c r="E343" s="134">
        <f>SUM(E344:E345)</f>
        <v>0</v>
      </c>
      <c r="F343" s="134">
        <f>SUM(F344:F345)</f>
        <v>0</v>
      </c>
      <c r="G343" s="134">
        <f>SUM(G344:G345)</f>
        <v>0</v>
      </c>
      <c r="H343" s="135">
        <f>SUM(H344:H345)</f>
        <v>0</v>
      </c>
      <c r="I343" s="135">
        <f aca="true" t="shared" si="155" ref="I343:Q343">SUM(I344:I345)</f>
        <v>0</v>
      </c>
      <c r="J343" s="135">
        <f t="shared" si="155"/>
        <v>0</v>
      </c>
      <c r="K343" s="135">
        <f t="shared" si="155"/>
        <v>0</v>
      </c>
      <c r="L343" s="135">
        <f t="shared" si="155"/>
        <v>0</v>
      </c>
      <c r="M343" s="135">
        <f t="shared" si="155"/>
        <v>0</v>
      </c>
      <c r="N343" s="135">
        <f t="shared" si="155"/>
        <v>0</v>
      </c>
      <c r="O343" s="135">
        <f t="shared" si="155"/>
        <v>0</v>
      </c>
      <c r="P343" s="135">
        <f t="shared" si="155"/>
        <v>0</v>
      </c>
      <c r="Q343" s="135">
        <f t="shared" si="155"/>
        <v>0</v>
      </c>
      <c r="R343" s="136"/>
      <c r="S343" s="136"/>
      <c r="T343" s="137"/>
      <c r="U343" s="138"/>
      <c r="V343" s="139"/>
      <c r="W343" s="139" t="e">
        <f t="shared" si="76"/>
        <v>#DIV/0!</v>
      </c>
      <c r="X343" s="134">
        <f>SUM(X344:X345)</f>
        <v>0</v>
      </c>
      <c r="Y343" s="134">
        <f>SUM(Y344:Y345)</f>
        <v>100</v>
      </c>
      <c r="Z343" s="134">
        <f>SUM(Z344:Z345)</f>
        <v>100</v>
      </c>
      <c r="AA343" s="135">
        <f>SUM(AA344:AA345)</f>
        <v>0</v>
      </c>
      <c r="AB343" s="135">
        <f aca="true" t="shared" si="156" ref="AB343:AJ343">SUM(AB344:AB345)</f>
        <v>0</v>
      </c>
      <c r="AC343" s="135">
        <f t="shared" si="156"/>
        <v>0</v>
      </c>
      <c r="AD343" s="135">
        <f>SUM(AE344:AE345)</f>
        <v>0</v>
      </c>
      <c r="AE343" s="135">
        <f t="shared" si="156"/>
        <v>0</v>
      </c>
      <c r="AF343" s="135">
        <f t="shared" si="156"/>
        <v>0</v>
      </c>
      <c r="AG343" s="135">
        <f>SUM(AE344:AE345)</f>
        <v>0</v>
      </c>
      <c r="AH343" s="135">
        <f t="shared" si="156"/>
        <v>0</v>
      </c>
      <c r="AI343" s="135">
        <f t="shared" si="156"/>
        <v>0</v>
      </c>
      <c r="AJ343" s="135">
        <f t="shared" si="156"/>
        <v>0</v>
      </c>
      <c r="AK343" s="136"/>
      <c r="AL343" s="136"/>
      <c r="AM343" s="136"/>
      <c r="AN343" s="138"/>
      <c r="AO343" s="139"/>
      <c r="AP343" s="139">
        <f t="shared" si="121"/>
        <v>0</v>
      </c>
      <c r="AQ343" s="134">
        <f>SUM(AQ344:AQ345)</f>
        <v>0</v>
      </c>
      <c r="AR343" s="134">
        <f>SUM(AR344:AR345)</f>
        <v>15</v>
      </c>
      <c r="AS343" s="134">
        <f>SUM(AS344:AS345)</f>
        <v>15</v>
      </c>
      <c r="AT343" s="135">
        <f>SUM(AT344:AT345)</f>
        <v>946.92692</v>
      </c>
      <c r="AU343" s="135">
        <f aca="true" t="shared" si="157" ref="AU343:BC343">SUM(AU344:AU345)</f>
        <v>857.48659</v>
      </c>
      <c r="AV343" s="135">
        <f t="shared" si="157"/>
        <v>272.59831</v>
      </c>
      <c r="AW343" s="135">
        <f>SUM(AX344:AX345)</f>
        <v>19.76843</v>
      </c>
      <c r="AX343" s="135">
        <f t="shared" si="157"/>
        <v>19.76843</v>
      </c>
      <c r="AY343" s="135">
        <f t="shared" si="157"/>
        <v>0</v>
      </c>
      <c r="AZ343" s="135">
        <f t="shared" si="157"/>
        <v>0</v>
      </c>
      <c r="BA343" s="135">
        <f t="shared" si="157"/>
        <v>22.45885</v>
      </c>
      <c r="BB343" s="135">
        <f t="shared" si="157"/>
        <v>272.59831</v>
      </c>
      <c r="BC343" s="135">
        <f t="shared" si="157"/>
        <v>584.888</v>
      </c>
      <c r="BD343" s="136"/>
      <c r="BE343" s="136"/>
      <c r="BF343" s="136"/>
      <c r="BG343" s="138"/>
      <c r="BH343" s="139"/>
      <c r="BI343" s="139">
        <f t="shared" si="44"/>
        <v>63.128461333333334</v>
      </c>
      <c r="BJ343" s="415">
        <f t="shared" si="98"/>
        <v>0</v>
      </c>
      <c r="BK343" s="415">
        <f t="shared" si="99"/>
        <v>115</v>
      </c>
      <c r="BL343" s="415">
        <f t="shared" si="100"/>
        <v>115</v>
      </c>
      <c r="BM343" s="415">
        <f t="shared" si="101"/>
        <v>946.92692</v>
      </c>
    </row>
    <row r="344" spans="1:65" s="129" customFormat="1" ht="18.75" outlineLevel="1">
      <c r="A344" s="141" t="s">
        <v>146</v>
      </c>
      <c r="B344" s="275" t="s">
        <v>755</v>
      </c>
      <c r="C344" s="160" t="s">
        <v>756</v>
      </c>
      <c r="D344" s="144">
        <v>6</v>
      </c>
      <c r="E344" s="165"/>
      <c r="F344" s="146"/>
      <c r="G344" s="146"/>
      <c r="H344" s="166"/>
      <c r="I344" s="149"/>
      <c r="J344" s="149"/>
      <c r="K344" s="149"/>
      <c r="L344" s="149"/>
      <c r="M344" s="149"/>
      <c r="N344" s="149"/>
      <c r="O344" s="149"/>
      <c r="P344" s="149"/>
      <c r="Q344" s="149"/>
      <c r="R344" s="156"/>
      <c r="S344" s="156"/>
      <c r="T344" s="152"/>
      <c r="U344" s="153"/>
      <c r="V344" s="154"/>
      <c r="W344" s="154" t="e">
        <f t="shared" si="76"/>
        <v>#DIV/0!</v>
      </c>
      <c r="X344" s="203"/>
      <c r="Y344" s="146">
        <v>100</v>
      </c>
      <c r="Z344" s="146">
        <v>100</v>
      </c>
      <c r="AA344" s="166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50" t="s">
        <v>119</v>
      </c>
      <c r="AL344" s="151" t="s">
        <v>120</v>
      </c>
      <c r="AM344" s="156"/>
      <c r="AN344" s="153"/>
      <c r="AO344" s="201"/>
      <c r="AP344" s="154">
        <f t="shared" si="121"/>
        <v>0</v>
      </c>
      <c r="AQ344" s="165"/>
      <c r="AR344" s="146">
        <v>15</v>
      </c>
      <c r="AS344" s="146">
        <v>15</v>
      </c>
      <c r="AT344" s="166">
        <v>946.92692</v>
      </c>
      <c r="AU344" s="149">
        <v>857.48659</v>
      </c>
      <c r="AV344" s="149">
        <v>272.59831</v>
      </c>
      <c r="AW344" s="149">
        <v>584.888</v>
      </c>
      <c r="AX344" s="149">
        <v>19.76843</v>
      </c>
      <c r="AY344" s="149">
        <v>0</v>
      </c>
      <c r="AZ344" s="149">
        <v>0</v>
      </c>
      <c r="BA344" s="149">
        <v>22.45885</v>
      </c>
      <c r="BB344" s="149">
        <v>272.59831</v>
      </c>
      <c r="BC344" s="149">
        <v>584.888</v>
      </c>
      <c r="BD344" s="150" t="s">
        <v>119</v>
      </c>
      <c r="BE344" s="151" t="s">
        <v>120</v>
      </c>
      <c r="BF344" s="156"/>
      <c r="BG344" s="153">
        <v>32</v>
      </c>
      <c r="BH344" s="154"/>
      <c r="BI344" s="154">
        <f t="shared" si="44"/>
        <v>63.128461333333334</v>
      </c>
      <c r="BJ344" s="415">
        <f t="shared" si="98"/>
        <v>0</v>
      </c>
      <c r="BK344" s="415">
        <f t="shared" si="99"/>
        <v>115</v>
      </c>
      <c r="BL344" s="415">
        <f t="shared" si="100"/>
        <v>115</v>
      </c>
      <c r="BM344" s="415">
        <f t="shared" si="101"/>
        <v>946.92692</v>
      </c>
    </row>
    <row r="345" spans="1:65" s="129" customFormat="1" ht="14.25">
      <c r="A345" s="141"/>
      <c r="B345" s="179"/>
      <c r="C345" s="158"/>
      <c r="D345" s="144"/>
      <c r="E345" s="165"/>
      <c r="F345" s="146"/>
      <c r="G345" s="146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56"/>
      <c r="S345" s="156"/>
      <c r="T345" s="152"/>
      <c r="U345" s="153"/>
      <c r="V345" s="154"/>
      <c r="W345" s="154" t="e">
        <f t="shared" si="76"/>
        <v>#DIV/0!</v>
      </c>
      <c r="X345" s="203"/>
      <c r="Y345" s="146"/>
      <c r="Z345" s="165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56"/>
      <c r="AL345" s="156"/>
      <c r="AM345" s="156"/>
      <c r="AN345" s="153"/>
      <c r="AO345" s="201"/>
      <c r="AP345" s="154" t="e">
        <f t="shared" si="121"/>
        <v>#DIV/0!</v>
      </c>
      <c r="AQ345" s="165"/>
      <c r="AR345" s="146"/>
      <c r="AS345" s="147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56"/>
      <c r="BE345" s="156"/>
      <c r="BF345" s="156"/>
      <c r="BG345" s="153"/>
      <c r="BH345" s="154"/>
      <c r="BI345" s="154" t="e">
        <f t="shared" si="44"/>
        <v>#DIV/0!</v>
      </c>
      <c r="BJ345" s="415">
        <f t="shared" si="98"/>
        <v>0</v>
      </c>
      <c r="BK345" s="415">
        <f t="shared" si="99"/>
        <v>0</v>
      </c>
      <c r="BL345" s="415">
        <f t="shared" si="100"/>
        <v>0</v>
      </c>
      <c r="BM345" s="415">
        <f t="shared" si="101"/>
        <v>0</v>
      </c>
    </row>
    <row r="346" spans="1:65" s="129" customFormat="1" ht="24.75" customHeight="1">
      <c r="A346" s="130" t="s">
        <v>5</v>
      </c>
      <c r="B346" s="131" t="s">
        <v>757</v>
      </c>
      <c r="C346" s="132"/>
      <c r="D346" s="133">
        <v>6</v>
      </c>
      <c r="E346" s="134">
        <f aca="true" t="shared" si="158" ref="E346:Q346">SUM(E347:E350)</f>
        <v>0</v>
      </c>
      <c r="F346" s="134">
        <f t="shared" si="158"/>
        <v>450</v>
      </c>
      <c r="G346" s="134">
        <f>SUM(G347:G350)</f>
        <v>450</v>
      </c>
      <c r="H346" s="135">
        <f t="shared" si="158"/>
        <v>771.40025</v>
      </c>
      <c r="I346" s="135">
        <f t="shared" si="158"/>
        <v>0</v>
      </c>
      <c r="J346" s="135">
        <f t="shared" si="158"/>
        <v>370</v>
      </c>
      <c r="K346" s="135">
        <f t="shared" si="158"/>
        <v>0</v>
      </c>
      <c r="L346" s="135">
        <f t="shared" si="158"/>
        <v>0</v>
      </c>
      <c r="M346" s="135">
        <f t="shared" si="158"/>
        <v>0</v>
      </c>
      <c r="N346" s="135">
        <f t="shared" si="158"/>
        <v>0</v>
      </c>
      <c r="O346" s="135">
        <f t="shared" si="158"/>
        <v>0</v>
      </c>
      <c r="P346" s="135">
        <f t="shared" si="158"/>
        <v>370</v>
      </c>
      <c r="Q346" s="135">
        <f t="shared" si="158"/>
        <v>0</v>
      </c>
      <c r="R346" s="136"/>
      <c r="S346" s="136"/>
      <c r="T346" s="137"/>
      <c r="U346" s="138"/>
      <c r="V346" s="139"/>
      <c r="W346" s="139">
        <f t="shared" si="76"/>
        <v>1.7142227777777779</v>
      </c>
      <c r="X346" s="134">
        <f aca="true" t="shared" si="159" ref="X346:AJ346">SUM(X347:X350)</f>
        <v>0</v>
      </c>
      <c r="Y346" s="134">
        <f t="shared" si="159"/>
        <v>465</v>
      </c>
      <c r="Z346" s="134">
        <f t="shared" si="159"/>
        <v>465</v>
      </c>
      <c r="AA346" s="135">
        <f t="shared" si="159"/>
        <v>1171.28231</v>
      </c>
      <c r="AB346" s="135">
        <f t="shared" si="159"/>
        <v>951.85076</v>
      </c>
      <c r="AC346" s="135">
        <f t="shared" si="159"/>
        <v>685.89831</v>
      </c>
      <c r="AD346" s="135">
        <f>SUM(AE347:AE350)</f>
        <v>82.35</v>
      </c>
      <c r="AE346" s="135">
        <f t="shared" si="159"/>
        <v>82.35</v>
      </c>
      <c r="AF346" s="135">
        <f t="shared" si="159"/>
        <v>0</v>
      </c>
      <c r="AG346" s="135">
        <f>SUM(AE347:AE350)</f>
        <v>82.35</v>
      </c>
      <c r="AH346" s="135">
        <f t="shared" si="159"/>
        <v>28.101</v>
      </c>
      <c r="AI346" s="135">
        <f t="shared" si="159"/>
        <v>685.89831</v>
      </c>
      <c r="AJ346" s="135">
        <f t="shared" si="159"/>
        <v>65.953</v>
      </c>
      <c r="AK346" s="136"/>
      <c r="AL346" s="136"/>
      <c r="AM346" s="136"/>
      <c r="AN346" s="138"/>
      <c r="AO346" s="139"/>
      <c r="AP346" s="139">
        <f t="shared" si="121"/>
        <v>2.518886688172043</v>
      </c>
      <c r="AQ346" s="134">
        <f aca="true" t="shared" si="160" ref="AQ346:BC346">SUM(AQ347:AQ350)</f>
        <v>0</v>
      </c>
      <c r="AR346" s="134">
        <f t="shared" si="160"/>
        <v>350</v>
      </c>
      <c r="AS346" s="134">
        <f t="shared" si="160"/>
        <v>350</v>
      </c>
      <c r="AT346" s="135">
        <f t="shared" si="160"/>
        <v>498.407</v>
      </c>
      <c r="AU346" s="135">
        <f t="shared" si="160"/>
        <v>437.276</v>
      </c>
      <c r="AV346" s="135">
        <f t="shared" si="160"/>
        <v>400.055</v>
      </c>
      <c r="AW346" s="135">
        <f>SUM(AX347:AX350)</f>
        <v>13.761</v>
      </c>
      <c r="AX346" s="135">
        <f t="shared" si="160"/>
        <v>13.761</v>
      </c>
      <c r="AY346" s="135">
        <f t="shared" si="160"/>
        <v>0</v>
      </c>
      <c r="AZ346" s="135">
        <f t="shared" si="160"/>
        <v>0</v>
      </c>
      <c r="BA346" s="135">
        <f t="shared" si="160"/>
        <v>17.039</v>
      </c>
      <c r="BB346" s="135">
        <f t="shared" si="160"/>
        <v>400.055</v>
      </c>
      <c r="BC346" s="135">
        <f t="shared" si="160"/>
        <v>400.055</v>
      </c>
      <c r="BD346" s="136"/>
      <c r="BE346" s="136"/>
      <c r="BF346" s="136"/>
      <c r="BG346" s="138"/>
      <c r="BH346" s="139"/>
      <c r="BI346" s="139">
        <f t="shared" si="44"/>
        <v>1.4240199999999998</v>
      </c>
      <c r="BJ346" s="415">
        <f t="shared" si="98"/>
        <v>0</v>
      </c>
      <c r="BK346" s="415">
        <f t="shared" si="99"/>
        <v>1265</v>
      </c>
      <c r="BL346" s="415">
        <f t="shared" si="100"/>
        <v>1265</v>
      </c>
      <c r="BM346" s="415">
        <f t="shared" si="101"/>
        <v>2441.0895600000003</v>
      </c>
    </row>
    <row r="347" spans="1:65" s="129" customFormat="1" ht="18.75" outlineLevel="1">
      <c r="A347" s="141" t="s">
        <v>337</v>
      </c>
      <c r="B347" s="173" t="s">
        <v>698</v>
      </c>
      <c r="C347" s="158" t="s">
        <v>758</v>
      </c>
      <c r="D347" s="144">
        <v>6</v>
      </c>
      <c r="E347" s="165"/>
      <c r="F347" s="161">
        <v>450</v>
      </c>
      <c r="G347" s="161">
        <v>450</v>
      </c>
      <c r="H347" s="162">
        <v>771.40025</v>
      </c>
      <c r="I347" s="186"/>
      <c r="J347" s="149">
        <v>370</v>
      </c>
      <c r="K347" s="149"/>
      <c r="L347" s="149"/>
      <c r="M347" s="149">
        <v>0</v>
      </c>
      <c r="N347" s="149">
        <v>0</v>
      </c>
      <c r="O347" s="149"/>
      <c r="P347" s="149">
        <v>370</v>
      </c>
      <c r="Q347" s="149"/>
      <c r="R347" s="156"/>
      <c r="S347" s="156"/>
      <c r="T347" s="152"/>
      <c r="U347" s="153"/>
      <c r="V347" s="154"/>
      <c r="W347" s="154">
        <f t="shared" si="76"/>
        <v>1.7142227777777779</v>
      </c>
      <c r="X347" s="203"/>
      <c r="Y347" s="161">
        <v>450</v>
      </c>
      <c r="Z347" s="161">
        <v>450</v>
      </c>
      <c r="AA347" s="189">
        <v>771.40025</v>
      </c>
      <c r="AB347" s="172">
        <v>621.33176</v>
      </c>
      <c r="AC347" s="172">
        <v>370</v>
      </c>
      <c r="AD347" s="172">
        <v>51.332</v>
      </c>
      <c r="AE347" s="172">
        <v>54.925</v>
      </c>
      <c r="AF347" s="172">
        <v>0</v>
      </c>
      <c r="AG347" s="172">
        <v>0</v>
      </c>
      <c r="AH347" s="172">
        <v>16.697</v>
      </c>
      <c r="AI347" s="172">
        <v>370</v>
      </c>
      <c r="AJ347" s="172">
        <v>51.332</v>
      </c>
      <c r="AK347" s="150" t="s">
        <v>119</v>
      </c>
      <c r="AL347" s="151" t="s">
        <v>120</v>
      </c>
      <c r="AM347" s="156"/>
      <c r="AN347" s="153">
        <v>187</v>
      </c>
      <c r="AO347" s="201"/>
      <c r="AP347" s="154">
        <f t="shared" si="121"/>
        <v>1.7142227777777779</v>
      </c>
      <c r="AQ347" s="165"/>
      <c r="AR347" s="161"/>
      <c r="AS347" s="161"/>
      <c r="AT347" s="188"/>
      <c r="AU347" s="186"/>
      <c r="AV347" s="149"/>
      <c r="AW347" s="149"/>
      <c r="AX347" s="149"/>
      <c r="AY347" s="149"/>
      <c r="AZ347" s="149"/>
      <c r="BA347" s="149"/>
      <c r="BB347" s="149"/>
      <c r="BC347" s="149"/>
      <c r="BD347" s="156"/>
      <c r="BE347" s="156"/>
      <c r="BF347" s="156"/>
      <c r="BG347" s="153"/>
      <c r="BH347" s="154"/>
      <c r="BI347" s="154" t="e">
        <f t="shared" si="44"/>
        <v>#DIV/0!</v>
      </c>
      <c r="BJ347" s="415">
        <f t="shared" si="98"/>
        <v>0</v>
      </c>
      <c r="BK347" s="415">
        <f t="shared" si="99"/>
        <v>900</v>
      </c>
      <c r="BL347" s="415">
        <f t="shared" si="100"/>
        <v>900</v>
      </c>
      <c r="BM347" s="415">
        <f t="shared" si="101"/>
        <v>1542.8005</v>
      </c>
    </row>
    <row r="348" spans="1:65" s="129" customFormat="1" ht="18.75" outlineLevel="1">
      <c r="A348" s="141" t="s">
        <v>340</v>
      </c>
      <c r="B348" s="173" t="s">
        <v>667</v>
      </c>
      <c r="C348" s="158" t="s">
        <v>668</v>
      </c>
      <c r="D348" s="144">
        <v>6</v>
      </c>
      <c r="E348" s="165"/>
      <c r="F348" s="146"/>
      <c r="G348" s="146"/>
      <c r="H348" s="162"/>
      <c r="I348" s="149"/>
      <c r="J348" s="149"/>
      <c r="K348" s="149"/>
      <c r="L348" s="149"/>
      <c r="M348" s="149"/>
      <c r="N348" s="149"/>
      <c r="O348" s="149"/>
      <c r="P348" s="149"/>
      <c r="Q348" s="149"/>
      <c r="R348" s="156"/>
      <c r="S348" s="156"/>
      <c r="T348" s="152"/>
      <c r="U348" s="153"/>
      <c r="V348" s="154"/>
      <c r="W348" s="154" t="e">
        <f t="shared" si="76"/>
        <v>#DIV/0!</v>
      </c>
      <c r="X348" s="203"/>
      <c r="Y348" s="146">
        <v>15</v>
      </c>
      <c r="Z348" s="146">
        <v>15</v>
      </c>
      <c r="AA348" s="162">
        <v>399.88206</v>
      </c>
      <c r="AB348" s="149">
        <v>330.519</v>
      </c>
      <c r="AC348" s="149">
        <v>315.89831</v>
      </c>
      <c r="AD348" s="149">
        <v>14.621</v>
      </c>
      <c r="AE348" s="149">
        <v>27.425</v>
      </c>
      <c r="AF348" s="149">
        <v>0</v>
      </c>
      <c r="AG348" s="149">
        <v>0</v>
      </c>
      <c r="AH348" s="149">
        <v>11.404</v>
      </c>
      <c r="AI348" s="149">
        <v>315.89831</v>
      </c>
      <c r="AJ348" s="149">
        <v>14.621</v>
      </c>
      <c r="AK348" s="150" t="s">
        <v>119</v>
      </c>
      <c r="AL348" s="151" t="s">
        <v>120</v>
      </c>
      <c r="AM348" s="156"/>
      <c r="AN348" s="153">
        <v>196</v>
      </c>
      <c r="AO348" s="201"/>
      <c r="AP348" s="154">
        <f t="shared" si="121"/>
        <v>26.658804</v>
      </c>
      <c r="AQ348" s="165"/>
      <c r="AR348" s="146"/>
      <c r="AS348" s="146"/>
      <c r="AT348" s="162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56"/>
      <c r="BE348" s="156"/>
      <c r="BF348" s="156"/>
      <c r="BG348" s="153"/>
      <c r="BH348" s="154"/>
      <c r="BI348" s="154" t="e">
        <f t="shared" si="44"/>
        <v>#DIV/0!</v>
      </c>
      <c r="BJ348" s="415">
        <f t="shared" si="98"/>
        <v>0</v>
      </c>
      <c r="BK348" s="415">
        <f t="shared" si="99"/>
        <v>15</v>
      </c>
      <c r="BL348" s="415">
        <f t="shared" si="100"/>
        <v>15</v>
      </c>
      <c r="BM348" s="415">
        <f t="shared" si="101"/>
        <v>399.88206</v>
      </c>
    </row>
    <row r="349" spans="1:65" s="129" customFormat="1" ht="18.75" outlineLevel="1">
      <c r="A349" s="141" t="s">
        <v>343</v>
      </c>
      <c r="B349" s="177" t="s">
        <v>683</v>
      </c>
      <c r="C349" s="158" t="s">
        <v>684</v>
      </c>
      <c r="D349" s="144">
        <v>6</v>
      </c>
      <c r="E349" s="165"/>
      <c r="F349" s="146"/>
      <c r="G349" s="146"/>
      <c r="H349" s="162"/>
      <c r="I349" s="149"/>
      <c r="J349" s="149"/>
      <c r="K349" s="149"/>
      <c r="L349" s="149"/>
      <c r="M349" s="149"/>
      <c r="N349" s="149"/>
      <c r="O349" s="149"/>
      <c r="P349" s="149"/>
      <c r="Q349" s="149"/>
      <c r="R349" s="156"/>
      <c r="S349" s="156"/>
      <c r="T349" s="152"/>
      <c r="U349" s="153"/>
      <c r="V349" s="154"/>
      <c r="W349" s="154" t="e">
        <f t="shared" si="76"/>
        <v>#DIV/0!</v>
      </c>
      <c r="X349" s="203"/>
      <c r="Y349" s="146"/>
      <c r="Z349" s="146"/>
      <c r="AA349" s="162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50"/>
      <c r="AL349" s="151"/>
      <c r="AM349" s="156"/>
      <c r="AN349" s="153"/>
      <c r="AO349" s="201"/>
      <c r="AP349" s="154"/>
      <c r="AQ349" s="165"/>
      <c r="AR349" s="146">
        <v>350</v>
      </c>
      <c r="AS349" s="146">
        <v>350</v>
      </c>
      <c r="AT349" s="166">
        <v>498.407</v>
      </c>
      <c r="AU349" s="149">
        <v>437.276</v>
      </c>
      <c r="AV349" s="149">
        <v>400.055</v>
      </c>
      <c r="AW349" s="149">
        <v>37.221</v>
      </c>
      <c r="AX349" s="149">
        <v>13.761</v>
      </c>
      <c r="AY349" s="149">
        <v>0</v>
      </c>
      <c r="AZ349" s="149">
        <v>0</v>
      </c>
      <c r="BA349" s="149">
        <v>17.039</v>
      </c>
      <c r="BB349" s="149">
        <v>400.055</v>
      </c>
      <c r="BC349" s="149">
        <v>400.055</v>
      </c>
      <c r="BD349" s="150" t="s">
        <v>119</v>
      </c>
      <c r="BE349" s="151" t="s">
        <v>120</v>
      </c>
      <c r="BF349" s="156"/>
      <c r="BG349" s="153">
        <v>112</v>
      </c>
      <c r="BH349" s="154"/>
      <c r="BI349" s="154">
        <f t="shared" si="44"/>
        <v>1.4240199999999998</v>
      </c>
      <c r="BJ349" s="415">
        <f t="shared" si="98"/>
        <v>0</v>
      </c>
      <c r="BK349" s="415">
        <f t="shared" si="99"/>
        <v>350</v>
      </c>
      <c r="BL349" s="415">
        <f t="shared" si="100"/>
        <v>350</v>
      </c>
      <c r="BM349" s="415">
        <f t="shared" si="101"/>
        <v>498.407</v>
      </c>
    </row>
    <row r="350" spans="1:65" s="129" customFormat="1" ht="14.25">
      <c r="A350" s="141"/>
      <c r="B350" s="179"/>
      <c r="C350" s="158"/>
      <c r="D350" s="144"/>
      <c r="E350" s="165"/>
      <c r="F350" s="146"/>
      <c r="G350" s="146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56"/>
      <c r="S350" s="156"/>
      <c r="T350" s="152"/>
      <c r="U350" s="153"/>
      <c r="V350" s="154"/>
      <c r="W350" s="154" t="e">
        <f t="shared" si="76"/>
        <v>#DIV/0!</v>
      </c>
      <c r="X350" s="203"/>
      <c r="Y350" s="146"/>
      <c r="Z350" s="165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56"/>
      <c r="AL350" s="156"/>
      <c r="AM350" s="156"/>
      <c r="AN350" s="153"/>
      <c r="AO350" s="201"/>
      <c r="AP350" s="154" t="e">
        <f t="shared" si="121"/>
        <v>#DIV/0!</v>
      </c>
      <c r="AQ350" s="165"/>
      <c r="AR350" s="146"/>
      <c r="AS350" s="147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56"/>
      <c r="BE350" s="156"/>
      <c r="BF350" s="156"/>
      <c r="BG350" s="153"/>
      <c r="BH350" s="154"/>
      <c r="BI350" s="154" t="e">
        <f t="shared" si="44"/>
        <v>#DIV/0!</v>
      </c>
      <c r="BJ350" s="415">
        <f t="shared" si="98"/>
        <v>0</v>
      </c>
      <c r="BK350" s="415">
        <f t="shared" si="99"/>
        <v>0</v>
      </c>
      <c r="BL350" s="415">
        <f t="shared" si="100"/>
        <v>0</v>
      </c>
      <c r="BM350" s="415">
        <f t="shared" si="101"/>
        <v>0</v>
      </c>
    </row>
    <row r="351" spans="1:65" s="129" customFormat="1" ht="93" customHeight="1">
      <c r="A351" s="264" t="s">
        <v>759</v>
      </c>
      <c r="B351" s="265" t="s">
        <v>760</v>
      </c>
      <c r="C351" s="249"/>
      <c r="D351" s="266"/>
      <c r="E351" s="267">
        <f>E352</f>
        <v>0</v>
      </c>
      <c r="F351" s="267">
        <f aca="true" t="shared" si="161" ref="F351:Q351">F352</f>
        <v>15</v>
      </c>
      <c r="G351" s="267">
        <f t="shared" si="161"/>
        <v>15</v>
      </c>
      <c r="H351" s="268">
        <f t="shared" si="161"/>
        <v>1226.76748</v>
      </c>
      <c r="I351" s="268">
        <f t="shared" si="161"/>
        <v>827.911</v>
      </c>
      <c r="J351" s="268">
        <f t="shared" si="161"/>
        <v>275.45186</v>
      </c>
      <c r="K351" s="268">
        <f t="shared" si="161"/>
        <v>762.712</v>
      </c>
      <c r="L351" s="268">
        <f t="shared" si="161"/>
        <v>42.33</v>
      </c>
      <c r="M351" s="268">
        <f t="shared" si="161"/>
        <v>0</v>
      </c>
      <c r="N351" s="268">
        <f t="shared" si="161"/>
        <v>0</v>
      </c>
      <c r="O351" s="268">
        <f t="shared" si="161"/>
        <v>28.783</v>
      </c>
      <c r="P351" s="268">
        <f t="shared" si="161"/>
        <v>137.72593</v>
      </c>
      <c r="Q351" s="268">
        <f t="shared" si="161"/>
        <v>762.712</v>
      </c>
      <c r="R351" s="269"/>
      <c r="S351" s="269"/>
      <c r="T351" s="270"/>
      <c r="U351" s="271"/>
      <c r="V351" s="272"/>
      <c r="W351" s="272">
        <f t="shared" si="76"/>
        <v>81.78449866666666</v>
      </c>
      <c r="X351" s="276">
        <f>X352</f>
        <v>0</v>
      </c>
      <c r="Y351" s="267">
        <f aca="true" t="shared" si="162" ref="Y351:AJ351">Y352</f>
        <v>0</v>
      </c>
      <c r="Z351" s="267">
        <f t="shared" si="162"/>
        <v>0</v>
      </c>
      <c r="AA351" s="268">
        <f t="shared" si="162"/>
        <v>0</v>
      </c>
      <c r="AB351" s="268">
        <f t="shared" si="162"/>
        <v>0</v>
      </c>
      <c r="AC351" s="268">
        <f t="shared" si="162"/>
        <v>0</v>
      </c>
      <c r="AD351" s="268">
        <f>AE352</f>
        <v>0</v>
      </c>
      <c r="AE351" s="268">
        <f t="shared" si="162"/>
        <v>0</v>
      </c>
      <c r="AF351" s="268">
        <f t="shared" si="162"/>
        <v>0</v>
      </c>
      <c r="AG351" s="268">
        <f>AE352</f>
        <v>0</v>
      </c>
      <c r="AH351" s="268">
        <f t="shared" si="162"/>
        <v>0</v>
      </c>
      <c r="AI351" s="268">
        <f t="shared" si="162"/>
        <v>0</v>
      </c>
      <c r="AJ351" s="268">
        <f t="shared" si="162"/>
        <v>0</v>
      </c>
      <c r="AK351" s="269"/>
      <c r="AL351" s="269"/>
      <c r="AM351" s="269"/>
      <c r="AN351" s="271"/>
      <c r="AO351" s="272"/>
      <c r="AP351" s="272" t="e">
        <f t="shared" si="121"/>
        <v>#DIV/0!</v>
      </c>
      <c r="AQ351" s="267">
        <f>AQ352</f>
        <v>0</v>
      </c>
      <c r="AR351" s="267">
        <f aca="true" t="shared" si="163" ref="AR351:BC351">AR352</f>
        <v>149</v>
      </c>
      <c r="AS351" s="267">
        <f t="shared" si="163"/>
        <v>149</v>
      </c>
      <c r="AT351" s="268">
        <f t="shared" si="163"/>
        <v>1749.223</v>
      </c>
      <c r="AU351" s="268">
        <f t="shared" si="163"/>
        <v>1632.845</v>
      </c>
      <c r="AV351" s="268">
        <f t="shared" si="163"/>
        <v>1614.767</v>
      </c>
      <c r="AW351" s="268">
        <f>AX352</f>
        <v>35.876</v>
      </c>
      <c r="AX351" s="268">
        <f t="shared" si="163"/>
        <v>35.876</v>
      </c>
      <c r="AY351" s="268">
        <f t="shared" si="163"/>
        <v>0</v>
      </c>
      <c r="AZ351" s="268">
        <f t="shared" si="163"/>
        <v>0</v>
      </c>
      <c r="BA351" s="268">
        <f t="shared" si="163"/>
        <v>29.139</v>
      </c>
      <c r="BB351" s="268">
        <f t="shared" si="163"/>
        <v>1614.767</v>
      </c>
      <c r="BC351" s="268">
        <f t="shared" si="163"/>
        <v>1632.845</v>
      </c>
      <c r="BD351" s="269"/>
      <c r="BE351" s="269"/>
      <c r="BF351" s="269"/>
      <c r="BG351" s="271"/>
      <c r="BH351" s="272"/>
      <c r="BI351" s="272">
        <f t="shared" si="44"/>
        <v>11.739751677852349</v>
      </c>
      <c r="BJ351" s="415">
        <f t="shared" si="98"/>
        <v>0</v>
      </c>
      <c r="BK351" s="415">
        <f t="shared" si="99"/>
        <v>164</v>
      </c>
      <c r="BL351" s="415">
        <f t="shared" si="100"/>
        <v>164</v>
      </c>
      <c r="BM351" s="415">
        <f t="shared" si="101"/>
        <v>2975.99048</v>
      </c>
    </row>
    <row r="352" spans="1:65" s="129" customFormat="1" ht="24.75" customHeight="1">
      <c r="A352" s="130" t="s">
        <v>114</v>
      </c>
      <c r="B352" s="131" t="s">
        <v>761</v>
      </c>
      <c r="C352" s="132"/>
      <c r="D352" s="133">
        <v>6</v>
      </c>
      <c r="E352" s="134">
        <f aca="true" t="shared" si="164" ref="E352:Q352">SUM(E353:E355)</f>
        <v>0</v>
      </c>
      <c r="F352" s="134">
        <f t="shared" si="164"/>
        <v>15</v>
      </c>
      <c r="G352" s="134">
        <f>SUM(G353:G355)</f>
        <v>15</v>
      </c>
      <c r="H352" s="135">
        <f t="shared" si="164"/>
        <v>1226.76748</v>
      </c>
      <c r="I352" s="135">
        <f t="shared" si="164"/>
        <v>827.911</v>
      </c>
      <c r="J352" s="135">
        <f t="shared" si="164"/>
        <v>275.45186</v>
      </c>
      <c r="K352" s="135">
        <f t="shared" si="164"/>
        <v>762.712</v>
      </c>
      <c r="L352" s="135">
        <f t="shared" si="164"/>
        <v>42.33</v>
      </c>
      <c r="M352" s="135">
        <f t="shared" si="164"/>
        <v>0</v>
      </c>
      <c r="N352" s="135">
        <f t="shared" si="164"/>
        <v>0</v>
      </c>
      <c r="O352" s="135">
        <f t="shared" si="164"/>
        <v>28.783</v>
      </c>
      <c r="P352" s="135">
        <f t="shared" si="164"/>
        <v>137.72593</v>
      </c>
      <c r="Q352" s="135">
        <f t="shared" si="164"/>
        <v>762.712</v>
      </c>
      <c r="R352" s="136"/>
      <c r="S352" s="136"/>
      <c r="T352" s="137"/>
      <c r="U352" s="138"/>
      <c r="V352" s="139"/>
      <c r="W352" s="139">
        <f t="shared" si="76"/>
        <v>81.78449866666666</v>
      </c>
      <c r="X352" s="140">
        <f aca="true" t="shared" si="165" ref="X352:AJ352">SUM(X353:X355)</f>
        <v>0</v>
      </c>
      <c r="Y352" s="134">
        <f t="shared" si="165"/>
        <v>0</v>
      </c>
      <c r="Z352" s="134">
        <f t="shared" si="165"/>
        <v>0</v>
      </c>
      <c r="AA352" s="135">
        <f t="shared" si="165"/>
        <v>0</v>
      </c>
      <c r="AB352" s="135">
        <f t="shared" si="165"/>
        <v>0</v>
      </c>
      <c r="AC352" s="135">
        <f t="shared" si="165"/>
        <v>0</v>
      </c>
      <c r="AD352" s="135">
        <f>SUM(AE353:AE355)</f>
        <v>0</v>
      </c>
      <c r="AE352" s="135">
        <f t="shared" si="165"/>
        <v>0</v>
      </c>
      <c r="AF352" s="135">
        <f t="shared" si="165"/>
        <v>0</v>
      </c>
      <c r="AG352" s="135">
        <f>SUM(AE353:AE355)</f>
        <v>0</v>
      </c>
      <c r="AH352" s="135">
        <f t="shared" si="165"/>
        <v>0</v>
      </c>
      <c r="AI352" s="135">
        <f t="shared" si="165"/>
        <v>0</v>
      </c>
      <c r="AJ352" s="135">
        <f t="shared" si="165"/>
        <v>0</v>
      </c>
      <c r="AK352" s="136"/>
      <c r="AL352" s="136"/>
      <c r="AM352" s="136"/>
      <c r="AN352" s="138"/>
      <c r="AO352" s="139"/>
      <c r="AP352" s="139" t="e">
        <f t="shared" si="121"/>
        <v>#DIV/0!</v>
      </c>
      <c r="AQ352" s="134">
        <f aca="true" t="shared" si="166" ref="AQ352:BC352">SUM(AQ353:AQ355)</f>
        <v>0</v>
      </c>
      <c r="AR352" s="134">
        <f t="shared" si="166"/>
        <v>149</v>
      </c>
      <c r="AS352" s="134">
        <f t="shared" si="166"/>
        <v>149</v>
      </c>
      <c r="AT352" s="135">
        <f t="shared" si="166"/>
        <v>1749.223</v>
      </c>
      <c r="AU352" s="135">
        <f t="shared" si="166"/>
        <v>1632.845</v>
      </c>
      <c r="AV352" s="135">
        <f t="shared" si="166"/>
        <v>1614.767</v>
      </c>
      <c r="AW352" s="135">
        <f>SUM(AX353:AX355)</f>
        <v>35.876</v>
      </c>
      <c r="AX352" s="135">
        <f t="shared" si="166"/>
        <v>35.876</v>
      </c>
      <c r="AY352" s="135">
        <f t="shared" si="166"/>
        <v>0</v>
      </c>
      <c r="AZ352" s="135">
        <f t="shared" si="166"/>
        <v>0</v>
      </c>
      <c r="BA352" s="135">
        <f t="shared" si="166"/>
        <v>29.139</v>
      </c>
      <c r="BB352" s="135">
        <f t="shared" si="166"/>
        <v>1614.767</v>
      </c>
      <c r="BC352" s="135">
        <f t="shared" si="166"/>
        <v>1632.845</v>
      </c>
      <c r="BD352" s="136"/>
      <c r="BE352" s="136"/>
      <c r="BF352" s="136"/>
      <c r="BG352" s="138"/>
      <c r="BH352" s="139"/>
      <c r="BI352" s="139">
        <f t="shared" si="44"/>
        <v>11.739751677852349</v>
      </c>
      <c r="BJ352" s="415">
        <f t="shared" si="98"/>
        <v>0</v>
      </c>
      <c r="BK352" s="415">
        <f t="shared" si="99"/>
        <v>164</v>
      </c>
      <c r="BL352" s="415">
        <f t="shared" si="100"/>
        <v>164</v>
      </c>
      <c r="BM352" s="415">
        <f t="shared" si="101"/>
        <v>2975.99048</v>
      </c>
    </row>
    <row r="353" spans="1:65" s="129" customFormat="1" ht="18.75" outlineLevel="1">
      <c r="A353" s="141" t="s">
        <v>116</v>
      </c>
      <c r="B353" s="198" t="s">
        <v>622</v>
      </c>
      <c r="C353" s="160" t="s">
        <v>623</v>
      </c>
      <c r="D353" s="144">
        <v>6</v>
      </c>
      <c r="E353" s="147"/>
      <c r="F353" s="147">
        <v>15</v>
      </c>
      <c r="G353" s="147">
        <v>15</v>
      </c>
      <c r="H353" s="148">
        <v>1226.76748</v>
      </c>
      <c r="I353" s="149">
        <v>827.911</v>
      </c>
      <c r="J353" s="149">
        <v>275.45186</v>
      </c>
      <c r="K353" s="149">
        <v>762.712</v>
      </c>
      <c r="L353" s="149">
        <v>42.33</v>
      </c>
      <c r="M353" s="149">
        <v>0</v>
      </c>
      <c r="N353" s="149">
        <v>0</v>
      </c>
      <c r="O353" s="149">
        <v>28.783</v>
      </c>
      <c r="P353" s="149">
        <v>137.72593</v>
      </c>
      <c r="Q353" s="149">
        <v>762.712</v>
      </c>
      <c r="R353" s="150" t="s">
        <v>119</v>
      </c>
      <c r="S353" s="151" t="s">
        <v>120</v>
      </c>
      <c r="T353" s="152"/>
      <c r="U353" s="153">
        <v>8</v>
      </c>
      <c r="V353" s="154"/>
      <c r="W353" s="154">
        <f t="shared" si="76"/>
        <v>81.78449866666666</v>
      </c>
      <c r="X353" s="194"/>
      <c r="Y353" s="147"/>
      <c r="Z353" s="147"/>
      <c r="AA353" s="148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50" t="s">
        <v>119</v>
      </c>
      <c r="AL353" s="151" t="s">
        <v>120</v>
      </c>
      <c r="AM353" s="156"/>
      <c r="AN353" s="153"/>
      <c r="AO353" s="201"/>
      <c r="AP353" s="154" t="e">
        <f t="shared" si="121"/>
        <v>#DIV/0!</v>
      </c>
      <c r="AQ353" s="147"/>
      <c r="AR353" s="147"/>
      <c r="AS353" s="147"/>
      <c r="AT353" s="162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56"/>
      <c r="BE353" s="156"/>
      <c r="BF353" s="156"/>
      <c r="BG353" s="153"/>
      <c r="BH353" s="154"/>
      <c r="BI353" s="154" t="e">
        <f t="shared" si="44"/>
        <v>#DIV/0!</v>
      </c>
      <c r="BJ353" s="415">
        <f t="shared" si="98"/>
        <v>0</v>
      </c>
      <c r="BK353" s="415">
        <f t="shared" si="99"/>
        <v>15</v>
      </c>
      <c r="BL353" s="415">
        <f t="shared" si="100"/>
        <v>15</v>
      </c>
      <c r="BM353" s="415">
        <f t="shared" si="101"/>
        <v>1226.76748</v>
      </c>
    </row>
    <row r="354" spans="1:65" s="129" customFormat="1" ht="18.75" outlineLevel="1">
      <c r="A354" s="141" t="s">
        <v>121</v>
      </c>
      <c r="B354" s="177" t="s">
        <v>698</v>
      </c>
      <c r="C354" s="158" t="s">
        <v>699</v>
      </c>
      <c r="D354" s="144">
        <v>6</v>
      </c>
      <c r="E354" s="147"/>
      <c r="F354" s="147"/>
      <c r="G354" s="147"/>
      <c r="H354" s="166"/>
      <c r="I354" s="149"/>
      <c r="J354" s="149"/>
      <c r="K354" s="149"/>
      <c r="L354" s="149"/>
      <c r="M354" s="149"/>
      <c r="N354" s="149"/>
      <c r="O354" s="149"/>
      <c r="P354" s="149"/>
      <c r="Q354" s="149"/>
      <c r="R354" s="156"/>
      <c r="S354" s="156"/>
      <c r="T354" s="152"/>
      <c r="U354" s="153"/>
      <c r="V354" s="154"/>
      <c r="W354" s="154" t="e">
        <f t="shared" si="76"/>
        <v>#DIV/0!</v>
      </c>
      <c r="X354" s="194"/>
      <c r="Y354" s="147"/>
      <c r="Z354" s="147"/>
      <c r="AA354" s="166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56"/>
      <c r="AL354" s="156"/>
      <c r="AM354" s="156"/>
      <c r="AN354" s="153"/>
      <c r="AO354" s="201"/>
      <c r="AP354" s="154" t="e">
        <f t="shared" si="121"/>
        <v>#DIV/0!</v>
      </c>
      <c r="AQ354" s="147"/>
      <c r="AR354" s="147">
        <v>149</v>
      </c>
      <c r="AS354" s="147">
        <v>149</v>
      </c>
      <c r="AT354" s="166">
        <v>1749.223</v>
      </c>
      <c r="AU354" s="149">
        <v>1632.845</v>
      </c>
      <c r="AV354" s="149">
        <v>1614.767</v>
      </c>
      <c r="AW354" s="149">
        <v>18.078</v>
      </c>
      <c r="AX354" s="149">
        <v>35.876</v>
      </c>
      <c r="AY354" s="149">
        <v>0</v>
      </c>
      <c r="AZ354" s="149">
        <v>0</v>
      </c>
      <c r="BA354" s="149">
        <v>29.139</v>
      </c>
      <c r="BB354" s="149">
        <v>1614.767</v>
      </c>
      <c r="BC354" s="149">
        <v>1632.845</v>
      </c>
      <c r="BD354" s="150" t="s">
        <v>119</v>
      </c>
      <c r="BE354" s="151" t="s">
        <v>120</v>
      </c>
      <c r="BF354" s="156"/>
      <c r="BG354" s="153">
        <v>266</v>
      </c>
      <c r="BH354" s="154"/>
      <c r="BI354" s="154">
        <f t="shared" si="44"/>
        <v>11.739751677852349</v>
      </c>
      <c r="BJ354" s="415">
        <f t="shared" si="98"/>
        <v>0</v>
      </c>
      <c r="BK354" s="415">
        <f t="shared" si="99"/>
        <v>149</v>
      </c>
      <c r="BL354" s="415">
        <f t="shared" si="100"/>
        <v>149</v>
      </c>
      <c r="BM354" s="415">
        <f t="shared" si="101"/>
        <v>1749.223</v>
      </c>
    </row>
    <row r="355" spans="1:65" s="129" customFormat="1" ht="12.75" customHeight="1">
      <c r="A355" s="141"/>
      <c r="B355" s="179"/>
      <c r="C355" s="158"/>
      <c r="D355" s="144"/>
      <c r="E355" s="165"/>
      <c r="F355" s="146"/>
      <c r="G355" s="146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56"/>
      <c r="S355" s="156"/>
      <c r="T355" s="152"/>
      <c r="U355" s="153"/>
      <c r="V355" s="154"/>
      <c r="W355" s="154" t="e">
        <f t="shared" si="76"/>
        <v>#DIV/0!</v>
      </c>
      <c r="X355" s="203"/>
      <c r="Y355" s="146"/>
      <c r="Z355" s="165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56"/>
      <c r="AL355" s="156"/>
      <c r="AM355" s="156"/>
      <c r="AN355" s="153"/>
      <c r="AO355" s="201"/>
      <c r="AP355" s="154" t="e">
        <f t="shared" si="121"/>
        <v>#DIV/0!</v>
      </c>
      <c r="AQ355" s="165"/>
      <c r="AR355" s="146"/>
      <c r="AS355" s="147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56"/>
      <c r="BE355" s="156"/>
      <c r="BF355" s="156"/>
      <c r="BG355" s="153"/>
      <c r="BH355" s="154"/>
      <c r="BI355" s="154" t="e">
        <f t="shared" si="44"/>
        <v>#DIV/0!</v>
      </c>
      <c r="BJ355" s="415">
        <f aca="true" t="shared" si="167" ref="BJ355:BJ378">E355+X355+AQ355</f>
        <v>0</v>
      </c>
      <c r="BK355" s="415">
        <f aca="true" t="shared" si="168" ref="BK355:BK378">F355+Y355+AR355</f>
        <v>0</v>
      </c>
      <c r="BL355" s="415">
        <f aca="true" t="shared" si="169" ref="BL355:BL378">G355+Z355+AS355</f>
        <v>0</v>
      </c>
      <c r="BM355" s="415">
        <f aca="true" t="shared" si="170" ref="BM355:BM378">H355+AA355+AT355</f>
        <v>0</v>
      </c>
    </row>
    <row r="356" spans="1:65" s="129" customFormat="1" ht="93.75" customHeight="1">
      <c r="A356" s="264" t="s">
        <v>762</v>
      </c>
      <c r="B356" s="265" t="s">
        <v>763</v>
      </c>
      <c r="C356" s="249"/>
      <c r="D356" s="266"/>
      <c r="E356" s="267">
        <f>E357</f>
        <v>0</v>
      </c>
      <c r="F356" s="267">
        <f>F357</f>
        <v>1080</v>
      </c>
      <c r="G356" s="267">
        <f>G357</f>
        <v>1080</v>
      </c>
      <c r="H356" s="268">
        <f>H357</f>
        <v>6347.41827</v>
      </c>
      <c r="I356" s="268">
        <f aca="true" t="shared" si="171" ref="I356:Q356">I357</f>
        <v>6087.12</v>
      </c>
      <c r="J356" s="268">
        <f t="shared" si="171"/>
        <v>1748.29624</v>
      </c>
      <c r="K356" s="268">
        <f t="shared" si="171"/>
        <v>165.207</v>
      </c>
      <c r="L356" s="268">
        <f t="shared" si="171"/>
        <v>110.26500000000001</v>
      </c>
      <c r="M356" s="268">
        <f t="shared" si="171"/>
        <v>0</v>
      </c>
      <c r="N356" s="268">
        <f t="shared" si="171"/>
        <v>0</v>
      </c>
      <c r="O356" s="268">
        <f t="shared" si="171"/>
        <v>61.936</v>
      </c>
      <c r="P356" s="268">
        <f t="shared" si="171"/>
        <v>884.73997</v>
      </c>
      <c r="Q356" s="268">
        <f t="shared" si="171"/>
        <v>4174.067</v>
      </c>
      <c r="R356" s="269"/>
      <c r="S356" s="269"/>
      <c r="T356" s="270"/>
      <c r="U356" s="271"/>
      <c r="V356" s="272"/>
      <c r="W356" s="272">
        <f t="shared" si="76"/>
        <v>5.877239138888889</v>
      </c>
      <c r="X356" s="267">
        <f>X357</f>
        <v>0</v>
      </c>
      <c r="Y356" s="267">
        <f>Y357</f>
        <v>0</v>
      </c>
      <c r="Z356" s="267">
        <f>Z357</f>
        <v>0</v>
      </c>
      <c r="AA356" s="268">
        <f>AA357</f>
        <v>0</v>
      </c>
      <c r="AB356" s="268">
        <f aca="true" t="shared" si="172" ref="AB356:AJ356">AB357</f>
        <v>0</v>
      </c>
      <c r="AC356" s="268">
        <f t="shared" si="172"/>
        <v>0</v>
      </c>
      <c r="AD356" s="268">
        <f>AE357</f>
        <v>0</v>
      </c>
      <c r="AE356" s="268">
        <f t="shared" si="172"/>
        <v>0</v>
      </c>
      <c r="AF356" s="268">
        <f t="shared" si="172"/>
        <v>0</v>
      </c>
      <c r="AG356" s="268">
        <f>AE357</f>
        <v>0</v>
      </c>
      <c r="AH356" s="268">
        <f t="shared" si="172"/>
        <v>0</v>
      </c>
      <c r="AI356" s="268">
        <f t="shared" si="172"/>
        <v>0</v>
      </c>
      <c r="AJ356" s="268">
        <f t="shared" si="172"/>
        <v>0</v>
      </c>
      <c r="AK356" s="269"/>
      <c r="AL356" s="269"/>
      <c r="AM356" s="269"/>
      <c r="AN356" s="271"/>
      <c r="AO356" s="272"/>
      <c r="AP356" s="272" t="e">
        <f t="shared" si="121"/>
        <v>#DIV/0!</v>
      </c>
      <c r="AQ356" s="267">
        <f>AQ357</f>
        <v>0</v>
      </c>
      <c r="AR356" s="267">
        <f>AR357</f>
        <v>0</v>
      </c>
      <c r="AS356" s="267">
        <f>AS357</f>
        <v>0</v>
      </c>
      <c r="AT356" s="268">
        <f>AT357</f>
        <v>0</v>
      </c>
      <c r="AU356" s="268">
        <f aca="true" t="shared" si="173" ref="AU356:BC356">AU357</f>
        <v>0</v>
      </c>
      <c r="AV356" s="268">
        <f t="shared" si="173"/>
        <v>0</v>
      </c>
      <c r="AW356" s="268">
        <f>AX357</f>
        <v>0</v>
      </c>
      <c r="AX356" s="268">
        <f t="shared" si="173"/>
        <v>0</v>
      </c>
      <c r="AY356" s="268">
        <f t="shared" si="173"/>
        <v>0</v>
      </c>
      <c r="AZ356" s="268">
        <f t="shared" si="173"/>
        <v>0</v>
      </c>
      <c r="BA356" s="268">
        <f t="shared" si="173"/>
        <v>0</v>
      </c>
      <c r="BB356" s="268">
        <f t="shared" si="173"/>
        <v>0</v>
      </c>
      <c r="BC356" s="268">
        <f t="shared" si="173"/>
        <v>0</v>
      </c>
      <c r="BD356" s="269"/>
      <c r="BE356" s="269"/>
      <c r="BF356" s="269"/>
      <c r="BG356" s="271"/>
      <c r="BH356" s="272"/>
      <c r="BI356" s="272" t="e">
        <f t="shared" si="44"/>
        <v>#DIV/0!</v>
      </c>
      <c r="BJ356" s="415">
        <f t="shared" si="167"/>
        <v>0</v>
      </c>
      <c r="BK356" s="415">
        <f t="shared" si="168"/>
        <v>1080</v>
      </c>
      <c r="BL356" s="415">
        <f t="shared" si="169"/>
        <v>1080</v>
      </c>
      <c r="BM356" s="415">
        <f t="shared" si="170"/>
        <v>6347.41827</v>
      </c>
    </row>
    <row r="357" spans="1:65" s="129" customFormat="1" ht="24.75" customHeight="1">
      <c r="A357" s="130" t="s">
        <v>114</v>
      </c>
      <c r="B357" s="131" t="s">
        <v>764</v>
      </c>
      <c r="C357" s="132"/>
      <c r="D357" s="133">
        <v>6</v>
      </c>
      <c r="E357" s="134">
        <f>SUM(E358:E362)</f>
        <v>0</v>
      </c>
      <c r="F357" s="134">
        <f>SUM(F358:F362)</f>
        <v>1080</v>
      </c>
      <c r="G357" s="134">
        <f>SUM(G358:G362)</f>
        <v>1080</v>
      </c>
      <c r="H357" s="135">
        <f>SUM(H358:H362)</f>
        <v>6347.41827</v>
      </c>
      <c r="I357" s="135">
        <f aca="true" t="shared" si="174" ref="I357:Q357">SUM(I358:I362)</f>
        <v>6087.12</v>
      </c>
      <c r="J357" s="135">
        <f t="shared" si="174"/>
        <v>1748.29624</v>
      </c>
      <c r="K357" s="135">
        <f t="shared" si="174"/>
        <v>165.207</v>
      </c>
      <c r="L357" s="135">
        <f t="shared" si="174"/>
        <v>110.26500000000001</v>
      </c>
      <c r="M357" s="135">
        <f t="shared" si="174"/>
        <v>0</v>
      </c>
      <c r="N357" s="135">
        <f t="shared" si="174"/>
        <v>0</v>
      </c>
      <c r="O357" s="135">
        <f t="shared" si="174"/>
        <v>61.936</v>
      </c>
      <c r="P357" s="135">
        <f t="shared" si="174"/>
        <v>884.73997</v>
      </c>
      <c r="Q357" s="135">
        <f t="shared" si="174"/>
        <v>4174.067</v>
      </c>
      <c r="R357" s="136"/>
      <c r="S357" s="136"/>
      <c r="T357" s="137"/>
      <c r="U357" s="138"/>
      <c r="V357" s="139"/>
      <c r="W357" s="139">
        <f t="shared" si="76"/>
        <v>5.877239138888889</v>
      </c>
      <c r="X357" s="134">
        <f>SUM(X358:X362)</f>
        <v>0</v>
      </c>
      <c r="Y357" s="134">
        <f>SUM(Y358:Y362)</f>
        <v>0</v>
      </c>
      <c r="Z357" s="134">
        <f>SUM(Z358:Z362)</f>
        <v>0</v>
      </c>
      <c r="AA357" s="135">
        <f>SUM(AA358:AA362)</f>
        <v>0</v>
      </c>
      <c r="AB357" s="135">
        <f aca="true" t="shared" si="175" ref="AB357:AJ357">SUM(AB358:AB362)</f>
        <v>0</v>
      </c>
      <c r="AC357" s="135">
        <f t="shared" si="175"/>
        <v>0</v>
      </c>
      <c r="AD357" s="135">
        <f>SUM(AE358:AE362)</f>
        <v>0</v>
      </c>
      <c r="AE357" s="135">
        <f t="shared" si="175"/>
        <v>0</v>
      </c>
      <c r="AF357" s="135">
        <f t="shared" si="175"/>
        <v>0</v>
      </c>
      <c r="AG357" s="135">
        <f>SUM(AE358:AE362)</f>
        <v>0</v>
      </c>
      <c r="AH357" s="135">
        <f t="shared" si="175"/>
        <v>0</v>
      </c>
      <c r="AI357" s="135">
        <f t="shared" si="175"/>
        <v>0</v>
      </c>
      <c r="AJ357" s="135">
        <f t="shared" si="175"/>
        <v>0</v>
      </c>
      <c r="AK357" s="136"/>
      <c r="AL357" s="136"/>
      <c r="AM357" s="136"/>
      <c r="AN357" s="138"/>
      <c r="AO357" s="139"/>
      <c r="AP357" s="139" t="e">
        <f t="shared" si="121"/>
        <v>#DIV/0!</v>
      </c>
      <c r="AQ357" s="134">
        <f>SUM(AQ358:AQ362)</f>
        <v>0</v>
      </c>
      <c r="AR357" s="134">
        <f>SUM(AR358:AR362)</f>
        <v>0</v>
      </c>
      <c r="AS357" s="134">
        <f>SUM(AS358:AS362)</f>
        <v>0</v>
      </c>
      <c r="AT357" s="135">
        <f>SUM(AT358:AT362)</f>
        <v>0</v>
      </c>
      <c r="AU357" s="135">
        <f aca="true" t="shared" si="176" ref="AU357:BC357">SUM(AU358:AU362)</f>
        <v>0</v>
      </c>
      <c r="AV357" s="135">
        <f t="shared" si="176"/>
        <v>0</v>
      </c>
      <c r="AW357" s="135">
        <f>SUM(AX358:AX362)</f>
        <v>0</v>
      </c>
      <c r="AX357" s="135">
        <f t="shared" si="176"/>
        <v>0</v>
      </c>
      <c r="AY357" s="135">
        <f t="shared" si="176"/>
        <v>0</v>
      </c>
      <c r="AZ357" s="135">
        <f t="shared" si="176"/>
        <v>0</v>
      </c>
      <c r="BA357" s="135">
        <f t="shared" si="176"/>
        <v>0</v>
      </c>
      <c r="BB357" s="135">
        <f t="shared" si="176"/>
        <v>0</v>
      </c>
      <c r="BC357" s="135">
        <f t="shared" si="176"/>
        <v>0</v>
      </c>
      <c r="BD357" s="136"/>
      <c r="BE357" s="136"/>
      <c r="BF357" s="136"/>
      <c r="BG357" s="138"/>
      <c r="BH357" s="139"/>
      <c r="BI357" s="139" t="e">
        <f t="shared" si="44"/>
        <v>#DIV/0!</v>
      </c>
      <c r="BJ357" s="415">
        <f t="shared" si="167"/>
        <v>0</v>
      </c>
      <c r="BK357" s="415">
        <f t="shared" si="168"/>
        <v>1080</v>
      </c>
      <c r="BL357" s="415">
        <f t="shared" si="169"/>
        <v>1080</v>
      </c>
      <c r="BM357" s="415">
        <f t="shared" si="170"/>
        <v>6347.41827</v>
      </c>
    </row>
    <row r="358" spans="1:65" s="129" customFormat="1" ht="18.75" outlineLevel="1">
      <c r="A358" s="141" t="s">
        <v>116</v>
      </c>
      <c r="B358" s="187" t="s">
        <v>657</v>
      </c>
      <c r="C358" s="158" t="s">
        <v>658</v>
      </c>
      <c r="D358" s="144">
        <v>6</v>
      </c>
      <c r="E358" s="147"/>
      <c r="F358" s="147">
        <v>260</v>
      </c>
      <c r="G358" s="147">
        <v>260</v>
      </c>
      <c r="H358" s="148">
        <v>1607.742</v>
      </c>
      <c r="I358" s="149">
        <v>1509.507</v>
      </c>
      <c r="J358" s="149">
        <v>399.58198</v>
      </c>
      <c r="K358" s="149">
        <v>71.45</v>
      </c>
      <c r="L358" s="149">
        <v>34.209</v>
      </c>
      <c r="M358" s="149">
        <v>0</v>
      </c>
      <c r="N358" s="149">
        <v>0</v>
      </c>
      <c r="O358" s="149">
        <v>22.41</v>
      </c>
      <c r="P358" s="149">
        <v>199.781</v>
      </c>
      <c r="Q358" s="149">
        <v>1038.475</v>
      </c>
      <c r="R358" s="150" t="s">
        <v>119</v>
      </c>
      <c r="S358" s="151" t="s">
        <v>120</v>
      </c>
      <c r="T358" s="152"/>
      <c r="U358" s="153">
        <v>192</v>
      </c>
      <c r="V358" s="154"/>
      <c r="W358" s="154">
        <f t="shared" si="76"/>
        <v>6.183623076923077</v>
      </c>
      <c r="X358" s="194"/>
      <c r="Y358" s="147"/>
      <c r="Z358" s="147"/>
      <c r="AA358" s="148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56"/>
      <c r="AL358" s="156"/>
      <c r="AM358" s="156"/>
      <c r="AN358" s="153"/>
      <c r="AO358" s="201"/>
      <c r="AP358" s="154" t="e">
        <f t="shared" si="121"/>
        <v>#DIV/0!</v>
      </c>
      <c r="AQ358" s="147"/>
      <c r="AR358" s="147"/>
      <c r="AS358" s="147"/>
      <c r="AT358" s="148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56"/>
      <c r="BE358" s="156"/>
      <c r="BF358" s="156"/>
      <c r="BG358" s="153"/>
      <c r="BH358" s="154"/>
      <c r="BI358" s="154" t="e">
        <f t="shared" si="44"/>
        <v>#DIV/0!</v>
      </c>
      <c r="BJ358" s="415">
        <f t="shared" si="167"/>
        <v>0</v>
      </c>
      <c r="BK358" s="415">
        <f t="shared" si="168"/>
        <v>260</v>
      </c>
      <c r="BL358" s="415">
        <f t="shared" si="169"/>
        <v>260</v>
      </c>
      <c r="BM358" s="415">
        <f t="shared" si="170"/>
        <v>1607.742</v>
      </c>
    </row>
    <row r="359" spans="1:65" s="129" customFormat="1" ht="18.75" outlineLevel="1">
      <c r="A359" s="141" t="s">
        <v>121</v>
      </c>
      <c r="B359" s="187" t="s">
        <v>657</v>
      </c>
      <c r="C359" s="158" t="s">
        <v>765</v>
      </c>
      <c r="D359" s="144">
        <v>6</v>
      </c>
      <c r="E359" s="147"/>
      <c r="F359" s="147">
        <v>260</v>
      </c>
      <c r="G359" s="147">
        <v>260</v>
      </c>
      <c r="H359" s="148">
        <v>1317.64235</v>
      </c>
      <c r="I359" s="149">
        <v>1229.551</v>
      </c>
      <c r="J359" s="149">
        <v>399.56198</v>
      </c>
      <c r="K359" s="149">
        <v>67.727</v>
      </c>
      <c r="L359" s="149">
        <v>38.874</v>
      </c>
      <c r="M359" s="149">
        <v>0</v>
      </c>
      <c r="N359" s="149">
        <v>0</v>
      </c>
      <c r="O359" s="149">
        <v>27.49</v>
      </c>
      <c r="P359" s="149">
        <v>199.781</v>
      </c>
      <c r="Q359" s="149">
        <v>762.712</v>
      </c>
      <c r="R359" s="150" t="s">
        <v>119</v>
      </c>
      <c r="S359" s="151" t="s">
        <v>120</v>
      </c>
      <c r="T359" s="152"/>
      <c r="U359" s="153">
        <v>192</v>
      </c>
      <c r="V359" s="154"/>
      <c r="W359" s="154">
        <f t="shared" si="76"/>
        <v>5.067855192307692</v>
      </c>
      <c r="X359" s="194"/>
      <c r="Y359" s="147"/>
      <c r="Z359" s="147"/>
      <c r="AA359" s="148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56"/>
      <c r="AL359" s="156"/>
      <c r="AM359" s="156"/>
      <c r="AN359" s="153"/>
      <c r="AO359" s="201"/>
      <c r="AP359" s="154" t="e">
        <f t="shared" si="121"/>
        <v>#DIV/0!</v>
      </c>
      <c r="AQ359" s="147"/>
      <c r="AR359" s="147"/>
      <c r="AS359" s="147"/>
      <c r="AT359" s="148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56"/>
      <c r="BE359" s="156"/>
      <c r="BF359" s="156"/>
      <c r="BG359" s="153"/>
      <c r="BH359" s="154"/>
      <c r="BI359" s="154" t="e">
        <f t="shared" si="44"/>
        <v>#DIV/0!</v>
      </c>
      <c r="BJ359" s="415">
        <f t="shared" si="167"/>
        <v>0</v>
      </c>
      <c r="BK359" s="415">
        <f t="shared" si="168"/>
        <v>260</v>
      </c>
      <c r="BL359" s="415">
        <f t="shared" si="169"/>
        <v>260</v>
      </c>
      <c r="BM359" s="415">
        <f t="shared" si="170"/>
        <v>1317.64235</v>
      </c>
    </row>
    <row r="360" spans="1:65" s="129" customFormat="1" ht="18.75" outlineLevel="1">
      <c r="A360" s="141" t="s">
        <v>124</v>
      </c>
      <c r="B360" s="142" t="s">
        <v>694</v>
      </c>
      <c r="C360" s="158" t="s">
        <v>695</v>
      </c>
      <c r="D360" s="144">
        <v>6</v>
      </c>
      <c r="E360" s="147"/>
      <c r="F360" s="147">
        <v>280</v>
      </c>
      <c r="G360" s="147">
        <v>280</v>
      </c>
      <c r="H360" s="148">
        <v>1711.01696</v>
      </c>
      <c r="I360" s="149">
        <v>1674.031</v>
      </c>
      <c r="J360" s="149">
        <v>474.576</v>
      </c>
      <c r="K360" s="149">
        <v>13.015</v>
      </c>
      <c r="L360" s="149">
        <v>18.591</v>
      </c>
      <c r="M360" s="149">
        <v>0</v>
      </c>
      <c r="N360" s="149">
        <v>0</v>
      </c>
      <c r="O360" s="149">
        <v>6.018</v>
      </c>
      <c r="P360" s="149">
        <v>247.88983</v>
      </c>
      <c r="Q360" s="149">
        <v>1186.44</v>
      </c>
      <c r="R360" s="150" t="s">
        <v>119</v>
      </c>
      <c r="S360" s="151" t="s">
        <v>120</v>
      </c>
      <c r="T360" s="152"/>
      <c r="U360" s="153">
        <v>343</v>
      </c>
      <c r="V360" s="154"/>
      <c r="W360" s="154">
        <f t="shared" si="76"/>
        <v>6.110774857142857</v>
      </c>
      <c r="X360" s="194"/>
      <c r="Y360" s="147"/>
      <c r="Z360" s="147"/>
      <c r="AA360" s="148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56"/>
      <c r="AL360" s="156"/>
      <c r="AM360" s="156"/>
      <c r="AN360" s="153"/>
      <c r="AO360" s="201"/>
      <c r="AP360" s="154" t="e">
        <f t="shared" si="121"/>
        <v>#DIV/0!</v>
      </c>
      <c r="AQ360" s="147"/>
      <c r="AR360" s="147"/>
      <c r="AS360" s="147"/>
      <c r="AT360" s="148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56"/>
      <c r="BE360" s="156"/>
      <c r="BF360" s="156"/>
      <c r="BG360" s="153"/>
      <c r="BH360" s="154"/>
      <c r="BI360" s="154" t="e">
        <f t="shared" si="44"/>
        <v>#DIV/0!</v>
      </c>
      <c r="BJ360" s="415">
        <f t="shared" si="167"/>
        <v>0</v>
      </c>
      <c r="BK360" s="415">
        <f t="shared" si="168"/>
        <v>280</v>
      </c>
      <c r="BL360" s="415">
        <f t="shared" si="169"/>
        <v>280</v>
      </c>
      <c r="BM360" s="415">
        <f t="shared" si="170"/>
        <v>1711.01696</v>
      </c>
    </row>
    <row r="361" spans="1:65" s="129" customFormat="1" ht="18.75" outlineLevel="1">
      <c r="A361" s="141" t="s">
        <v>127</v>
      </c>
      <c r="B361" s="142" t="s">
        <v>694</v>
      </c>
      <c r="C361" s="158" t="s">
        <v>696</v>
      </c>
      <c r="D361" s="144">
        <v>6</v>
      </c>
      <c r="E361" s="147"/>
      <c r="F361" s="147">
        <v>280</v>
      </c>
      <c r="G361" s="147">
        <v>280</v>
      </c>
      <c r="H361" s="148">
        <v>1711.01696</v>
      </c>
      <c r="I361" s="149">
        <v>1674.031</v>
      </c>
      <c r="J361" s="149">
        <f>237.28814+237.28814</f>
        <v>474.57628</v>
      </c>
      <c r="K361" s="149">
        <v>13.015</v>
      </c>
      <c r="L361" s="149">
        <v>18.591</v>
      </c>
      <c r="M361" s="149">
        <v>0</v>
      </c>
      <c r="N361" s="149">
        <v>0</v>
      </c>
      <c r="O361" s="149">
        <v>6.018</v>
      </c>
      <c r="P361" s="149">
        <v>237.28814</v>
      </c>
      <c r="Q361" s="149">
        <v>1186.44</v>
      </c>
      <c r="R361" s="150" t="s">
        <v>119</v>
      </c>
      <c r="S361" s="151" t="s">
        <v>120</v>
      </c>
      <c r="T361" s="152"/>
      <c r="U361" s="153">
        <v>353</v>
      </c>
      <c r="V361" s="154"/>
      <c r="W361" s="154">
        <f t="shared" si="76"/>
        <v>6.110774857142857</v>
      </c>
      <c r="X361" s="194"/>
      <c r="Y361" s="147"/>
      <c r="Z361" s="147"/>
      <c r="AA361" s="148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56"/>
      <c r="AL361" s="156"/>
      <c r="AM361" s="156"/>
      <c r="AN361" s="153"/>
      <c r="AO361" s="201"/>
      <c r="AP361" s="154" t="e">
        <f t="shared" si="121"/>
        <v>#DIV/0!</v>
      </c>
      <c r="AQ361" s="147"/>
      <c r="AR361" s="147"/>
      <c r="AS361" s="147"/>
      <c r="AT361" s="148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56"/>
      <c r="BE361" s="156"/>
      <c r="BF361" s="156"/>
      <c r="BG361" s="153"/>
      <c r="BH361" s="154"/>
      <c r="BI361" s="154" t="e">
        <f t="shared" si="44"/>
        <v>#DIV/0!</v>
      </c>
      <c r="BJ361" s="415">
        <f t="shared" si="167"/>
        <v>0</v>
      </c>
      <c r="BK361" s="415">
        <f t="shared" si="168"/>
        <v>280</v>
      </c>
      <c r="BL361" s="415">
        <f t="shared" si="169"/>
        <v>280</v>
      </c>
      <c r="BM361" s="415">
        <f t="shared" si="170"/>
        <v>1711.01696</v>
      </c>
    </row>
    <row r="362" spans="1:65" s="129" customFormat="1" ht="14.25">
      <c r="A362" s="141"/>
      <c r="B362" s="179"/>
      <c r="C362" s="158"/>
      <c r="D362" s="144"/>
      <c r="E362" s="147"/>
      <c r="F362" s="146"/>
      <c r="G362" s="146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56"/>
      <c r="S362" s="156"/>
      <c r="T362" s="152"/>
      <c r="U362" s="153"/>
      <c r="V362" s="154"/>
      <c r="W362" s="154" t="e">
        <f t="shared" si="76"/>
        <v>#DIV/0!</v>
      </c>
      <c r="X362" s="194"/>
      <c r="Y362" s="146"/>
      <c r="Z362" s="147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56"/>
      <c r="AL362" s="156"/>
      <c r="AM362" s="156"/>
      <c r="AN362" s="153"/>
      <c r="AO362" s="201"/>
      <c r="AP362" s="154" t="e">
        <f t="shared" si="121"/>
        <v>#DIV/0!</v>
      </c>
      <c r="AQ362" s="147"/>
      <c r="AR362" s="146"/>
      <c r="AS362" s="147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56"/>
      <c r="BE362" s="156"/>
      <c r="BF362" s="156"/>
      <c r="BG362" s="153"/>
      <c r="BH362" s="154"/>
      <c r="BI362" s="154" t="e">
        <f t="shared" si="44"/>
        <v>#DIV/0!</v>
      </c>
      <c r="BJ362" s="415">
        <f t="shared" si="167"/>
        <v>0</v>
      </c>
      <c r="BK362" s="415">
        <f t="shared" si="168"/>
        <v>0</v>
      </c>
      <c r="BL362" s="415">
        <f t="shared" si="169"/>
        <v>0</v>
      </c>
      <c r="BM362" s="415">
        <f t="shared" si="170"/>
        <v>0</v>
      </c>
    </row>
    <row r="363" spans="1:65" s="129" customFormat="1" ht="90.75" customHeight="1">
      <c r="A363" s="264" t="s">
        <v>766</v>
      </c>
      <c r="B363" s="265" t="s">
        <v>767</v>
      </c>
      <c r="C363" s="249"/>
      <c r="D363" s="266"/>
      <c r="E363" s="267">
        <f aca="true" t="shared" si="177" ref="E363:Q363">E364+E369+E372</f>
        <v>0</v>
      </c>
      <c r="F363" s="267">
        <f t="shared" si="177"/>
        <v>2388</v>
      </c>
      <c r="G363" s="267">
        <f>G364+G369+G372</f>
        <v>2388</v>
      </c>
      <c r="H363" s="268">
        <f t="shared" si="177"/>
        <v>8496.50249</v>
      </c>
      <c r="I363" s="268">
        <f t="shared" si="177"/>
        <v>4154.65092</v>
      </c>
      <c r="J363" s="268">
        <f t="shared" si="177"/>
        <v>2022.48306</v>
      </c>
      <c r="K363" s="268">
        <f t="shared" si="177"/>
        <v>5032.37203</v>
      </c>
      <c r="L363" s="268">
        <f t="shared" si="177"/>
        <v>73.639</v>
      </c>
      <c r="M363" s="268">
        <f t="shared" si="177"/>
        <v>0</v>
      </c>
      <c r="N363" s="268">
        <f t="shared" si="177"/>
        <v>0</v>
      </c>
      <c r="O363" s="268">
        <f t="shared" si="177"/>
        <v>55.28088</v>
      </c>
      <c r="P363" s="268">
        <f t="shared" si="177"/>
        <v>1011.24153</v>
      </c>
      <c r="Q363" s="268">
        <f t="shared" si="177"/>
        <v>6430.9260300000005</v>
      </c>
      <c r="R363" s="269"/>
      <c r="S363" s="269"/>
      <c r="T363" s="270"/>
      <c r="U363" s="271"/>
      <c r="V363" s="272"/>
      <c r="W363" s="272">
        <f t="shared" si="76"/>
        <v>3.557999367671692</v>
      </c>
      <c r="X363" s="267">
        <f aca="true" t="shared" si="178" ref="X363:AJ363">X364+X369+X372</f>
        <v>0</v>
      </c>
      <c r="Y363" s="267">
        <f t="shared" si="178"/>
        <v>400</v>
      </c>
      <c r="Z363" s="267">
        <f t="shared" si="178"/>
        <v>400</v>
      </c>
      <c r="AA363" s="268">
        <f t="shared" si="178"/>
        <v>2244.872</v>
      </c>
      <c r="AB363" s="268">
        <f t="shared" si="178"/>
        <v>2138.274</v>
      </c>
      <c r="AC363" s="268">
        <f t="shared" si="178"/>
        <v>588.312</v>
      </c>
      <c r="AD363" s="268">
        <f>AE364+AE369+AE372</f>
        <v>36.26</v>
      </c>
      <c r="AE363" s="268">
        <f t="shared" si="178"/>
        <v>36.26</v>
      </c>
      <c r="AF363" s="268">
        <f t="shared" si="178"/>
        <v>0</v>
      </c>
      <c r="AG363" s="268">
        <f>AE364+AE369+AE372</f>
        <v>36.26</v>
      </c>
      <c r="AH363" s="268">
        <f t="shared" si="178"/>
        <v>18.579</v>
      </c>
      <c r="AI363" s="268">
        <f t="shared" si="178"/>
        <v>330.508</v>
      </c>
      <c r="AJ363" s="268">
        <f t="shared" si="178"/>
        <v>1533.898</v>
      </c>
      <c r="AK363" s="269"/>
      <c r="AL363" s="269"/>
      <c r="AM363" s="269"/>
      <c r="AN363" s="271"/>
      <c r="AO363" s="272"/>
      <c r="AP363" s="272">
        <f t="shared" si="121"/>
        <v>5.6121799999999995</v>
      </c>
      <c r="AQ363" s="267">
        <f aca="true" t="shared" si="179" ref="AQ363:BC363">AQ364+AQ369+AQ372</f>
        <v>0</v>
      </c>
      <c r="AR363" s="267">
        <f t="shared" si="179"/>
        <v>385</v>
      </c>
      <c r="AS363" s="267">
        <f t="shared" si="179"/>
        <v>385</v>
      </c>
      <c r="AT363" s="268">
        <f t="shared" si="179"/>
        <v>2409.526</v>
      </c>
      <c r="AU363" s="268">
        <f t="shared" si="179"/>
        <v>2301.692</v>
      </c>
      <c r="AV363" s="268">
        <f t="shared" si="179"/>
        <v>2227.05748</v>
      </c>
      <c r="AW363" s="268">
        <f>AX364+AX369+AX372</f>
        <v>36.922</v>
      </c>
      <c r="AX363" s="268">
        <f t="shared" si="179"/>
        <v>36.922</v>
      </c>
      <c r="AY363" s="268">
        <f t="shared" si="179"/>
        <v>0</v>
      </c>
      <c r="AZ363" s="268">
        <f t="shared" si="179"/>
        <v>0</v>
      </c>
      <c r="BA363" s="268">
        <f t="shared" si="179"/>
        <v>27.088</v>
      </c>
      <c r="BB363" s="268">
        <f t="shared" si="179"/>
        <v>2227.05748</v>
      </c>
      <c r="BC363" s="268">
        <f t="shared" si="179"/>
        <v>2227.05748</v>
      </c>
      <c r="BD363" s="269"/>
      <c r="BE363" s="269"/>
      <c r="BF363" s="269"/>
      <c r="BG363" s="271"/>
      <c r="BH363" s="272"/>
      <c r="BI363" s="272">
        <f t="shared" si="44"/>
        <v>6.25850909090909</v>
      </c>
      <c r="BJ363" s="415">
        <f t="shared" si="167"/>
        <v>0</v>
      </c>
      <c r="BK363" s="415">
        <f t="shared" si="168"/>
        <v>3173</v>
      </c>
      <c r="BL363" s="415">
        <f t="shared" si="169"/>
        <v>3173</v>
      </c>
      <c r="BM363" s="415">
        <f t="shared" si="170"/>
        <v>13150.90049</v>
      </c>
    </row>
    <row r="364" spans="1:65" s="129" customFormat="1" ht="24.75" customHeight="1">
      <c r="A364" s="130" t="s">
        <v>114</v>
      </c>
      <c r="B364" s="131" t="s">
        <v>768</v>
      </c>
      <c r="C364" s="132"/>
      <c r="D364" s="133">
        <v>6</v>
      </c>
      <c r="E364" s="134">
        <f aca="true" t="shared" si="180" ref="E364:Q364">SUM(E365:E368)</f>
        <v>0</v>
      </c>
      <c r="F364" s="134">
        <f t="shared" si="180"/>
        <v>298</v>
      </c>
      <c r="G364" s="134">
        <f>SUM(G365:G368)</f>
        <v>298</v>
      </c>
      <c r="H364" s="135">
        <f t="shared" si="180"/>
        <v>2199.90932</v>
      </c>
      <c r="I364" s="135">
        <f t="shared" si="180"/>
        <v>8.05</v>
      </c>
      <c r="J364" s="135">
        <f t="shared" si="180"/>
        <v>740</v>
      </c>
      <c r="K364" s="135">
        <f t="shared" si="180"/>
        <v>0</v>
      </c>
      <c r="L364" s="135">
        <f t="shared" si="180"/>
        <v>41.23</v>
      </c>
      <c r="M364" s="135">
        <f t="shared" si="180"/>
        <v>0</v>
      </c>
      <c r="N364" s="135">
        <f t="shared" si="180"/>
        <v>0</v>
      </c>
      <c r="O364" s="135">
        <f t="shared" si="180"/>
        <v>32.78</v>
      </c>
      <c r="P364" s="135">
        <f t="shared" si="180"/>
        <v>370</v>
      </c>
      <c r="Q364" s="135">
        <f t="shared" si="180"/>
        <v>1398.554</v>
      </c>
      <c r="R364" s="136"/>
      <c r="S364" s="136"/>
      <c r="T364" s="137"/>
      <c r="U364" s="138"/>
      <c r="V364" s="139"/>
      <c r="W364" s="139">
        <f t="shared" si="76"/>
        <v>7.382246040268457</v>
      </c>
      <c r="X364" s="134">
        <f aca="true" t="shared" si="181" ref="X364:AJ364">SUM(X365:X368)</f>
        <v>0</v>
      </c>
      <c r="Y364" s="134">
        <f t="shared" si="181"/>
        <v>400</v>
      </c>
      <c r="Z364" s="134">
        <f t="shared" si="181"/>
        <v>400</v>
      </c>
      <c r="AA364" s="135">
        <f t="shared" si="181"/>
        <v>2244.872</v>
      </c>
      <c r="AB364" s="135">
        <f t="shared" si="181"/>
        <v>2138.274</v>
      </c>
      <c r="AC364" s="135">
        <f t="shared" si="181"/>
        <v>588.312</v>
      </c>
      <c r="AD364" s="135">
        <f>SUM(AE365:AE368)</f>
        <v>36.26</v>
      </c>
      <c r="AE364" s="135">
        <f t="shared" si="181"/>
        <v>36.26</v>
      </c>
      <c r="AF364" s="135">
        <f t="shared" si="181"/>
        <v>0</v>
      </c>
      <c r="AG364" s="135">
        <f>SUM(AE365:AE368)</f>
        <v>36.26</v>
      </c>
      <c r="AH364" s="135">
        <f t="shared" si="181"/>
        <v>18.579</v>
      </c>
      <c r="AI364" s="135">
        <f t="shared" si="181"/>
        <v>330.508</v>
      </c>
      <c r="AJ364" s="135">
        <f t="shared" si="181"/>
        <v>1533.898</v>
      </c>
      <c r="AK364" s="136"/>
      <c r="AL364" s="136"/>
      <c r="AM364" s="136"/>
      <c r="AN364" s="138"/>
      <c r="AO364" s="139"/>
      <c r="AP364" s="139">
        <f t="shared" si="121"/>
        <v>5.6121799999999995</v>
      </c>
      <c r="AQ364" s="134">
        <f aca="true" t="shared" si="182" ref="AQ364:BC364">SUM(AQ365:AQ368)</f>
        <v>0</v>
      </c>
      <c r="AR364" s="134">
        <f t="shared" si="182"/>
        <v>385</v>
      </c>
      <c r="AS364" s="134">
        <f t="shared" si="182"/>
        <v>385</v>
      </c>
      <c r="AT364" s="135">
        <f t="shared" si="182"/>
        <v>2409.526</v>
      </c>
      <c r="AU364" s="135">
        <f t="shared" si="182"/>
        <v>2301.692</v>
      </c>
      <c r="AV364" s="135">
        <f t="shared" si="182"/>
        <v>2227.05748</v>
      </c>
      <c r="AW364" s="135">
        <f>SUM(AX365:AX368)</f>
        <v>36.922</v>
      </c>
      <c r="AX364" s="135">
        <f t="shared" si="182"/>
        <v>36.922</v>
      </c>
      <c r="AY364" s="135">
        <f t="shared" si="182"/>
        <v>0</v>
      </c>
      <c r="AZ364" s="135">
        <f t="shared" si="182"/>
        <v>0</v>
      </c>
      <c r="BA364" s="135">
        <f t="shared" si="182"/>
        <v>27.088</v>
      </c>
      <c r="BB364" s="135">
        <f t="shared" si="182"/>
        <v>2227.05748</v>
      </c>
      <c r="BC364" s="135">
        <f t="shared" si="182"/>
        <v>2227.05748</v>
      </c>
      <c r="BD364" s="136"/>
      <c r="BE364" s="136"/>
      <c r="BF364" s="136"/>
      <c r="BG364" s="138"/>
      <c r="BH364" s="139"/>
      <c r="BI364" s="139">
        <f t="shared" si="44"/>
        <v>6.25850909090909</v>
      </c>
      <c r="BJ364" s="415">
        <f t="shared" si="167"/>
        <v>0</v>
      </c>
      <c r="BK364" s="415">
        <f t="shared" si="168"/>
        <v>1083</v>
      </c>
      <c r="BL364" s="415">
        <f t="shared" si="169"/>
        <v>1083</v>
      </c>
      <c r="BM364" s="415">
        <f t="shared" si="170"/>
        <v>6854.30732</v>
      </c>
    </row>
    <row r="365" spans="1:65" s="129" customFormat="1" ht="18.75" outlineLevel="1">
      <c r="A365" s="141" t="s">
        <v>116</v>
      </c>
      <c r="B365" s="142" t="s">
        <v>701</v>
      </c>
      <c r="C365" s="158" t="s">
        <v>702</v>
      </c>
      <c r="D365" s="144">
        <v>6</v>
      </c>
      <c r="E365" s="147"/>
      <c r="F365" s="147">
        <v>298</v>
      </c>
      <c r="G365" s="147">
        <v>298</v>
      </c>
      <c r="H365" s="148">
        <v>2199.90932</v>
      </c>
      <c r="I365" s="149">
        <v>8.05</v>
      </c>
      <c r="J365" s="149">
        <v>740</v>
      </c>
      <c r="K365" s="149">
        <v>0</v>
      </c>
      <c r="L365" s="149">
        <v>41.23</v>
      </c>
      <c r="M365" s="149">
        <v>0</v>
      </c>
      <c r="N365" s="149">
        <v>0</v>
      </c>
      <c r="O365" s="149">
        <v>32.78</v>
      </c>
      <c r="P365" s="149">
        <v>370</v>
      </c>
      <c r="Q365" s="149">
        <v>1398.554</v>
      </c>
      <c r="R365" s="150" t="s">
        <v>119</v>
      </c>
      <c r="S365" s="151" t="s">
        <v>120</v>
      </c>
      <c r="T365" s="152"/>
      <c r="U365" s="153">
        <v>365</v>
      </c>
      <c r="V365" s="154"/>
      <c r="W365" s="154">
        <f t="shared" si="76"/>
        <v>7.382246040268457</v>
      </c>
      <c r="X365" s="194"/>
      <c r="Y365" s="147"/>
      <c r="Z365" s="147"/>
      <c r="AA365" s="148"/>
      <c r="AB365" s="149"/>
      <c r="AC365" s="149"/>
      <c r="AD365" s="149"/>
      <c r="AE365" s="149"/>
      <c r="AF365" s="149"/>
      <c r="AG365" s="149"/>
      <c r="AH365" s="149"/>
      <c r="AI365" s="149"/>
      <c r="AJ365" s="149"/>
      <c r="AK365" s="156"/>
      <c r="AL365" s="156"/>
      <c r="AM365" s="156"/>
      <c r="AN365" s="153"/>
      <c r="AO365" s="201"/>
      <c r="AP365" s="154" t="e">
        <f t="shared" si="121"/>
        <v>#DIV/0!</v>
      </c>
      <c r="AQ365" s="147"/>
      <c r="AR365" s="147"/>
      <c r="AS365" s="147"/>
      <c r="AT365" s="148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56"/>
      <c r="BE365" s="156"/>
      <c r="BF365" s="156"/>
      <c r="BG365" s="153"/>
      <c r="BH365" s="154"/>
      <c r="BI365" s="154" t="e">
        <f t="shared" si="44"/>
        <v>#DIV/0!</v>
      </c>
      <c r="BJ365" s="415">
        <f t="shared" si="167"/>
        <v>0</v>
      </c>
      <c r="BK365" s="415">
        <f t="shared" si="168"/>
        <v>298</v>
      </c>
      <c r="BL365" s="415">
        <f t="shared" si="169"/>
        <v>298</v>
      </c>
      <c r="BM365" s="415">
        <f t="shared" si="170"/>
        <v>2199.90932</v>
      </c>
    </row>
    <row r="366" spans="1:65" s="129" customFormat="1" ht="18.75" outlineLevel="1">
      <c r="A366" s="141" t="s">
        <v>121</v>
      </c>
      <c r="B366" s="173" t="s">
        <v>705</v>
      </c>
      <c r="C366" s="158" t="s">
        <v>706</v>
      </c>
      <c r="D366" s="144">
        <v>6</v>
      </c>
      <c r="E366" s="165"/>
      <c r="F366" s="161"/>
      <c r="G366" s="161"/>
      <c r="H366" s="162"/>
      <c r="I366" s="149"/>
      <c r="J366" s="149"/>
      <c r="K366" s="149"/>
      <c r="L366" s="149"/>
      <c r="M366" s="149"/>
      <c r="N366" s="149"/>
      <c r="O366" s="149"/>
      <c r="P366" s="149"/>
      <c r="Q366" s="149"/>
      <c r="R366" s="156"/>
      <c r="S366" s="156"/>
      <c r="T366" s="152"/>
      <c r="U366" s="153"/>
      <c r="V366" s="154"/>
      <c r="W366" s="154" t="e">
        <f>H366/F366</f>
        <v>#DIV/0!</v>
      </c>
      <c r="X366" s="203"/>
      <c r="Y366" s="161">
        <v>400</v>
      </c>
      <c r="Z366" s="161">
        <v>400</v>
      </c>
      <c r="AA366" s="162">
        <v>2244.872</v>
      </c>
      <c r="AB366" s="149">
        <v>2138.274</v>
      </c>
      <c r="AC366" s="149">
        <v>588.312</v>
      </c>
      <c r="AD366" s="149">
        <v>945.586</v>
      </c>
      <c r="AE366" s="149">
        <v>36.26</v>
      </c>
      <c r="AF366" s="149">
        <v>0</v>
      </c>
      <c r="AG366" s="149">
        <v>0</v>
      </c>
      <c r="AH366" s="149">
        <v>18.579</v>
      </c>
      <c r="AI366" s="149">
        <v>330.508</v>
      </c>
      <c r="AJ366" s="149">
        <v>1533.898</v>
      </c>
      <c r="AK366" s="150" t="s">
        <v>119</v>
      </c>
      <c r="AL366" s="151" t="s">
        <v>120</v>
      </c>
      <c r="AM366" s="156"/>
      <c r="AN366" s="153">
        <v>72</v>
      </c>
      <c r="AO366" s="201"/>
      <c r="AP366" s="154">
        <f>AA366/Y366</f>
        <v>5.6121799999999995</v>
      </c>
      <c r="AQ366" s="165"/>
      <c r="AR366" s="161"/>
      <c r="AS366" s="161"/>
      <c r="AT366" s="162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56"/>
      <c r="BE366" s="156"/>
      <c r="BF366" s="156"/>
      <c r="BG366" s="153"/>
      <c r="BH366" s="154"/>
      <c r="BI366" s="154" t="e">
        <f>AT366/AR366</f>
        <v>#DIV/0!</v>
      </c>
      <c r="BJ366" s="415">
        <f t="shared" si="167"/>
        <v>0</v>
      </c>
      <c r="BK366" s="415">
        <f t="shared" si="168"/>
        <v>400</v>
      </c>
      <c r="BL366" s="415">
        <f t="shared" si="169"/>
        <v>400</v>
      </c>
      <c r="BM366" s="415">
        <f t="shared" si="170"/>
        <v>2244.872</v>
      </c>
    </row>
    <row r="367" spans="1:65" s="129" customFormat="1" ht="18.75" outlineLevel="1">
      <c r="A367" s="141" t="s">
        <v>124</v>
      </c>
      <c r="B367" s="177" t="s">
        <v>677</v>
      </c>
      <c r="C367" s="158" t="s">
        <v>678</v>
      </c>
      <c r="D367" s="144">
        <v>6</v>
      </c>
      <c r="E367" s="147"/>
      <c r="F367" s="146"/>
      <c r="G367" s="146"/>
      <c r="H367" s="166"/>
      <c r="I367" s="149"/>
      <c r="J367" s="149"/>
      <c r="K367" s="149"/>
      <c r="L367" s="149"/>
      <c r="M367" s="149"/>
      <c r="N367" s="149"/>
      <c r="O367" s="149"/>
      <c r="P367" s="149"/>
      <c r="Q367" s="149"/>
      <c r="R367" s="156"/>
      <c r="S367" s="156"/>
      <c r="T367" s="152"/>
      <c r="U367" s="153"/>
      <c r="V367" s="154"/>
      <c r="W367" s="154" t="e">
        <f t="shared" si="76"/>
        <v>#DIV/0!</v>
      </c>
      <c r="X367" s="194"/>
      <c r="Y367" s="146"/>
      <c r="Z367" s="147"/>
      <c r="AA367" s="166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56"/>
      <c r="AL367" s="156"/>
      <c r="AM367" s="156"/>
      <c r="AN367" s="153"/>
      <c r="AO367" s="201"/>
      <c r="AP367" s="154" t="e">
        <f t="shared" si="121"/>
        <v>#DIV/0!</v>
      </c>
      <c r="AQ367" s="147"/>
      <c r="AR367" s="146">
        <v>385</v>
      </c>
      <c r="AS367" s="147">
        <v>385</v>
      </c>
      <c r="AT367" s="166">
        <v>2409.526</v>
      </c>
      <c r="AU367" s="149">
        <v>2301.692</v>
      </c>
      <c r="AV367" s="149">
        <v>2227.05748</v>
      </c>
      <c r="AW367" s="149">
        <v>2227.05748</v>
      </c>
      <c r="AX367" s="149">
        <v>36.922</v>
      </c>
      <c r="AY367" s="149">
        <v>0</v>
      </c>
      <c r="AZ367" s="149">
        <v>0</v>
      </c>
      <c r="BA367" s="149">
        <v>27.088</v>
      </c>
      <c r="BB367" s="149">
        <v>2227.05748</v>
      </c>
      <c r="BC367" s="149">
        <v>2227.05748</v>
      </c>
      <c r="BD367" s="150" t="s">
        <v>119</v>
      </c>
      <c r="BE367" s="151" t="s">
        <v>120</v>
      </c>
      <c r="BF367" s="156"/>
      <c r="BG367" s="153">
        <v>316</v>
      </c>
      <c r="BH367" s="154"/>
      <c r="BI367" s="154">
        <f t="shared" si="44"/>
        <v>6.25850909090909</v>
      </c>
      <c r="BJ367" s="415">
        <f t="shared" si="167"/>
        <v>0</v>
      </c>
      <c r="BK367" s="415">
        <f t="shared" si="168"/>
        <v>385</v>
      </c>
      <c r="BL367" s="415">
        <f t="shared" si="169"/>
        <v>385</v>
      </c>
      <c r="BM367" s="415">
        <f t="shared" si="170"/>
        <v>2409.526</v>
      </c>
    </row>
    <row r="368" spans="1:65" s="129" customFormat="1" ht="14.25">
      <c r="A368" s="141"/>
      <c r="B368" s="179"/>
      <c r="C368" s="158"/>
      <c r="D368" s="144"/>
      <c r="E368" s="147"/>
      <c r="F368" s="146"/>
      <c r="G368" s="146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56"/>
      <c r="S368" s="156"/>
      <c r="T368" s="152"/>
      <c r="U368" s="153"/>
      <c r="V368" s="154"/>
      <c r="W368" s="154" t="e">
        <f t="shared" si="76"/>
        <v>#DIV/0!</v>
      </c>
      <c r="X368" s="194"/>
      <c r="Y368" s="146"/>
      <c r="Z368" s="147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56"/>
      <c r="AL368" s="156"/>
      <c r="AM368" s="156"/>
      <c r="AN368" s="153"/>
      <c r="AO368" s="201"/>
      <c r="AP368" s="154" t="e">
        <f t="shared" si="121"/>
        <v>#DIV/0!</v>
      </c>
      <c r="AQ368" s="147"/>
      <c r="AR368" s="146"/>
      <c r="AS368" s="147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56"/>
      <c r="BE368" s="156"/>
      <c r="BF368" s="156"/>
      <c r="BG368" s="153"/>
      <c r="BH368" s="154"/>
      <c r="BI368" s="154" t="e">
        <f t="shared" si="44"/>
        <v>#DIV/0!</v>
      </c>
      <c r="BJ368" s="415">
        <f t="shared" si="167"/>
        <v>0</v>
      </c>
      <c r="BK368" s="415">
        <f t="shared" si="168"/>
        <v>0</v>
      </c>
      <c r="BL368" s="415">
        <f t="shared" si="169"/>
        <v>0</v>
      </c>
      <c r="BM368" s="415">
        <f t="shared" si="170"/>
        <v>0</v>
      </c>
    </row>
    <row r="369" spans="1:65" s="129" customFormat="1" ht="24.75" customHeight="1">
      <c r="A369" s="130" t="s">
        <v>144</v>
      </c>
      <c r="B369" s="131" t="s">
        <v>769</v>
      </c>
      <c r="C369" s="132"/>
      <c r="D369" s="133">
        <v>6</v>
      </c>
      <c r="E369" s="134">
        <f>SUM(E370:E371)</f>
        <v>0</v>
      </c>
      <c r="F369" s="134">
        <f>SUM(F370:F371)</f>
        <v>570</v>
      </c>
      <c r="G369" s="134">
        <f>SUM(G370:G371)</f>
        <v>570</v>
      </c>
      <c r="H369" s="135">
        <f>SUM(H370:H371)</f>
        <v>2657.82781</v>
      </c>
      <c r="I369" s="135">
        <f aca="true" t="shared" si="183" ref="I369:Q369">SUM(I370:I371)</f>
        <v>604.57292</v>
      </c>
      <c r="J369" s="135">
        <f t="shared" si="183"/>
        <v>740</v>
      </c>
      <c r="K369" s="135">
        <f t="shared" si="183"/>
        <v>2049.32203</v>
      </c>
      <c r="L369" s="135">
        <f t="shared" si="183"/>
        <v>0.663</v>
      </c>
      <c r="M369" s="135">
        <f t="shared" si="183"/>
        <v>0</v>
      </c>
      <c r="N369" s="135">
        <f t="shared" si="183"/>
        <v>0</v>
      </c>
      <c r="O369" s="135">
        <f t="shared" si="183"/>
        <v>1.26688</v>
      </c>
      <c r="P369" s="135">
        <f t="shared" si="183"/>
        <v>370</v>
      </c>
      <c r="Q369" s="135">
        <f t="shared" si="183"/>
        <v>2049.32203</v>
      </c>
      <c r="R369" s="136"/>
      <c r="S369" s="136"/>
      <c r="T369" s="137"/>
      <c r="U369" s="138"/>
      <c r="V369" s="139"/>
      <c r="W369" s="139">
        <f t="shared" si="76"/>
        <v>4.662855807017544</v>
      </c>
      <c r="X369" s="134">
        <f>SUM(X370:X371)</f>
        <v>0</v>
      </c>
      <c r="Y369" s="134">
        <f>SUM(Y370:Y371)</f>
        <v>0</v>
      </c>
      <c r="Z369" s="134">
        <f>SUM(Z370:Z371)</f>
        <v>0</v>
      </c>
      <c r="AA369" s="135">
        <f>SUM(AA370:AA371)</f>
        <v>0</v>
      </c>
      <c r="AB369" s="135">
        <f aca="true" t="shared" si="184" ref="AB369:AJ369">SUM(AB370:AB371)</f>
        <v>0</v>
      </c>
      <c r="AC369" s="135">
        <f t="shared" si="184"/>
        <v>0</v>
      </c>
      <c r="AD369" s="135">
        <f>SUM(AE370:AE371)</f>
        <v>0</v>
      </c>
      <c r="AE369" s="135">
        <f t="shared" si="184"/>
        <v>0</v>
      </c>
      <c r="AF369" s="135">
        <f t="shared" si="184"/>
        <v>0</v>
      </c>
      <c r="AG369" s="135">
        <f>SUM(AE370:AE371)</f>
        <v>0</v>
      </c>
      <c r="AH369" s="135">
        <f t="shared" si="184"/>
        <v>0</v>
      </c>
      <c r="AI369" s="135">
        <f t="shared" si="184"/>
        <v>0</v>
      </c>
      <c r="AJ369" s="135">
        <f t="shared" si="184"/>
        <v>0</v>
      </c>
      <c r="AK369" s="136"/>
      <c r="AL369" s="136"/>
      <c r="AM369" s="136"/>
      <c r="AN369" s="138"/>
      <c r="AO369" s="139"/>
      <c r="AP369" s="139" t="e">
        <f t="shared" si="121"/>
        <v>#DIV/0!</v>
      </c>
      <c r="AQ369" s="134">
        <f>SUM(AQ370:AQ371)</f>
        <v>0</v>
      </c>
      <c r="AR369" s="134">
        <f>SUM(AR370:AR371)</f>
        <v>0</v>
      </c>
      <c r="AS369" s="134">
        <f>SUM(AS370:AS371)</f>
        <v>0</v>
      </c>
      <c r="AT369" s="135">
        <f>SUM(AT370:AT371)</f>
        <v>0</v>
      </c>
      <c r="AU369" s="135">
        <f aca="true" t="shared" si="185" ref="AU369:BC369">SUM(AU370:AU371)</f>
        <v>0</v>
      </c>
      <c r="AV369" s="135">
        <f t="shared" si="185"/>
        <v>0</v>
      </c>
      <c r="AW369" s="135">
        <f>SUM(AX370:AX371)</f>
        <v>0</v>
      </c>
      <c r="AX369" s="135">
        <f t="shared" si="185"/>
        <v>0</v>
      </c>
      <c r="AY369" s="135">
        <f t="shared" si="185"/>
        <v>0</v>
      </c>
      <c r="AZ369" s="135">
        <f t="shared" si="185"/>
        <v>0</v>
      </c>
      <c r="BA369" s="135">
        <f t="shared" si="185"/>
        <v>0</v>
      </c>
      <c r="BB369" s="135">
        <f t="shared" si="185"/>
        <v>0</v>
      </c>
      <c r="BC369" s="135">
        <f t="shared" si="185"/>
        <v>0</v>
      </c>
      <c r="BD369" s="136"/>
      <c r="BE369" s="136"/>
      <c r="BF369" s="136"/>
      <c r="BG369" s="138"/>
      <c r="BH369" s="139"/>
      <c r="BI369" s="139" t="e">
        <f t="shared" si="44"/>
        <v>#DIV/0!</v>
      </c>
      <c r="BJ369" s="415">
        <f t="shared" si="167"/>
        <v>0</v>
      </c>
      <c r="BK369" s="415">
        <f t="shared" si="168"/>
        <v>570</v>
      </c>
      <c r="BL369" s="415">
        <f t="shared" si="169"/>
        <v>570</v>
      </c>
      <c r="BM369" s="415">
        <f t="shared" si="170"/>
        <v>2657.82781</v>
      </c>
    </row>
    <row r="370" spans="1:65" s="129" customFormat="1" ht="18.75" outlineLevel="1">
      <c r="A370" s="141" t="s">
        <v>146</v>
      </c>
      <c r="B370" s="142" t="s">
        <v>732</v>
      </c>
      <c r="C370" s="158" t="s">
        <v>733</v>
      </c>
      <c r="D370" s="144">
        <v>6</v>
      </c>
      <c r="E370" s="147"/>
      <c r="F370" s="147">
        <v>570</v>
      </c>
      <c r="G370" s="147">
        <v>570</v>
      </c>
      <c r="H370" s="148">
        <v>2657.82781</v>
      </c>
      <c r="I370" s="149">
        <v>604.57292</v>
      </c>
      <c r="J370" s="149">
        <f>370+370</f>
        <v>740</v>
      </c>
      <c r="K370" s="149">
        <v>2049.32203</v>
      </c>
      <c r="L370" s="149">
        <v>0.663</v>
      </c>
      <c r="M370" s="149">
        <v>0</v>
      </c>
      <c r="N370" s="149">
        <v>0</v>
      </c>
      <c r="O370" s="149">
        <v>1.26688</v>
      </c>
      <c r="P370" s="149">
        <v>370</v>
      </c>
      <c r="Q370" s="149">
        <v>2049.32203</v>
      </c>
      <c r="R370" s="150" t="s">
        <v>119</v>
      </c>
      <c r="S370" s="151" t="s">
        <v>120</v>
      </c>
      <c r="T370" s="152"/>
      <c r="U370" s="153">
        <v>395</v>
      </c>
      <c r="V370" s="154"/>
      <c r="W370" s="154">
        <f aca="true" t="shared" si="186" ref="W370:W378">H370/F370</f>
        <v>4.662855807017544</v>
      </c>
      <c r="X370" s="194"/>
      <c r="Y370" s="147"/>
      <c r="Z370" s="147"/>
      <c r="AA370" s="148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56"/>
      <c r="AL370" s="156"/>
      <c r="AM370" s="156"/>
      <c r="AN370" s="153"/>
      <c r="AO370" s="201"/>
      <c r="AP370" s="154" t="e">
        <f aca="true" t="shared" si="187" ref="AP370:AP378">AA370/Y370</f>
        <v>#DIV/0!</v>
      </c>
      <c r="AQ370" s="147"/>
      <c r="AR370" s="147"/>
      <c r="AS370" s="147"/>
      <c r="AT370" s="148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56"/>
      <c r="BE370" s="156"/>
      <c r="BF370" s="156"/>
      <c r="BG370" s="153"/>
      <c r="BH370" s="154"/>
      <c r="BI370" s="154" t="e">
        <f t="shared" si="44"/>
        <v>#DIV/0!</v>
      </c>
      <c r="BJ370" s="415">
        <f t="shared" si="167"/>
        <v>0</v>
      </c>
      <c r="BK370" s="415">
        <f t="shared" si="168"/>
        <v>570</v>
      </c>
      <c r="BL370" s="415">
        <f t="shared" si="169"/>
        <v>570</v>
      </c>
      <c r="BM370" s="415">
        <f t="shared" si="170"/>
        <v>2657.82781</v>
      </c>
    </row>
    <row r="371" spans="1:65" s="129" customFormat="1" ht="14.25">
      <c r="A371" s="141"/>
      <c r="B371" s="179"/>
      <c r="C371" s="158"/>
      <c r="D371" s="144"/>
      <c r="E371" s="147"/>
      <c r="F371" s="146"/>
      <c r="G371" s="146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56"/>
      <c r="S371" s="156"/>
      <c r="T371" s="152"/>
      <c r="U371" s="153"/>
      <c r="V371" s="154"/>
      <c r="W371" s="154" t="e">
        <f t="shared" si="186"/>
        <v>#DIV/0!</v>
      </c>
      <c r="X371" s="194"/>
      <c r="Y371" s="146"/>
      <c r="Z371" s="147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56"/>
      <c r="AL371" s="156"/>
      <c r="AM371" s="156"/>
      <c r="AN371" s="153"/>
      <c r="AO371" s="201"/>
      <c r="AP371" s="154" t="e">
        <f t="shared" si="187"/>
        <v>#DIV/0!</v>
      </c>
      <c r="AQ371" s="147"/>
      <c r="AR371" s="146"/>
      <c r="AS371" s="147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56"/>
      <c r="BE371" s="156"/>
      <c r="BF371" s="156"/>
      <c r="BG371" s="153"/>
      <c r="BH371" s="154"/>
      <c r="BI371" s="154" t="e">
        <f t="shared" si="44"/>
        <v>#DIV/0!</v>
      </c>
      <c r="BJ371" s="415">
        <f t="shared" si="167"/>
        <v>0</v>
      </c>
      <c r="BK371" s="415">
        <f t="shared" si="168"/>
        <v>0</v>
      </c>
      <c r="BL371" s="415">
        <f t="shared" si="169"/>
        <v>0</v>
      </c>
      <c r="BM371" s="415">
        <f t="shared" si="170"/>
        <v>0</v>
      </c>
    </row>
    <row r="372" spans="1:65" s="129" customFormat="1" ht="24.75" customHeight="1">
      <c r="A372" s="130" t="s">
        <v>335</v>
      </c>
      <c r="B372" s="131" t="s">
        <v>770</v>
      </c>
      <c r="C372" s="132"/>
      <c r="D372" s="133">
        <v>6</v>
      </c>
      <c r="E372" s="134">
        <f>SUM(E373:E374)</f>
        <v>0</v>
      </c>
      <c r="F372" s="134">
        <f>SUM(F373:F374)</f>
        <v>1520</v>
      </c>
      <c r="G372" s="134">
        <f>SUM(G373:G374)</f>
        <v>1520</v>
      </c>
      <c r="H372" s="135">
        <f>SUM(H373:H374)</f>
        <v>3638.76536</v>
      </c>
      <c r="I372" s="135">
        <f aca="true" t="shared" si="188" ref="I372:Q372">SUM(I373:I374)</f>
        <v>3542.028</v>
      </c>
      <c r="J372" s="135">
        <f t="shared" si="188"/>
        <v>542.48306</v>
      </c>
      <c r="K372" s="135">
        <f t="shared" si="188"/>
        <v>2983.05</v>
      </c>
      <c r="L372" s="135">
        <f t="shared" si="188"/>
        <v>31.746</v>
      </c>
      <c r="M372" s="135">
        <f t="shared" si="188"/>
        <v>0</v>
      </c>
      <c r="N372" s="135">
        <f t="shared" si="188"/>
        <v>0</v>
      </c>
      <c r="O372" s="135">
        <f t="shared" si="188"/>
        <v>21.234</v>
      </c>
      <c r="P372" s="135">
        <f t="shared" si="188"/>
        <v>271.24153</v>
      </c>
      <c r="Q372" s="135">
        <f t="shared" si="188"/>
        <v>2983.05</v>
      </c>
      <c r="R372" s="136"/>
      <c r="S372" s="136"/>
      <c r="T372" s="137"/>
      <c r="U372" s="138"/>
      <c r="V372" s="139"/>
      <c r="W372" s="139">
        <f t="shared" si="186"/>
        <v>2.3939245789473684</v>
      </c>
      <c r="X372" s="134">
        <f>SUM(X373:X374)</f>
        <v>0</v>
      </c>
      <c r="Y372" s="134">
        <f>SUM(Y373:Y374)</f>
        <v>0</v>
      </c>
      <c r="Z372" s="134">
        <f>SUM(Z373:Z374)</f>
        <v>0</v>
      </c>
      <c r="AA372" s="135">
        <f>SUM(AA373:AA374)</f>
        <v>0</v>
      </c>
      <c r="AB372" s="135">
        <f aca="true" t="shared" si="189" ref="AB372:AJ372">SUM(AB373:AB374)</f>
        <v>0</v>
      </c>
      <c r="AC372" s="135">
        <f t="shared" si="189"/>
        <v>0</v>
      </c>
      <c r="AD372" s="135">
        <f>SUM(AE373:AE374)</f>
        <v>0</v>
      </c>
      <c r="AE372" s="135">
        <f t="shared" si="189"/>
        <v>0</v>
      </c>
      <c r="AF372" s="135">
        <f t="shared" si="189"/>
        <v>0</v>
      </c>
      <c r="AG372" s="135">
        <f>SUM(AE373:AE374)</f>
        <v>0</v>
      </c>
      <c r="AH372" s="135">
        <f t="shared" si="189"/>
        <v>0</v>
      </c>
      <c r="AI372" s="135">
        <f t="shared" si="189"/>
        <v>0</v>
      </c>
      <c r="AJ372" s="135">
        <f t="shared" si="189"/>
        <v>0</v>
      </c>
      <c r="AK372" s="136"/>
      <c r="AL372" s="136"/>
      <c r="AM372" s="136"/>
      <c r="AN372" s="138"/>
      <c r="AO372" s="139"/>
      <c r="AP372" s="139" t="e">
        <f t="shared" si="187"/>
        <v>#DIV/0!</v>
      </c>
      <c r="AQ372" s="134">
        <f>SUM(AQ373:AQ374)</f>
        <v>0</v>
      </c>
      <c r="AR372" s="134">
        <f>SUM(AR373:AR374)</f>
        <v>0</v>
      </c>
      <c r="AS372" s="134">
        <f>SUM(AS373:AS374)</f>
        <v>0</v>
      </c>
      <c r="AT372" s="135">
        <f>SUM(AT373:AT374)</f>
        <v>0</v>
      </c>
      <c r="AU372" s="135">
        <f aca="true" t="shared" si="190" ref="AU372:BC372">SUM(AU373:AU374)</f>
        <v>0</v>
      </c>
      <c r="AV372" s="135">
        <f t="shared" si="190"/>
        <v>0</v>
      </c>
      <c r="AW372" s="135">
        <f>SUM(AX373:AX374)</f>
        <v>0</v>
      </c>
      <c r="AX372" s="135">
        <f t="shared" si="190"/>
        <v>0</v>
      </c>
      <c r="AY372" s="135">
        <f t="shared" si="190"/>
        <v>0</v>
      </c>
      <c r="AZ372" s="135">
        <f t="shared" si="190"/>
        <v>0</v>
      </c>
      <c r="BA372" s="135">
        <f t="shared" si="190"/>
        <v>0</v>
      </c>
      <c r="BB372" s="135">
        <f t="shared" si="190"/>
        <v>0</v>
      </c>
      <c r="BC372" s="135">
        <f t="shared" si="190"/>
        <v>0</v>
      </c>
      <c r="BD372" s="136"/>
      <c r="BE372" s="136"/>
      <c r="BF372" s="136"/>
      <c r="BG372" s="138"/>
      <c r="BH372" s="139"/>
      <c r="BI372" s="139" t="e">
        <f t="shared" si="44"/>
        <v>#DIV/0!</v>
      </c>
      <c r="BJ372" s="415">
        <f t="shared" si="167"/>
        <v>0</v>
      </c>
      <c r="BK372" s="415">
        <f t="shared" si="168"/>
        <v>1520</v>
      </c>
      <c r="BL372" s="415">
        <f t="shared" si="169"/>
        <v>1520</v>
      </c>
      <c r="BM372" s="415">
        <f t="shared" si="170"/>
        <v>3638.76536</v>
      </c>
    </row>
    <row r="373" spans="1:65" s="129" customFormat="1" ht="18.75" outlineLevel="1">
      <c r="A373" s="141" t="s">
        <v>337</v>
      </c>
      <c r="B373" s="142" t="s">
        <v>729</v>
      </c>
      <c r="C373" s="158" t="s">
        <v>730</v>
      </c>
      <c r="D373" s="144">
        <v>6</v>
      </c>
      <c r="E373" s="147"/>
      <c r="F373" s="147">
        <v>1520</v>
      </c>
      <c r="G373" s="147">
        <v>1520</v>
      </c>
      <c r="H373" s="148">
        <v>3638.76536</v>
      </c>
      <c r="I373" s="149">
        <v>3542.028</v>
      </c>
      <c r="J373" s="149">
        <v>542.48306</v>
      </c>
      <c r="K373" s="149">
        <v>2983.05</v>
      </c>
      <c r="L373" s="149">
        <v>31.746</v>
      </c>
      <c r="M373" s="149">
        <v>0</v>
      </c>
      <c r="N373" s="149">
        <v>0</v>
      </c>
      <c r="O373" s="149">
        <v>21.234</v>
      </c>
      <c r="P373" s="149">
        <v>271.24153</v>
      </c>
      <c r="Q373" s="149">
        <v>2983.05</v>
      </c>
      <c r="R373" s="150" t="s">
        <v>119</v>
      </c>
      <c r="S373" s="151" t="s">
        <v>120</v>
      </c>
      <c r="T373" s="152"/>
      <c r="U373" s="153">
        <v>209</v>
      </c>
      <c r="V373" s="154"/>
      <c r="W373" s="154">
        <f t="shared" si="186"/>
        <v>2.3939245789473684</v>
      </c>
      <c r="X373" s="194"/>
      <c r="Y373" s="147"/>
      <c r="Z373" s="147"/>
      <c r="AA373" s="148"/>
      <c r="AB373" s="149"/>
      <c r="AC373" s="149"/>
      <c r="AD373" s="149"/>
      <c r="AE373" s="149"/>
      <c r="AF373" s="149"/>
      <c r="AG373" s="149"/>
      <c r="AH373" s="149"/>
      <c r="AI373" s="149"/>
      <c r="AJ373" s="149"/>
      <c r="AK373" s="156"/>
      <c r="AL373" s="156"/>
      <c r="AM373" s="156"/>
      <c r="AN373" s="153"/>
      <c r="AO373" s="201"/>
      <c r="AP373" s="154" t="e">
        <f t="shared" si="187"/>
        <v>#DIV/0!</v>
      </c>
      <c r="AQ373" s="147"/>
      <c r="AR373" s="147"/>
      <c r="AS373" s="147"/>
      <c r="AT373" s="148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56"/>
      <c r="BE373" s="156"/>
      <c r="BF373" s="156"/>
      <c r="BG373" s="153"/>
      <c r="BH373" s="154"/>
      <c r="BI373" s="154" t="e">
        <f t="shared" si="44"/>
        <v>#DIV/0!</v>
      </c>
      <c r="BJ373" s="415">
        <f t="shared" si="167"/>
        <v>0</v>
      </c>
      <c r="BK373" s="415">
        <f t="shared" si="168"/>
        <v>1520</v>
      </c>
      <c r="BL373" s="415">
        <f t="shared" si="169"/>
        <v>1520</v>
      </c>
      <c r="BM373" s="415">
        <f t="shared" si="170"/>
        <v>3638.76536</v>
      </c>
    </row>
    <row r="374" spans="1:65" s="129" customFormat="1" ht="14.25">
      <c r="A374" s="141"/>
      <c r="B374" s="179"/>
      <c r="C374" s="158"/>
      <c r="D374" s="144"/>
      <c r="E374" s="147"/>
      <c r="F374" s="146"/>
      <c r="G374" s="146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56"/>
      <c r="S374" s="156"/>
      <c r="T374" s="152"/>
      <c r="U374" s="153"/>
      <c r="V374" s="154"/>
      <c r="W374" s="154" t="e">
        <f t="shared" si="186"/>
        <v>#DIV/0!</v>
      </c>
      <c r="X374" s="194"/>
      <c r="Y374" s="146"/>
      <c r="Z374" s="147"/>
      <c r="AA374" s="149"/>
      <c r="AB374" s="149"/>
      <c r="AC374" s="149"/>
      <c r="AD374" s="149"/>
      <c r="AE374" s="149"/>
      <c r="AF374" s="149"/>
      <c r="AG374" s="149"/>
      <c r="AH374" s="149"/>
      <c r="AI374" s="149"/>
      <c r="AJ374" s="149"/>
      <c r="AK374" s="156"/>
      <c r="AL374" s="156"/>
      <c r="AM374" s="156"/>
      <c r="AN374" s="153"/>
      <c r="AO374" s="201"/>
      <c r="AP374" s="154" t="e">
        <f t="shared" si="187"/>
        <v>#DIV/0!</v>
      </c>
      <c r="AQ374" s="147"/>
      <c r="AR374" s="146"/>
      <c r="AS374" s="147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56"/>
      <c r="BE374" s="156"/>
      <c r="BF374" s="156"/>
      <c r="BG374" s="153"/>
      <c r="BH374" s="154"/>
      <c r="BI374" s="154" t="e">
        <f t="shared" si="44"/>
        <v>#DIV/0!</v>
      </c>
      <c r="BJ374" s="415">
        <f t="shared" si="167"/>
        <v>0</v>
      </c>
      <c r="BK374" s="415">
        <f t="shared" si="168"/>
        <v>0</v>
      </c>
      <c r="BL374" s="415">
        <f t="shared" si="169"/>
        <v>0</v>
      </c>
      <c r="BM374" s="415">
        <f t="shared" si="170"/>
        <v>0</v>
      </c>
    </row>
    <row r="375" spans="1:65" s="129" customFormat="1" ht="90.75" customHeight="1">
      <c r="A375" s="264" t="s">
        <v>771</v>
      </c>
      <c r="B375" s="265" t="s">
        <v>772</v>
      </c>
      <c r="C375" s="249"/>
      <c r="D375" s="266"/>
      <c r="E375" s="267">
        <f>E376</f>
        <v>0</v>
      </c>
      <c r="F375" s="267">
        <f>F376</f>
        <v>650</v>
      </c>
      <c r="G375" s="267">
        <f>G376</f>
        <v>650</v>
      </c>
      <c r="H375" s="268">
        <f>H376</f>
        <v>4670.443</v>
      </c>
      <c r="I375" s="268">
        <f aca="true" t="shared" si="191" ref="I375:Q375">I376</f>
        <v>46.441</v>
      </c>
      <c r="J375" s="268">
        <f t="shared" si="191"/>
        <v>1007.542</v>
      </c>
      <c r="K375" s="268">
        <f t="shared" si="191"/>
        <v>4559.862</v>
      </c>
      <c r="L375" s="268">
        <f t="shared" si="191"/>
        <v>0</v>
      </c>
      <c r="M375" s="268">
        <f t="shared" si="191"/>
        <v>0</v>
      </c>
      <c r="N375" s="268">
        <f t="shared" si="191"/>
        <v>0</v>
      </c>
      <c r="O375" s="268">
        <f t="shared" si="191"/>
        <v>15.217</v>
      </c>
      <c r="P375" s="268">
        <f t="shared" si="191"/>
        <v>530</v>
      </c>
      <c r="Q375" s="268">
        <f t="shared" si="191"/>
        <v>4559.862</v>
      </c>
      <c r="R375" s="269"/>
      <c r="S375" s="269"/>
      <c r="T375" s="270"/>
      <c r="U375" s="271"/>
      <c r="V375" s="272"/>
      <c r="W375" s="272">
        <f t="shared" si="186"/>
        <v>7.1852969230769235</v>
      </c>
      <c r="X375" s="267">
        <f>X376</f>
        <v>0</v>
      </c>
      <c r="Y375" s="267">
        <f>Y376</f>
        <v>650</v>
      </c>
      <c r="Z375" s="267">
        <f>Z376</f>
        <v>650</v>
      </c>
      <c r="AA375" s="268">
        <f>AA376</f>
        <v>4670.443</v>
      </c>
      <c r="AB375" s="268">
        <f aca="true" t="shared" si="192" ref="AB375:AJ375">AB376</f>
        <v>3552.32</v>
      </c>
      <c r="AC375" s="268">
        <f t="shared" si="192"/>
        <v>1007.542</v>
      </c>
      <c r="AD375" s="268">
        <f>AE376</f>
        <v>0</v>
      </c>
      <c r="AE375" s="268">
        <f t="shared" si="192"/>
        <v>0</v>
      </c>
      <c r="AF375" s="268">
        <f t="shared" si="192"/>
        <v>0</v>
      </c>
      <c r="AG375" s="268">
        <f>AE376</f>
        <v>0</v>
      </c>
      <c r="AH375" s="268">
        <f t="shared" si="192"/>
        <v>15.217</v>
      </c>
      <c r="AI375" s="268">
        <f t="shared" si="192"/>
        <v>530</v>
      </c>
      <c r="AJ375" s="268">
        <f t="shared" si="192"/>
        <v>4559.862</v>
      </c>
      <c r="AK375" s="269"/>
      <c r="AL375" s="269"/>
      <c r="AM375" s="269"/>
      <c r="AN375" s="271"/>
      <c r="AO375" s="272"/>
      <c r="AP375" s="272">
        <f t="shared" si="187"/>
        <v>7.1852969230769235</v>
      </c>
      <c r="AQ375" s="267">
        <f>AQ376</f>
        <v>0</v>
      </c>
      <c r="AR375" s="267">
        <f>AR376</f>
        <v>0</v>
      </c>
      <c r="AS375" s="267">
        <f>AS376</f>
        <v>0</v>
      </c>
      <c r="AT375" s="268">
        <f>AT376</f>
        <v>0</v>
      </c>
      <c r="AU375" s="268">
        <f aca="true" t="shared" si="193" ref="AU375:BC375">AU376</f>
        <v>0</v>
      </c>
      <c r="AV375" s="268">
        <f t="shared" si="193"/>
        <v>0</v>
      </c>
      <c r="AW375" s="268">
        <f>AX376</f>
        <v>0</v>
      </c>
      <c r="AX375" s="268">
        <f t="shared" si="193"/>
        <v>0</v>
      </c>
      <c r="AY375" s="268">
        <f t="shared" si="193"/>
        <v>0</v>
      </c>
      <c r="AZ375" s="268">
        <f t="shared" si="193"/>
        <v>0</v>
      </c>
      <c r="BA375" s="268">
        <f t="shared" si="193"/>
        <v>0</v>
      </c>
      <c r="BB375" s="268">
        <f t="shared" si="193"/>
        <v>0</v>
      </c>
      <c r="BC375" s="268">
        <f t="shared" si="193"/>
        <v>0</v>
      </c>
      <c r="BD375" s="269"/>
      <c r="BE375" s="269"/>
      <c r="BF375" s="269"/>
      <c r="BG375" s="271"/>
      <c r="BH375" s="272"/>
      <c r="BI375" s="272" t="e">
        <f t="shared" si="44"/>
        <v>#DIV/0!</v>
      </c>
      <c r="BJ375" s="415">
        <f t="shared" si="167"/>
        <v>0</v>
      </c>
      <c r="BK375" s="415">
        <f t="shared" si="168"/>
        <v>1300</v>
      </c>
      <c r="BL375" s="415">
        <f t="shared" si="169"/>
        <v>1300</v>
      </c>
      <c r="BM375" s="415">
        <f t="shared" si="170"/>
        <v>9340.886</v>
      </c>
    </row>
    <row r="376" spans="1:65" s="129" customFormat="1" ht="24.75" customHeight="1">
      <c r="A376" s="130" t="s">
        <v>114</v>
      </c>
      <c r="B376" s="131" t="s">
        <v>773</v>
      </c>
      <c r="C376" s="132"/>
      <c r="D376" s="133">
        <v>6</v>
      </c>
      <c r="E376" s="134">
        <f aca="true" t="shared" si="194" ref="E376:Q376">SUM(E377:E378)</f>
        <v>0</v>
      </c>
      <c r="F376" s="134">
        <f t="shared" si="194"/>
        <v>650</v>
      </c>
      <c r="G376" s="134">
        <f>SUM(G377:G378)</f>
        <v>650</v>
      </c>
      <c r="H376" s="135">
        <f t="shared" si="194"/>
        <v>4670.443</v>
      </c>
      <c r="I376" s="135">
        <f t="shared" si="194"/>
        <v>46.441</v>
      </c>
      <c r="J376" s="135">
        <f t="shared" si="194"/>
        <v>1007.542</v>
      </c>
      <c r="K376" s="135">
        <f t="shared" si="194"/>
        <v>4559.862</v>
      </c>
      <c r="L376" s="135">
        <f t="shared" si="194"/>
        <v>0</v>
      </c>
      <c r="M376" s="135">
        <f t="shared" si="194"/>
        <v>0</v>
      </c>
      <c r="N376" s="135">
        <f t="shared" si="194"/>
        <v>0</v>
      </c>
      <c r="O376" s="135">
        <f t="shared" si="194"/>
        <v>15.217</v>
      </c>
      <c r="P376" s="135">
        <f t="shared" si="194"/>
        <v>530</v>
      </c>
      <c r="Q376" s="135">
        <f t="shared" si="194"/>
        <v>4559.862</v>
      </c>
      <c r="R376" s="136"/>
      <c r="S376" s="136"/>
      <c r="T376" s="137"/>
      <c r="U376" s="138"/>
      <c r="V376" s="139"/>
      <c r="W376" s="139">
        <f t="shared" si="186"/>
        <v>7.1852969230769235</v>
      </c>
      <c r="X376" s="140">
        <f aca="true" t="shared" si="195" ref="X376:AJ376">SUM(X377:X378)</f>
        <v>0</v>
      </c>
      <c r="Y376" s="134">
        <f t="shared" si="195"/>
        <v>650</v>
      </c>
      <c r="Z376" s="134">
        <f t="shared" si="195"/>
        <v>650</v>
      </c>
      <c r="AA376" s="135">
        <f t="shared" si="195"/>
        <v>4670.443</v>
      </c>
      <c r="AB376" s="135">
        <f t="shared" si="195"/>
        <v>3552.32</v>
      </c>
      <c r="AC376" s="135">
        <f t="shared" si="195"/>
        <v>1007.542</v>
      </c>
      <c r="AD376" s="135">
        <f>SUM(AE377:AE378)</f>
        <v>0</v>
      </c>
      <c r="AE376" s="135">
        <f t="shared" si="195"/>
        <v>0</v>
      </c>
      <c r="AF376" s="135">
        <f t="shared" si="195"/>
        <v>0</v>
      </c>
      <c r="AG376" s="135">
        <f>SUM(AE377:AE378)</f>
        <v>0</v>
      </c>
      <c r="AH376" s="135">
        <f t="shared" si="195"/>
        <v>15.217</v>
      </c>
      <c r="AI376" s="135">
        <f t="shared" si="195"/>
        <v>530</v>
      </c>
      <c r="AJ376" s="135">
        <f t="shared" si="195"/>
        <v>4559.862</v>
      </c>
      <c r="AK376" s="136"/>
      <c r="AL376" s="136"/>
      <c r="AM376" s="136"/>
      <c r="AN376" s="138"/>
      <c r="AO376" s="139"/>
      <c r="AP376" s="139">
        <f t="shared" si="187"/>
        <v>7.1852969230769235</v>
      </c>
      <c r="AQ376" s="134">
        <f aca="true" t="shared" si="196" ref="AQ376:BC376">SUM(AQ377:AQ378)</f>
        <v>0</v>
      </c>
      <c r="AR376" s="134">
        <f t="shared" si="196"/>
        <v>0</v>
      </c>
      <c r="AS376" s="134">
        <f t="shared" si="196"/>
        <v>0</v>
      </c>
      <c r="AT376" s="135">
        <f t="shared" si="196"/>
        <v>0</v>
      </c>
      <c r="AU376" s="135">
        <f t="shared" si="196"/>
        <v>0</v>
      </c>
      <c r="AV376" s="135">
        <f t="shared" si="196"/>
        <v>0</v>
      </c>
      <c r="AW376" s="135">
        <f>SUM(AX377:AX378)</f>
        <v>0</v>
      </c>
      <c r="AX376" s="135">
        <f t="shared" si="196"/>
        <v>0</v>
      </c>
      <c r="AY376" s="135">
        <f t="shared" si="196"/>
        <v>0</v>
      </c>
      <c r="AZ376" s="135">
        <f t="shared" si="196"/>
        <v>0</v>
      </c>
      <c r="BA376" s="135">
        <f t="shared" si="196"/>
        <v>0</v>
      </c>
      <c r="BB376" s="135">
        <f t="shared" si="196"/>
        <v>0</v>
      </c>
      <c r="BC376" s="135">
        <f t="shared" si="196"/>
        <v>0</v>
      </c>
      <c r="BD376" s="136"/>
      <c r="BE376" s="136"/>
      <c r="BF376" s="136"/>
      <c r="BG376" s="138"/>
      <c r="BH376" s="139"/>
      <c r="BI376" s="139" t="e">
        <f t="shared" si="44"/>
        <v>#DIV/0!</v>
      </c>
      <c r="BJ376" s="415">
        <f t="shared" si="167"/>
        <v>0</v>
      </c>
      <c r="BK376" s="415">
        <f t="shared" si="168"/>
        <v>1300</v>
      </c>
      <c r="BL376" s="415">
        <f t="shared" si="169"/>
        <v>1300</v>
      </c>
      <c r="BM376" s="415">
        <f t="shared" si="170"/>
        <v>9340.886</v>
      </c>
    </row>
    <row r="377" spans="1:65" s="129" customFormat="1" ht="18.75" outlineLevel="1">
      <c r="A377" s="141" t="s">
        <v>116</v>
      </c>
      <c r="B377" s="277" t="s">
        <v>774</v>
      </c>
      <c r="C377" s="160" t="s">
        <v>664</v>
      </c>
      <c r="D377" s="144">
        <v>6</v>
      </c>
      <c r="E377" s="147"/>
      <c r="F377" s="147">
        <v>650</v>
      </c>
      <c r="G377" s="147">
        <v>650</v>
      </c>
      <c r="H377" s="162">
        <v>4670.443</v>
      </c>
      <c r="I377" s="149">
        <v>46.441</v>
      </c>
      <c r="J377" s="149">
        <v>1007.542</v>
      </c>
      <c r="K377" s="149">
        <v>4559.862</v>
      </c>
      <c r="L377" s="149">
        <v>0</v>
      </c>
      <c r="M377" s="149">
        <v>0</v>
      </c>
      <c r="N377" s="149">
        <v>0</v>
      </c>
      <c r="O377" s="149">
        <v>15.217</v>
      </c>
      <c r="P377" s="149">
        <v>530</v>
      </c>
      <c r="Q377" s="149">
        <v>4559.862</v>
      </c>
      <c r="R377" s="150" t="s">
        <v>119</v>
      </c>
      <c r="S377" s="151" t="s">
        <v>120</v>
      </c>
      <c r="T377" s="152"/>
      <c r="U377" s="153"/>
      <c r="V377" s="154"/>
      <c r="W377" s="154">
        <f t="shared" si="186"/>
        <v>7.1852969230769235</v>
      </c>
      <c r="X377" s="194"/>
      <c r="Y377" s="147">
        <v>650</v>
      </c>
      <c r="Z377" s="147">
        <v>650</v>
      </c>
      <c r="AA377" s="162">
        <v>4670.443</v>
      </c>
      <c r="AB377" s="149">
        <v>3552.32</v>
      </c>
      <c r="AC377" s="149">
        <v>1007.542</v>
      </c>
      <c r="AD377" s="149">
        <v>4559.862</v>
      </c>
      <c r="AE377" s="149">
        <v>0</v>
      </c>
      <c r="AF377" s="149">
        <v>0</v>
      </c>
      <c r="AG377" s="149">
        <v>0</v>
      </c>
      <c r="AH377" s="149">
        <v>15.217</v>
      </c>
      <c r="AI377" s="149">
        <v>530</v>
      </c>
      <c r="AJ377" s="149">
        <v>4559.862</v>
      </c>
      <c r="AK377" s="150" t="s">
        <v>119</v>
      </c>
      <c r="AL377" s="151" t="s">
        <v>120</v>
      </c>
      <c r="AM377" s="156"/>
      <c r="AN377" s="153">
        <v>293</v>
      </c>
      <c r="AO377" s="154"/>
      <c r="AP377" s="154">
        <f t="shared" si="187"/>
        <v>7.1852969230769235</v>
      </c>
      <c r="AQ377" s="147"/>
      <c r="AR377" s="147"/>
      <c r="AS377" s="147"/>
      <c r="AT377" s="162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56"/>
      <c r="BE377" s="156"/>
      <c r="BF377" s="156"/>
      <c r="BG377" s="153"/>
      <c r="BH377" s="154"/>
      <c r="BI377" s="154" t="e">
        <f t="shared" si="44"/>
        <v>#DIV/0!</v>
      </c>
      <c r="BJ377" s="415">
        <f t="shared" si="167"/>
        <v>0</v>
      </c>
      <c r="BK377" s="415">
        <f t="shared" si="168"/>
        <v>1300</v>
      </c>
      <c r="BL377" s="415">
        <f t="shared" si="169"/>
        <v>1300</v>
      </c>
      <c r="BM377" s="415">
        <f t="shared" si="170"/>
        <v>9340.886</v>
      </c>
    </row>
    <row r="378" spans="1:65" s="129" customFormat="1" ht="14.25">
      <c r="A378" s="141"/>
      <c r="B378" s="179"/>
      <c r="C378" s="158"/>
      <c r="D378" s="144"/>
      <c r="E378" s="147"/>
      <c r="F378" s="147"/>
      <c r="G378" s="147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56"/>
      <c r="S378" s="156"/>
      <c r="T378" s="152"/>
      <c r="U378" s="153"/>
      <c r="V378" s="154"/>
      <c r="W378" s="154" t="e">
        <f t="shared" si="186"/>
        <v>#DIV/0!</v>
      </c>
      <c r="X378" s="194"/>
      <c r="Y378" s="147"/>
      <c r="Z378" s="147"/>
      <c r="AA378" s="149"/>
      <c r="AB378" s="149"/>
      <c r="AC378" s="149"/>
      <c r="AD378" s="149"/>
      <c r="AE378" s="149"/>
      <c r="AF378" s="149"/>
      <c r="AG378" s="149"/>
      <c r="AH378" s="149"/>
      <c r="AI378" s="149"/>
      <c r="AJ378" s="149"/>
      <c r="AK378" s="156"/>
      <c r="AL378" s="156"/>
      <c r="AM378" s="156"/>
      <c r="AN378" s="153"/>
      <c r="AO378" s="154"/>
      <c r="AP378" s="154" t="e">
        <f t="shared" si="187"/>
        <v>#DIV/0!</v>
      </c>
      <c r="AQ378" s="147"/>
      <c r="AR378" s="147"/>
      <c r="AS378" s="147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56"/>
      <c r="BE378" s="156"/>
      <c r="BF378" s="156"/>
      <c r="BG378" s="153"/>
      <c r="BH378" s="154"/>
      <c r="BI378" s="154" t="e">
        <f t="shared" si="44"/>
        <v>#DIV/0!</v>
      </c>
      <c r="BJ378" s="415">
        <f t="shared" si="167"/>
        <v>0</v>
      </c>
      <c r="BK378" s="415">
        <f t="shared" si="168"/>
        <v>0</v>
      </c>
      <c r="BL378" s="415">
        <f t="shared" si="169"/>
        <v>0</v>
      </c>
      <c r="BM378" s="415">
        <f t="shared" si="170"/>
        <v>0</v>
      </c>
    </row>
    <row r="379" spans="1:61" s="92" customFormat="1" ht="14.25">
      <c r="A379" s="78"/>
      <c r="B379" s="79"/>
      <c r="C379" s="80"/>
      <c r="D379" s="81"/>
      <c r="E379" s="82"/>
      <c r="F379" s="82"/>
      <c r="G379" s="82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91"/>
      <c r="S379" s="91"/>
      <c r="T379" s="278"/>
      <c r="U379" s="85"/>
      <c r="V379" s="87"/>
      <c r="W379" s="87"/>
      <c r="X379" s="88"/>
      <c r="Y379" s="89"/>
      <c r="Z379" s="89"/>
      <c r="AA379" s="83"/>
      <c r="AB379" s="90"/>
      <c r="AC379" s="90"/>
      <c r="AD379" s="90"/>
      <c r="AE379" s="90"/>
      <c r="AF379" s="90"/>
      <c r="AG379" s="90"/>
      <c r="AH379" s="90"/>
      <c r="AI379" s="90"/>
      <c r="AJ379" s="90"/>
      <c r="AK379" s="91"/>
      <c r="AL379" s="91"/>
      <c r="AM379" s="91"/>
      <c r="AN379" s="85"/>
      <c r="AO379" s="87"/>
      <c r="AP379" s="87"/>
      <c r="AQ379" s="91"/>
      <c r="AR379" s="85"/>
      <c r="AS379" s="85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85"/>
      <c r="BH379" s="91"/>
      <c r="BI379" s="91"/>
    </row>
    <row r="380" spans="1:61" s="92" customFormat="1" ht="14.25">
      <c r="A380" s="78"/>
      <c r="B380" s="79"/>
      <c r="C380" s="80"/>
      <c r="D380" s="81"/>
      <c r="E380" s="422"/>
      <c r="F380" s="422"/>
      <c r="G380" s="422"/>
      <c r="H380" s="423"/>
      <c r="I380" s="423"/>
      <c r="J380" s="423"/>
      <c r="K380" s="423"/>
      <c r="L380" s="423"/>
      <c r="M380" s="423"/>
      <c r="N380" s="423"/>
      <c r="O380" s="423"/>
      <c r="P380" s="423"/>
      <c r="Q380" s="423"/>
      <c r="R380" s="424"/>
      <c r="S380" s="424"/>
      <c r="T380" s="425"/>
      <c r="U380" s="426"/>
      <c r="V380" s="427"/>
      <c r="W380" s="427"/>
      <c r="X380" s="428"/>
      <c r="Y380" s="429"/>
      <c r="Z380" s="429"/>
      <c r="AA380" s="423"/>
      <c r="AB380" s="430"/>
      <c r="AC380" s="430"/>
      <c r="AD380" s="430"/>
      <c r="AE380" s="430"/>
      <c r="AF380" s="430"/>
      <c r="AG380" s="430"/>
      <c r="AH380" s="430"/>
      <c r="AI380" s="430"/>
      <c r="AJ380" s="430"/>
      <c r="AK380" s="424"/>
      <c r="AL380" s="424"/>
      <c r="AM380" s="424"/>
      <c r="AN380" s="426"/>
      <c r="AO380" s="427"/>
      <c r="AP380" s="427"/>
      <c r="AQ380" s="424"/>
      <c r="AR380" s="426"/>
      <c r="AS380" s="426"/>
      <c r="AT380" s="424"/>
      <c r="AU380" s="424"/>
      <c r="AV380" s="424"/>
      <c r="AW380" s="424"/>
      <c r="AX380" s="424"/>
      <c r="AY380" s="424"/>
      <c r="AZ380" s="424"/>
      <c r="BA380" s="424"/>
      <c r="BB380" s="424"/>
      <c r="BC380" s="424"/>
      <c r="BD380" s="424"/>
      <c r="BE380" s="424"/>
      <c r="BF380" s="424"/>
      <c r="BG380" s="85"/>
      <c r="BH380" s="91"/>
      <c r="BI380" s="91"/>
    </row>
    <row r="381" spans="1:65" s="92" customFormat="1" ht="14.25">
      <c r="A381" s="78"/>
      <c r="B381" s="79"/>
      <c r="C381" s="409" t="s">
        <v>811</v>
      </c>
      <c r="D381" s="81">
        <v>0.4</v>
      </c>
      <c r="E381" s="431"/>
      <c r="F381" s="422"/>
      <c r="G381" s="422"/>
      <c r="H381" s="432"/>
      <c r="I381" s="423"/>
      <c r="J381" s="423"/>
      <c r="K381" s="423"/>
      <c r="L381" s="423"/>
      <c r="M381" s="423"/>
      <c r="N381" s="423"/>
      <c r="O381" s="423"/>
      <c r="P381" s="423"/>
      <c r="Q381" s="423"/>
      <c r="R381" s="424"/>
      <c r="S381" s="424"/>
      <c r="T381" s="425"/>
      <c r="U381" s="426"/>
      <c r="V381" s="427"/>
      <c r="W381" s="427"/>
      <c r="X381" s="433"/>
      <c r="Y381" s="429"/>
      <c r="Z381" s="429"/>
      <c r="AA381" s="434"/>
      <c r="AB381" s="430"/>
      <c r="AC381" s="430"/>
      <c r="AD381" s="430"/>
      <c r="AE381" s="430"/>
      <c r="AF381" s="430"/>
      <c r="AG381" s="430"/>
      <c r="AH381" s="430"/>
      <c r="AI381" s="430"/>
      <c r="AJ381" s="430"/>
      <c r="AK381" s="424"/>
      <c r="AL381" s="424"/>
      <c r="AM381" s="424"/>
      <c r="AN381" s="426"/>
      <c r="AO381" s="427"/>
      <c r="AP381" s="427"/>
      <c r="AQ381" s="424"/>
      <c r="AR381" s="426"/>
      <c r="AS381" s="426"/>
      <c r="AT381" s="424"/>
      <c r="AU381" s="435"/>
      <c r="AV381" s="431"/>
      <c r="AW381" s="431"/>
      <c r="AX381" s="431"/>
      <c r="AY381" s="431"/>
      <c r="AZ381" s="424"/>
      <c r="BA381" s="424"/>
      <c r="BB381" s="424"/>
      <c r="BC381" s="424"/>
      <c r="BD381" s="424"/>
      <c r="BE381" s="424"/>
      <c r="BF381" s="424"/>
      <c r="BG381" s="85"/>
      <c r="BH381" s="91"/>
      <c r="BI381" s="91"/>
      <c r="BJ381" s="92">
        <f>BJ11+BJ22+BJ87+BJ98+BJ134+BJ163+BJ198+BJ246+BJ249</f>
        <v>29336</v>
      </c>
      <c r="BK381" s="92">
        <f>BK11+BK22+BK87+BK98+BK134+BK163+BK198+BK246+BK249</f>
        <v>4870.4</v>
      </c>
      <c r="BL381" s="92">
        <f>BL11+BL22+BL87+BL98+BL134+BL163+BL198+BL246+BL249</f>
        <v>4870.4</v>
      </c>
      <c r="BM381" s="92">
        <f>BM11+BM22+BM87+BM98+BM134+BM163+BM198+BM246+BM249</f>
        <v>18036.189540000003</v>
      </c>
    </row>
    <row r="382" spans="1:65" s="92" customFormat="1" ht="14.25">
      <c r="A382" s="78"/>
      <c r="B382" s="79"/>
      <c r="C382" s="409" t="s">
        <v>811</v>
      </c>
      <c r="D382" s="81">
        <v>6</v>
      </c>
      <c r="E382" s="431"/>
      <c r="F382" s="422"/>
      <c r="G382" s="422"/>
      <c r="H382" s="432"/>
      <c r="I382" s="423"/>
      <c r="J382" s="423"/>
      <c r="K382" s="423"/>
      <c r="L382" s="423"/>
      <c r="M382" s="423"/>
      <c r="N382" s="423"/>
      <c r="O382" s="423"/>
      <c r="P382" s="423"/>
      <c r="Q382" s="423"/>
      <c r="R382" s="424"/>
      <c r="S382" s="424"/>
      <c r="T382" s="425"/>
      <c r="U382" s="426"/>
      <c r="V382" s="427"/>
      <c r="W382" s="427"/>
      <c r="X382" s="433"/>
      <c r="Y382" s="429"/>
      <c r="Z382" s="429"/>
      <c r="AA382" s="434"/>
      <c r="AB382" s="430"/>
      <c r="AC382" s="430"/>
      <c r="AD382" s="430"/>
      <c r="AE382" s="430"/>
      <c r="AF382" s="430"/>
      <c r="AG382" s="430"/>
      <c r="AH382" s="430"/>
      <c r="AI382" s="430"/>
      <c r="AJ382" s="430"/>
      <c r="AK382" s="424"/>
      <c r="AL382" s="424"/>
      <c r="AM382" s="424"/>
      <c r="AN382" s="426"/>
      <c r="AO382" s="427"/>
      <c r="AP382" s="427"/>
      <c r="AQ382" s="424"/>
      <c r="AR382" s="426"/>
      <c r="AS382" s="426"/>
      <c r="AT382" s="424"/>
      <c r="AU382" s="435"/>
      <c r="AV382" s="431"/>
      <c r="AW382" s="431"/>
      <c r="AX382" s="431"/>
      <c r="AY382" s="431"/>
      <c r="AZ382" s="424"/>
      <c r="BA382" s="424"/>
      <c r="BB382" s="424"/>
      <c r="BC382" s="424"/>
      <c r="BD382" s="424"/>
      <c r="BE382" s="424"/>
      <c r="BF382" s="424"/>
      <c r="BG382" s="85"/>
      <c r="BH382" s="91"/>
      <c r="BI382" s="91"/>
      <c r="BJ382" s="92">
        <f>BJ223+BJ231</f>
        <v>4051.3333333333335</v>
      </c>
      <c r="BK382" s="92">
        <f>BK223+BK231</f>
        <v>2278</v>
      </c>
      <c r="BL382" s="92">
        <f>BL223+BL231</f>
        <v>2278</v>
      </c>
      <c r="BM382" s="92">
        <f>BM223+BM231</f>
        <v>8170.378999999999</v>
      </c>
    </row>
    <row r="383" spans="1:65" s="92" customFormat="1" ht="14.25">
      <c r="A383" s="78"/>
      <c r="B383" s="79"/>
      <c r="C383" s="409" t="s">
        <v>812</v>
      </c>
      <c r="D383" s="81">
        <v>0.4</v>
      </c>
      <c r="E383" s="431"/>
      <c r="F383" s="422"/>
      <c r="G383" s="422"/>
      <c r="H383" s="432"/>
      <c r="I383" s="423"/>
      <c r="J383" s="423"/>
      <c r="K383" s="423"/>
      <c r="L383" s="423"/>
      <c r="M383" s="423"/>
      <c r="N383" s="423"/>
      <c r="O383" s="423"/>
      <c r="P383" s="423"/>
      <c r="Q383" s="423"/>
      <c r="R383" s="424"/>
      <c r="S383" s="424"/>
      <c r="T383" s="425"/>
      <c r="U383" s="426"/>
      <c r="V383" s="427"/>
      <c r="W383" s="427"/>
      <c r="X383" s="433"/>
      <c r="Y383" s="429"/>
      <c r="Z383" s="429"/>
      <c r="AA383" s="434"/>
      <c r="AB383" s="430"/>
      <c r="AC383" s="430"/>
      <c r="AD383" s="430"/>
      <c r="AE383" s="430"/>
      <c r="AF383" s="430"/>
      <c r="AG383" s="430"/>
      <c r="AH383" s="430"/>
      <c r="AI383" s="430"/>
      <c r="AJ383" s="430"/>
      <c r="AK383" s="424"/>
      <c r="AL383" s="424"/>
      <c r="AM383" s="424"/>
      <c r="AN383" s="426"/>
      <c r="AO383" s="427"/>
      <c r="AP383" s="427"/>
      <c r="AQ383" s="424"/>
      <c r="AR383" s="426"/>
      <c r="AS383" s="426"/>
      <c r="AT383" s="424"/>
      <c r="AU383" s="435"/>
      <c r="AV383" s="431"/>
      <c r="AW383" s="431"/>
      <c r="AX383" s="431"/>
      <c r="AY383" s="431"/>
      <c r="AZ383" s="424"/>
      <c r="BA383" s="424"/>
      <c r="BB383" s="424"/>
      <c r="BC383" s="424"/>
      <c r="BD383" s="424"/>
      <c r="BE383" s="424"/>
      <c r="BF383" s="424"/>
      <c r="BG383" s="85"/>
      <c r="BH383" s="91"/>
      <c r="BI383" s="91"/>
      <c r="BJ383" s="92">
        <f>BJ253+BJ256+BJ260+BJ267+BJ293</f>
        <v>4617</v>
      </c>
      <c r="BK383" s="92">
        <f>BK253+BK256+BK260+BK267+BK293</f>
        <v>3567</v>
      </c>
      <c r="BL383" s="92">
        <f>BL253+BL256+BL260+BL267+BL293</f>
        <v>3567</v>
      </c>
      <c r="BM383" s="92">
        <f>BM253+BM256+BM260+BM267+BM293</f>
        <v>4788.171069999999</v>
      </c>
    </row>
    <row r="384" spans="1:65" s="92" customFormat="1" ht="14.25">
      <c r="A384" s="78"/>
      <c r="B384" s="79"/>
      <c r="C384" s="409" t="s">
        <v>812</v>
      </c>
      <c r="D384" s="81">
        <v>6</v>
      </c>
      <c r="E384" s="431"/>
      <c r="F384" s="422"/>
      <c r="G384" s="422"/>
      <c r="H384" s="432"/>
      <c r="I384" s="423"/>
      <c r="J384" s="423"/>
      <c r="K384" s="423"/>
      <c r="L384" s="423"/>
      <c r="M384" s="423"/>
      <c r="N384" s="423"/>
      <c r="O384" s="423"/>
      <c r="P384" s="423"/>
      <c r="Q384" s="423"/>
      <c r="R384" s="424"/>
      <c r="S384" s="424"/>
      <c r="T384" s="425"/>
      <c r="U384" s="426"/>
      <c r="V384" s="427"/>
      <c r="W384" s="427"/>
      <c r="X384" s="433"/>
      <c r="Y384" s="428"/>
      <c r="Z384" s="428"/>
      <c r="AA384" s="436"/>
      <c r="AB384" s="430"/>
      <c r="AC384" s="430"/>
      <c r="AD384" s="430"/>
      <c r="AE384" s="430"/>
      <c r="AF384" s="430"/>
      <c r="AG384" s="430"/>
      <c r="AH384" s="430"/>
      <c r="AI384" s="430"/>
      <c r="AJ384" s="430"/>
      <c r="AK384" s="424"/>
      <c r="AL384" s="424"/>
      <c r="AM384" s="424"/>
      <c r="AN384" s="426"/>
      <c r="AO384" s="427"/>
      <c r="AP384" s="427"/>
      <c r="AQ384" s="427"/>
      <c r="AR384" s="427"/>
      <c r="AS384" s="427"/>
      <c r="AT384" s="427"/>
      <c r="AU384" s="435"/>
      <c r="AV384" s="431"/>
      <c r="AW384" s="431"/>
      <c r="AX384" s="431"/>
      <c r="AY384" s="431"/>
      <c r="AZ384" s="424"/>
      <c r="BA384" s="424"/>
      <c r="BB384" s="424"/>
      <c r="BC384" s="424"/>
      <c r="BD384" s="424"/>
      <c r="BE384" s="424"/>
      <c r="BF384" s="424"/>
      <c r="BG384" s="85"/>
      <c r="BH384" s="91"/>
      <c r="BI384" s="91"/>
      <c r="BJ384" s="92">
        <f>BJ276+BJ281+BJ289+BJ296+BJ300+BJ304</f>
        <v>6222</v>
      </c>
      <c r="BK384" s="92">
        <f>BK276+BK281+BK289+BK296+BK300+BK304</f>
        <v>5705</v>
      </c>
      <c r="BL384" s="92">
        <f>BL276+BL281+BL289+BL296+BL300+BL304</f>
        <v>5705</v>
      </c>
      <c r="BM384" s="92">
        <f>BM276+BM281+BM289+BM296+BM300+BM304</f>
        <v>13855.78529</v>
      </c>
    </row>
    <row r="385" spans="1:65" s="92" customFormat="1" ht="14.25">
      <c r="A385" s="78"/>
      <c r="B385" s="79"/>
      <c r="C385" s="409" t="s">
        <v>810</v>
      </c>
      <c r="D385" s="81"/>
      <c r="E385" s="431"/>
      <c r="F385" s="422"/>
      <c r="G385" s="422"/>
      <c r="H385" s="432"/>
      <c r="I385" s="423"/>
      <c r="J385" s="423"/>
      <c r="K385" s="423"/>
      <c r="L385" s="423"/>
      <c r="M385" s="423"/>
      <c r="N385" s="423"/>
      <c r="O385" s="423"/>
      <c r="P385" s="423"/>
      <c r="Q385" s="423"/>
      <c r="R385" s="424"/>
      <c r="S385" s="424"/>
      <c r="T385" s="425"/>
      <c r="U385" s="426"/>
      <c r="V385" s="427"/>
      <c r="W385" s="427"/>
      <c r="X385" s="433"/>
      <c r="Y385" s="429"/>
      <c r="Z385" s="429"/>
      <c r="AA385" s="434"/>
      <c r="AB385" s="430"/>
      <c r="AC385" s="430"/>
      <c r="AD385" s="430"/>
      <c r="AE385" s="430"/>
      <c r="AF385" s="430"/>
      <c r="AG385" s="430"/>
      <c r="AH385" s="430"/>
      <c r="AI385" s="430"/>
      <c r="AJ385" s="430"/>
      <c r="AK385" s="424"/>
      <c r="AL385" s="424"/>
      <c r="AM385" s="424"/>
      <c r="AN385" s="426"/>
      <c r="AO385" s="427"/>
      <c r="AP385" s="427"/>
      <c r="AQ385" s="424"/>
      <c r="AR385" s="426"/>
      <c r="AS385" s="426"/>
      <c r="AT385" s="424"/>
      <c r="AU385" s="435"/>
      <c r="AV385" s="431"/>
      <c r="AW385" s="431"/>
      <c r="AX385" s="431"/>
      <c r="AY385" s="431"/>
      <c r="AZ385" s="424"/>
      <c r="BA385" s="424"/>
      <c r="BB385" s="424"/>
      <c r="BC385" s="424"/>
      <c r="BD385" s="424"/>
      <c r="BE385" s="424"/>
      <c r="BF385" s="424"/>
      <c r="BG385" s="85"/>
      <c r="BH385" s="91"/>
      <c r="BI385" s="91"/>
      <c r="BJ385" s="92">
        <f>BJ310+BJ316+BJ321+BJ324+BJ327+BJ332+BJ335+BJ340+BJ343+BJ346+BJ352+BJ357+BJ364+BJ369+BJ372+BJ376</f>
        <v>0</v>
      </c>
      <c r="BK385" s="92">
        <f>BK310+BK316+BK321+BK324+BK327+BK332+BK335+BK340+BK343+BK346+BK352+BK357+BK364+BK369+BK372+BK376</f>
        <v>8241</v>
      </c>
      <c r="BL385" s="92">
        <f>BL310+BL316+BL321+BL324+BL327+BL332+BL335+BL340+BL343+BL346+BL352+BL357+BL364+BL369+BL372+BL376</f>
        <v>8241</v>
      </c>
      <c r="BM385" s="92">
        <f>BM310+BM316+BM321+BM324+BM327+BM332+BM335+BM340+BM343+BM346+BM352+BM357+BM364+BM369+BM372+BM376</f>
        <v>39625.7533</v>
      </c>
    </row>
    <row r="386" spans="1:61" s="92" customFormat="1" ht="14.25">
      <c r="A386" s="78"/>
      <c r="B386" s="79"/>
      <c r="C386" s="80"/>
      <c r="D386" s="81"/>
      <c r="E386" s="422"/>
      <c r="F386" s="422"/>
      <c r="G386" s="422"/>
      <c r="H386" s="437"/>
      <c r="I386" s="423"/>
      <c r="J386" s="423"/>
      <c r="K386" s="423"/>
      <c r="L386" s="423"/>
      <c r="M386" s="423"/>
      <c r="N386" s="423"/>
      <c r="O386" s="423"/>
      <c r="P386" s="423"/>
      <c r="Q386" s="423"/>
      <c r="R386" s="424"/>
      <c r="S386" s="424"/>
      <c r="T386" s="425"/>
      <c r="U386" s="426"/>
      <c r="V386" s="427"/>
      <c r="W386" s="427"/>
      <c r="X386" s="428"/>
      <c r="Y386" s="429"/>
      <c r="Z386" s="429"/>
      <c r="AA386" s="423"/>
      <c r="AB386" s="430"/>
      <c r="AC386" s="430"/>
      <c r="AD386" s="430"/>
      <c r="AE386" s="430"/>
      <c r="AF386" s="430"/>
      <c r="AG386" s="430"/>
      <c r="AH386" s="430"/>
      <c r="AI386" s="430"/>
      <c r="AJ386" s="430"/>
      <c r="AK386" s="424"/>
      <c r="AL386" s="424"/>
      <c r="AM386" s="424"/>
      <c r="AN386" s="426"/>
      <c r="AO386" s="427"/>
      <c r="AP386" s="427"/>
      <c r="AQ386" s="424"/>
      <c r="AR386" s="426"/>
      <c r="AS386" s="426"/>
      <c r="AT386" s="424"/>
      <c r="AU386" s="424"/>
      <c r="AV386" s="424"/>
      <c r="AW386" s="424"/>
      <c r="AX386" s="424"/>
      <c r="AY386" s="424"/>
      <c r="AZ386" s="424"/>
      <c r="BA386" s="424"/>
      <c r="BB386" s="424"/>
      <c r="BC386" s="424"/>
      <c r="BD386" s="424"/>
      <c r="BE386" s="424"/>
      <c r="BF386" s="424"/>
      <c r="BG386" s="85"/>
      <c r="BH386" s="91"/>
      <c r="BI386" s="91"/>
    </row>
    <row r="387" spans="1:61" s="92" customFormat="1" ht="14.25">
      <c r="A387" s="78"/>
      <c r="B387" s="79"/>
      <c r="C387" s="80"/>
      <c r="D387" s="81"/>
      <c r="E387" s="82"/>
      <c r="F387" s="82"/>
      <c r="G387" s="82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91"/>
      <c r="S387" s="91"/>
      <c r="T387" s="278"/>
      <c r="U387" s="85"/>
      <c r="V387" s="87"/>
      <c r="W387" s="87"/>
      <c r="X387" s="88"/>
      <c r="Y387" s="89"/>
      <c r="Z387" s="89"/>
      <c r="AA387" s="83"/>
      <c r="AB387" s="90"/>
      <c r="AC387" s="90"/>
      <c r="AD387" s="90"/>
      <c r="AE387" s="90"/>
      <c r="AF387" s="90"/>
      <c r="AG387" s="90"/>
      <c r="AH387" s="90"/>
      <c r="AI387" s="90"/>
      <c r="AJ387" s="90"/>
      <c r="AK387" s="91"/>
      <c r="AL387" s="91"/>
      <c r="AM387" s="91"/>
      <c r="AN387" s="85"/>
      <c r="AO387" s="87"/>
      <c r="AP387" s="87"/>
      <c r="AQ387" s="91"/>
      <c r="AR387" s="85"/>
      <c r="AS387" s="85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85"/>
      <c r="BH387" s="91"/>
      <c r="BI387" s="91"/>
    </row>
    <row r="388" spans="1:61" s="92" customFormat="1" ht="14.25">
      <c r="A388" s="78"/>
      <c r="B388" s="79"/>
      <c r="C388" s="80"/>
      <c r="D388" s="81"/>
      <c r="E388" s="82"/>
      <c r="F388" s="82"/>
      <c r="G388" s="82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91"/>
      <c r="S388" s="91"/>
      <c r="T388" s="278"/>
      <c r="U388" s="85"/>
      <c r="V388" s="87"/>
      <c r="W388" s="87"/>
      <c r="X388" s="88"/>
      <c r="Y388" s="89"/>
      <c r="Z388" s="89"/>
      <c r="AA388" s="83"/>
      <c r="AB388" s="90"/>
      <c r="AC388" s="90"/>
      <c r="AD388" s="90"/>
      <c r="AE388" s="90"/>
      <c r="AF388" s="90"/>
      <c r="AG388" s="90"/>
      <c r="AH388" s="90"/>
      <c r="AI388" s="90"/>
      <c r="AJ388" s="90"/>
      <c r="AK388" s="91"/>
      <c r="AL388" s="91"/>
      <c r="AM388" s="91"/>
      <c r="AN388" s="85"/>
      <c r="AO388" s="87"/>
      <c r="AP388" s="87"/>
      <c r="AQ388" s="91"/>
      <c r="AR388" s="85"/>
      <c r="AS388" s="85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85"/>
      <c r="BH388" s="91"/>
      <c r="BI388" s="91"/>
    </row>
    <row r="389" spans="1:61" s="92" customFormat="1" ht="14.25">
      <c r="A389" s="78"/>
      <c r="B389" s="79"/>
      <c r="C389" s="80"/>
      <c r="D389" s="81"/>
      <c r="E389" s="82"/>
      <c r="F389" s="82"/>
      <c r="G389" s="82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91"/>
      <c r="S389" s="91"/>
      <c r="T389" s="278"/>
      <c r="U389" s="85"/>
      <c r="V389" s="87"/>
      <c r="W389" s="87"/>
      <c r="X389" s="88"/>
      <c r="Y389" s="89"/>
      <c r="Z389" s="89"/>
      <c r="AA389" s="83"/>
      <c r="AB389" s="90"/>
      <c r="AC389" s="90"/>
      <c r="AD389" s="90"/>
      <c r="AE389" s="90"/>
      <c r="AF389" s="90"/>
      <c r="AG389" s="90"/>
      <c r="AH389" s="90"/>
      <c r="AI389" s="90"/>
      <c r="AJ389" s="90"/>
      <c r="AK389" s="91"/>
      <c r="AL389" s="91"/>
      <c r="AM389" s="91"/>
      <c r="AN389" s="85"/>
      <c r="AO389" s="87"/>
      <c r="AP389" s="87"/>
      <c r="AQ389" s="91"/>
      <c r="AR389" s="85"/>
      <c r="AS389" s="85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85"/>
      <c r="BH389" s="91"/>
      <c r="BI389" s="91"/>
    </row>
    <row r="390" spans="1:61" s="92" customFormat="1" ht="14.25">
      <c r="A390" s="78"/>
      <c r="B390" s="79"/>
      <c r="C390" s="80"/>
      <c r="D390" s="81"/>
      <c r="E390" s="82"/>
      <c r="F390" s="82"/>
      <c r="G390" s="82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91"/>
      <c r="S390" s="91"/>
      <c r="T390" s="278"/>
      <c r="U390" s="85"/>
      <c r="V390" s="87"/>
      <c r="W390" s="87"/>
      <c r="X390" s="88"/>
      <c r="Y390" s="89"/>
      <c r="Z390" s="89"/>
      <c r="AA390" s="83"/>
      <c r="AB390" s="90"/>
      <c r="AC390" s="90"/>
      <c r="AD390" s="90"/>
      <c r="AE390" s="90"/>
      <c r="AF390" s="90"/>
      <c r="AG390" s="90"/>
      <c r="AH390" s="90"/>
      <c r="AI390" s="90"/>
      <c r="AJ390" s="90"/>
      <c r="AK390" s="91"/>
      <c r="AL390" s="91"/>
      <c r="AM390" s="91"/>
      <c r="AN390" s="85"/>
      <c r="AO390" s="87"/>
      <c r="AP390" s="87"/>
      <c r="AQ390" s="91"/>
      <c r="AR390" s="85"/>
      <c r="AS390" s="85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85"/>
      <c r="BH390" s="91"/>
      <c r="BI390" s="91"/>
    </row>
    <row r="391" spans="1:61" s="92" customFormat="1" ht="14.25">
      <c r="A391" s="78"/>
      <c r="B391" s="79"/>
      <c r="C391" s="80"/>
      <c r="D391" s="81"/>
      <c r="E391" s="82"/>
      <c r="F391" s="82"/>
      <c r="G391" s="82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91"/>
      <c r="S391" s="91"/>
      <c r="T391" s="278"/>
      <c r="U391" s="85"/>
      <c r="V391" s="87"/>
      <c r="W391" s="87"/>
      <c r="X391" s="88"/>
      <c r="Y391" s="89"/>
      <c r="Z391" s="89"/>
      <c r="AA391" s="83"/>
      <c r="AB391" s="90"/>
      <c r="AC391" s="90"/>
      <c r="AD391" s="90"/>
      <c r="AE391" s="90"/>
      <c r="AF391" s="90"/>
      <c r="AG391" s="90"/>
      <c r="AH391" s="90"/>
      <c r="AI391" s="90"/>
      <c r="AJ391" s="90"/>
      <c r="AK391" s="91"/>
      <c r="AL391" s="91"/>
      <c r="AM391" s="91"/>
      <c r="AN391" s="85"/>
      <c r="AO391" s="87"/>
      <c r="AP391" s="87"/>
      <c r="AQ391" s="91"/>
      <c r="AR391" s="85"/>
      <c r="AS391" s="85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85"/>
      <c r="BH391" s="91"/>
      <c r="BI391" s="91"/>
    </row>
    <row r="392" spans="1:61" s="92" customFormat="1" ht="14.25">
      <c r="A392" s="78"/>
      <c r="B392" s="79"/>
      <c r="C392" s="80"/>
      <c r="D392" s="81"/>
      <c r="E392" s="82"/>
      <c r="F392" s="82"/>
      <c r="G392" s="82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91"/>
      <c r="S392" s="91"/>
      <c r="T392" s="278"/>
      <c r="U392" s="85"/>
      <c r="V392" s="87"/>
      <c r="W392" s="87"/>
      <c r="X392" s="88"/>
      <c r="Y392" s="89"/>
      <c r="Z392" s="89"/>
      <c r="AA392" s="83"/>
      <c r="AB392" s="90"/>
      <c r="AC392" s="90"/>
      <c r="AD392" s="90"/>
      <c r="AE392" s="90"/>
      <c r="AF392" s="90"/>
      <c r="AG392" s="90"/>
      <c r="AH392" s="90"/>
      <c r="AI392" s="90"/>
      <c r="AJ392" s="90"/>
      <c r="AK392" s="91"/>
      <c r="AL392" s="91"/>
      <c r="AM392" s="91"/>
      <c r="AN392" s="85"/>
      <c r="AO392" s="87"/>
      <c r="AP392" s="87"/>
      <c r="AQ392" s="91"/>
      <c r="AR392" s="85"/>
      <c r="AS392" s="85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85"/>
      <c r="BH392" s="91"/>
      <c r="BI392" s="91"/>
    </row>
    <row r="393" spans="1:61" s="92" customFormat="1" ht="14.25">
      <c r="A393" s="78"/>
      <c r="B393" s="79"/>
      <c r="C393" s="80"/>
      <c r="D393" s="81"/>
      <c r="E393" s="82"/>
      <c r="F393" s="82"/>
      <c r="G393" s="82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91"/>
      <c r="S393" s="91"/>
      <c r="T393" s="278"/>
      <c r="U393" s="85"/>
      <c r="V393" s="87"/>
      <c r="W393" s="87"/>
      <c r="X393" s="88"/>
      <c r="Y393" s="89"/>
      <c r="Z393" s="89"/>
      <c r="AA393" s="83"/>
      <c r="AB393" s="90"/>
      <c r="AC393" s="90"/>
      <c r="AD393" s="90"/>
      <c r="AE393" s="90"/>
      <c r="AF393" s="90"/>
      <c r="AG393" s="90"/>
      <c r="AH393" s="90"/>
      <c r="AI393" s="90"/>
      <c r="AJ393" s="90"/>
      <c r="AK393" s="91"/>
      <c r="AL393" s="91"/>
      <c r="AM393" s="91"/>
      <c r="AN393" s="85"/>
      <c r="AO393" s="87"/>
      <c r="AP393" s="87"/>
      <c r="AQ393" s="91"/>
      <c r="AR393" s="85"/>
      <c r="AS393" s="85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85"/>
      <c r="BH393" s="91"/>
      <c r="BI393" s="91"/>
    </row>
    <row r="394" spans="1:61" s="92" customFormat="1" ht="14.25">
      <c r="A394" s="78"/>
      <c r="B394" s="79"/>
      <c r="C394" s="80"/>
      <c r="D394" s="81"/>
      <c r="E394" s="82"/>
      <c r="F394" s="82"/>
      <c r="G394" s="82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91"/>
      <c r="S394" s="91"/>
      <c r="T394" s="278"/>
      <c r="U394" s="85"/>
      <c r="V394" s="87"/>
      <c r="W394" s="87"/>
      <c r="X394" s="88"/>
      <c r="Y394" s="89"/>
      <c r="Z394" s="89"/>
      <c r="AA394" s="83"/>
      <c r="AB394" s="90"/>
      <c r="AC394" s="90"/>
      <c r="AD394" s="90"/>
      <c r="AE394" s="90"/>
      <c r="AF394" s="90"/>
      <c r="AG394" s="90"/>
      <c r="AH394" s="90"/>
      <c r="AI394" s="90"/>
      <c r="AJ394" s="90"/>
      <c r="AK394" s="91"/>
      <c r="AL394" s="91"/>
      <c r="AM394" s="91"/>
      <c r="AN394" s="85"/>
      <c r="AO394" s="87"/>
      <c r="AP394" s="87"/>
      <c r="AQ394" s="91"/>
      <c r="AR394" s="85"/>
      <c r="AS394" s="85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85"/>
      <c r="BH394" s="91"/>
      <c r="BI394" s="91"/>
    </row>
    <row r="395" spans="1:61" s="92" customFormat="1" ht="14.25">
      <c r="A395" s="78"/>
      <c r="B395" s="79"/>
      <c r="C395" s="80"/>
      <c r="D395" s="81"/>
      <c r="E395" s="82"/>
      <c r="F395" s="82"/>
      <c r="G395" s="82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91"/>
      <c r="S395" s="91"/>
      <c r="T395" s="278"/>
      <c r="U395" s="85"/>
      <c r="V395" s="87"/>
      <c r="W395" s="87"/>
      <c r="X395" s="88"/>
      <c r="Y395" s="89"/>
      <c r="Z395" s="89"/>
      <c r="AA395" s="83"/>
      <c r="AB395" s="90"/>
      <c r="AC395" s="90"/>
      <c r="AD395" s="90"/>
      <c r="AE395" s="90"/>
      <c r="AF395" s="90"/>
      <c r="AG395" s="90"/>
      <c r="AH395" s="90"/>
      <c r="AI395" s="90"/>
      <c r="AJ395" s="90"/>
      <c r="AK395" s="91"/>
      <c r="AL395" s="91"/>
      <c r="AM395" s="91"/>
      <c r="AN395" s="85"/>
      <c r="AO395" s="87"/>
      <c r="AP395" s="87"/>
      <c r="AQ395" s="91"/>
      <c r="AR395" s="85"/>
      <c r="AS395" s="85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85"/>
      <c r="BH395" s="91"/>
      <c r="BI395" s="91"/>
    </row>
    <row r="396" spans="1:61" s="92" customFormat="1" ht="14.25">
      <c r="A396" s="78"/>
      <c r="B396" s="79"/>
      <c r="C396" s="80"/>
      <c r="D396" s="81"/>
      <c r="E396" s="82"/>
      <c r="F396" s="82"/>
      <c r="G396" s="82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91"/>
      <c r="S396" s="91"/>
      <c r="T396" s="278"/>
      <c r="U396" s="85"/>
      <c r="V396" s="87"/>
      <c r="W396" s="87"/>
      <c r="X396" s="88"/>
      <c r="Y396" s="89"/>
      <c r="Z396" s="89"/>
      <c r="AA396" s="83"/>
      <c r="AB396" s="90"/>
      <c r="AC396" s="90"/>
      <c r="AD396" s="90"/>
      <c r="AE396" s="90"/>
      <c r="AF396" s="90"/>
      <c r="AG396" s="90"/>
      <c r="AH396" s="90"/>
      <c r="AI396" s="90"/>
      <c r="AJ396" s="90"/>
      <c r="AK396" s="91"/>
      <c r="AL396" s="91"/>
      <c r="AM396" s="91"/>
      <c r="AN396" s="85"/>
      <c r="AO396" s="87"/>
      <c r="AP396" s="87"/>
      <c r="AQ396" s="91"/>
      <c r="AR396" s="85"/>
      <c r="AS396" s="85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85"/>
      <c r="BH396" s="91"/>
      <c r="BI396" s="91"/>
    </row>
    <row r="397" spans="1:61" s="92" customFormat="1" ht="14.25">
      <c r="A397" s="78"/>
      <c r="B397" s="79"/>
      <c r="C397" s="80"/>
      <c r="D397" s="81"/>
      <c r="E397" s="82"/>
      <c r="F397" s="82"/>
      <c r="G397" s="82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91"/>
      <c r="S397" s="91"/>
      <c r="T397" s="278"/>
      <c r="U397" s="85"/>
      <c r="V397" s="87"/>
      <c r="W397" s="87"/>
      <c r="X397" s="88"/>
      <c r="Y397" s="89"/>
      <c r="Z397" s="89"/>
      <c r="AA397" s="83"/>
      <c r="AB397" s="90"/>
      <c r="AC397" s="90"/>
      <c r="AD397" s="90"/>
      <c r="AE397" s="90"/>
      <c r="AF397" s="90"/>
      <c r="AG397" s="90"/>
      <c r="AH397" s="90"/>
      <c r="AI397" s="90"/>
      <c r="AJ397" s="90"/>
      <c r="AK397" s="91"/>
      <c r="AL397" s="91"/>
      <c r="AM397" s="91"/>
      <c r="AN397" s="85"/>
      <c r="AO397" s="87"/>
      <c r="AP397" s="87"/>
      <c r="AQ397" s="91"/>
      <c r="AR397" s="85"/>
      <c r="AS397" s="85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85"/>
      <c r="BH397" s="91"/>
      <c r="BI397" s="91"/>
    </row>
    <row r="398" spans="1:61" s="92" customFormat="1" ht="14.25">
      <c r="A398" s="78"/>
      <c r="B398" s="79"/>
      <c r="C398" s="80"/>
      <c r="D398" s="81"/>
      <c r="E398" s="82"/>
      <c r="F398" s="82"/>
      <c r="G398" s="82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91"/>
      <c r="S398" s="91"/>
      <c r="T398" s="278"/>
      <c r="U398" s="85"/>
      <c r="V398" s="87"/>
      <c r="W398" s="87"/>
      <c r="X398" s="88"/>
      <c r="Y398" s="89"/>
      <c r="Z398" s="89"/>
      <c r="AA398" s="83"/>
      <c r="AB398" s="90"/>
      <c r="AC398" s="90"/>
      <c r="AD398" s="90"/>
      <c r="AE398" s="90"/>
      <c r="AF398" s="90"/>
      <c r="AG398" s="90"/>
      <c r="AH398" s="90"/>
      <c r="AI398" s="90"/>
      <c r="AJ398" s="90"/>
      <c r="AK398" s="91"/>
      <c r="AL398" s="91"/>
      <c r="AM398" s="91"/>
      <c r="AN398" s="85"/>
      <c r="AO398" s="87"/>
      <c r="AP398" s="87"/>
      <c r="AQ398" s="91"/>
      <c r="AR398" s="85"/>
      <c r="AS398" s="85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85"/>
      <c r="BH398" s="91"/>
      <c r="BI398" s="91"/>
    </row>
    <row r="399" spans="1:61" s="92" customFormat="1" ht="14.25">
      <c r="A399" s="78"/>
      <c r="B399" s="79"/>
      <c r="C399" s="80"/>
      <c r="D399" s="81"/>
      <c r="E399" s="82"/>
      <c r="F399" s="82"/>
      <c r="G399" s="82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91"/>
      <c r="S399" s="91"/>
      <c r="T399" s="278"/>
      <c r="U399" s="85"/>
      <c r="V399" s="87"/>
      <c r="W399" s="87"/>
      <c r="X399" s="88"/>
      <c r="Y399" s="89"/>
      <c r="Z399" s="89"/>
      <c r="AA399" s="83"/>
      <c r="AB399" s="90"/>
      <c r="AC399" s="90"/>
      <c r="AD399" s="90"/>
      <c r="AE399" s="90"/>
      <c r="AF399" s="90"/>
      <c r="AG399" s="90"/>
      <c r="AH399" s="90"/>
      <c r="AI399" s="90"/>
      <c r="AJ399" s="90"/>
      <c r="AK399" s="91"/>
      <c r="AL399" s="91"/>
      <c r="AM399" s="91"/>
      <c r="AN399" s="85"/>
      <c r="AO399" s="87"/>
      <c r="AP399" s="87"/>
      <c r="AQ399" s="91"/>
      <c r="AR399" s="85"/>
      <c r="AS399" s="85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85"/>
      <c r="BH399" s="91"/>
      <c r="BI399" s="91"/>
    </row>
    <row r="400" spans="1:61" s="92" customFormat="1" ht="14.25">
      <c r="A400" s="78"/>
      <c r="B400" s="79"/>
      <c r="C400" s="80"/>
      <c r="D400" s="81"/>
      <c r="E400" s="82"/>
      <c r="F400" s="82"/>
      <c r="G400" s="82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91"/>
      <c r="S400" s="91"/>
      <c r="T400" s="278"/>
      <c r="U400" s="85"/>
      <c r="V400" s="87"/>
      <c r="W400" s="87"/>
      <c r="X400" s="88"/>
      <c r="Y400" s="89"/>
      <c r="Z400" s="89"/>
      <c r="AA400" s="83"/>
      <c r="AB400" s="90"/>
      <c r="AC400" s="90"/>
      <c r="AD400" s="90"/>
      <c r="AE400" s="90"/>
      <c r="AF400" s="90"/>
      <c r="AG400" s="90"/>
      <c r="AH400" s="90"/>
      <c r="AI400" s="90"/>
      <c r="AJ400" s="90"/>
      <c r="AK400" s="91"/>
      <c r="AL400" s="91"/>
      <c r="AM400" s="91"/>
      <c r="AN400" s="85"/>
      <c r="AO400" s="87"/>
      <c r="AP400" s="87"/>
      <c r="AQ400" s="91"/>
      <c r="AR400" s="85"/>
      <c r="AS400" s="85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85"/>
      <c r="BH400" s="91"/>
      <c r="BI400" s="91"/>
    </row>
    <row r="401" spans="1:61" s="92" customFormat="1" ht="14.25">
      <c r="A401" s="78"/>
      <c r="B401" s="79"/>
      <c r="C401" s="80"/>
      <c r="D401" s="81"/>
      <c r="E401" s="82"/>
      <c r="F401" s="82"/>
      <c r="G401" s="82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91"/>
      <c r="S401" s="91"/>
      <c r="T401" s="278"/>
      <c r="U401" s="85"/>
      <c r="V401" s="87"/>
      <c r="W401" s="87"/>
      <c r="X401" s="88"/>
      <c r="Y401" s="89"/>
      <c r="Z401" s="89"/>
      <c r="AA401" s="83"/>
      <c r="AB401" s="90"/>
      <c r="AC401" s="90"/>
      <c r="AD401" s="90"/>
      <c r="AE401" s="90"/>
      <c r="AF401" s="90"/>
      <c r="AG401" s="90"/>
      <c r="AH401" s="90"/>
      <c r="AI401" s="90"/>
      <c r="AJ401" s="90"/>
      <c r="AK401" s="91"/>
      <c r="AL401" s="91"/>
      <c r="AM401" s="91"/>
      <c r="AN401" s="85"/>
      <c r="AO401" s="87"/>
      <c r="AP401" s="87"/>
      <c r="AQ401" s="91"/>
      <c r="AR401" s="85"/>
      <c r="AS401" s="85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85"/>
      <c r="BH401" s="91"/>
      <c r="BI401" s="91"/>
    </row>
    <row r="402" spans="1:61" s="92" customFormat="1" ht="14.25">
      <c r="A402" s="78"/>
      <c r="B402" s="79"/>
      <c r="C402" s="80"/>
      <c r="D402" s="81"/>
      <c r="E402" s="82"/>
      <c r="F402" s="82"/>
      <c r="G402" s="82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91"/>
      <c r="S402" s="91"/>
      <c r="T402" s="278"/>
      <c r="U402" s="85"/>
      <c r="V402" s="87"/>
      <c r="W402" s="87"/>
      <c r="X402" s="88"/>
      <c r="Y402" s="89"/>
      <c r="Z402" s="89"/>
      <c r="AA402" s="83"/>
      <c r="AB402" s="90"/>
      <c r="AC402" s="90"/>
      <c r="AD402" s="90"/>
      <c r="AE402" s="90"/>
      <c r="AF402" s="90"/>
      <c r="AG402" s="90"/>
      <c r="AH402" s="90"/>
      <c r="AI402" s="90"/>
      <c r="AJ402" s="90"/>
      <c r="AK402" s="91"/>
      <c r="AL402" s="91"/>
      <c r="AM402" s="91"/>
      <c r="AN402" s="85"/>
      <c r="AO402" s="87"/>
      <c r="AP402" s="87"/>
      <c r="AQ402" s="91"/>
      <c r="AR402" s="85"/>
      <c r="AS402" s="85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85"/>
      <c r="BH402" s="91"/>
      <c r="BI402" s="91"/>
    </row>
    <row r="403" spans="1:61" s="92" customFormat="1" ht="14.25">
      <c r="A403" s="78"/>
      <c r="B403" s="79"/>
      <c r="C403" s="80"/>
      <c r="D403" s="81"/>
      <c r="E403" s="82"/>
      <c r="F403" s="82"/>
      <c r="G403" s="82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91"/>
      <c r="S403" s="91"/>
      <c r="T403" s="278"/>
      <c r="U403" s="85"/>
      <c r="V403" s="87"/>
      <c r="W403" s="87"/>
      <c r="X403" s="88"/>
      <c r="Y403" s="89"/>
      <c r="Z403" s="89"/>
      <c r="AA403" s="83"/>
      <c r="AB403" s="90"/>
      <c r="AC403" s="90"/>
      <c r="AD403" s="90"/>
      <c r="AE403" s="90"/>
      <c r="AF403" s="90"/>
      <c r="AG403" s="90"/>
      <c r="AH403" s="90"/>
      <c r="AI403" s="90"/>
      <c r="AJ403" s="90"/>
      <c r="AK403" s="91"/>
      <c r="AL403" s="91"/>
      <c r="AM403" s="91"/>
      <c r="AN403" s="85"/>
      <c r="AO403" s="87"/>
      <c r="AP403" s="87"/>
      <c r="AQ403" s="91"/>
      <c r="AR403" s="85"/>
      <c r="AS403" s="85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85"/>
      <c r="BH403" s="91"/>
      <c r="BI403" s="91"/>
    </row>
    <row r="404" spans="1:61" s="92" customFormat="1" ht="14.25">
      <c r="A404" s="78"/>
      <c r="B404" s="79"/>
      <c r="C404" s="80"/>
      <c r="D404" s="81"/>
      <c r="E404" s="82"/>
      <c r="F404" s="82"/>
      <c r="G404" s="82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91"/>
      <c r="S404" s="91"/>
      <c r="T404" s="278"/>
      <c r="U404" s="85"/>
      <c r="V404" s="87"/>
      <c r="W404" s="87"/>
      <c r="X404" s="88"/>
      <c r="Y404" s="89"/>
      <c r="Z404" s="89"/>
      <c r="AA404" s="83"/>
      <c r="AB404" s="90"/>
      <c r="AC404" s="90"/>
      <c r="AD404" s="90"/>
      <c r="AE404" s="90"/>
      <c r="AF404" s="90"/>
      <c r="AG404" s="90"/>
      <c r="AH404" s="90"/>
      <c r="AI404" s="90"/>
      <c r="AJ404" s="90"/>
      <c r="AK404" s="91"/>
      <c r="AL404" s="91"/>
      <c r="AM404" s="91"/>
      <c r="AN404" s="85"/>
      <c r="AO404" s="87"/>
      <c r="AP404" s="87"/>
      <c r="AQ404" s="91"/>
      <c r="AR404" s="85"/>
      <c r="AS404" s="85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85"/>
      <c r="BH404" s="91"/>
      <c r="BI404" s="91"/>
    </row>
    <row r="405" spans="1:61" s="92" customFormat="1" ht="14.25">
      <c r="A405" s="78"/>
      <c r="B405" s="79"/>
      <c r="C405" s="80"/>
      <c r="D405" s="81"/>
      <c r="E405" s="82"/>
      <c r="F405" s="82"/>
      <c r="G405" s="82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91"/>
      <c r="S405" s="91"/>
      <c r="T405" s="278"/>
      <c r="U405" s="85"/>
      <c r="V405" s="87"/>
      <c r="W405" s="87"/>
      <c r="X405" s="88"/>
      <c r="Y405" s="89"/>
      <c r="Z405" s="89"/>
      <c r="AA405" s="83"/>
      <c r="AB405" s="90"/>
      <c r="AC405" s="90"/>
      <c r="AD405" s="90"/>
      <c r="AE405" s="90"/>
      <c r="AF405" s="90"/>
      <c r="AG405" s="90"/>
      <c r="AH405" s="90"/>
      <c r="AI405" s="90"/>
      <c r="AJ405" s="90"/>
      <c r="AK405" s="91"/>
      <c r="AL405" s="91"/>
      <c r="AM405" s="91"/>
      <c r="AN405" s="85"/>
      <c r="AO405" s="87"/>
      <c r="AP405" s="87"/>
      <c r="AQ405" s="91"/>
      <c r="AR405" s="85"/>
      <c r="AS405" s="85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85"/>
      <c r="BH405" s="91"/>
      <c r="BI405" s="91"/>
    </row>
    <row r="406" spans="1:61" s="92" customFormat="1" ht="14.25">
      <c r="A406" s="78"/>
      <c r="B406" s="79"/>
      <c r="C406" s="80"/>
      <c r="D406" s="81"/>
      <c r="E406" s="82"/>
      <c r="F406" s="82"/>
      <c r="G406" s="82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91"/>
      <c r="S406" s="91"/>
      <c r="T406" s="278"/>
      <c r="U406" s="85"/>
      <c r="V406" s="87"/>
      <c r="W406" s="87"/>
      <c r="X406" s="88"/>
      <c r="Y406" s="89"/>
      <c r="Z406" s="89"/>
      <c r="AA406" s="83"/>
      <c r="AB406" s="90"/>
      <c r="AC406" s="90"/>
      <c r="AD406" s="90"/>
      <c r="AE406" s="90"/>
      <c r="AF406" s="90"/>
      <c r="AG406" s="90"/>
      <c r="AH406" s="90"/>
      <c r="AI406" s="90"/>
      <c r="AJ406" s="90"/>
      <c r="AK406" s="91"/>
      <c r="AL406" s="91"/>
      <c r="AM406" s="91"/>
      <c r="AN406" s="85"/>
      <c r="AO406" s="87"/>
      <c r="AP406" s="87"/>
      <c r="AQ406" s="91"/>
      <c r="AR406" s="85"/>
      <c r="AS406" s="85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85"/>
      <c r="BH406" s="91"/>
      <c r="BI406" s="91"/>
    </row>
    <row r="407" spans="1:61" s="92" customFormat="1" ht="14.25">
      <c r="A407" s="78"/>
      <c r="B407" s="79"/>
      <c r="C407" s="80"/>
      <c r="D407" s="81"/>
      <c r="E407" s="82"/>
      <c r="F407" s="82"/>
      <c r="G407" s="82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91"/>
      <c r="S407" s="91"/>
      <c r="T407" s="278"/>
      <c r="U407" s="85"/>
      <c r="V407" s="87"/>
      <c r="W407" s="87"/>
      <c r="X407" s="88"/>
      <c r="Y407" s="89"/>
      <c r="Z407" s="89"/>
      <c r="AA407" s="83"/>
      <c r="AB407" s="90"/>
      <c r="AC407" s="90"/>
      <c r="AD407" s="90"/>
      <c r="AE407" s="90"/>
      <c r="AF407" s="90"/>
      <c r="AG407" s="90"/>
      <c r="AH407" s="90"/>
      <c r="AI407" s="90"/>
      <c r="AJ407" s="90"/>
      <c r="AK407" s="91"/>
      <c r="AL407" s="91"/>
      <c r="AM407" s="91"/>
      <c r="AN407" s="85"/>
      <c r="AO407" s="87"/>
      <c r="AP407" s="87"/>
      <c r="AQ407" s="91"/>
      <c r="AR407" s="85"/>
      <c r="AS407" s="85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85"/>
      <c r="BH407" s="91"/>
      <c r="BI407" s="91"/>
    </row>
    <row r="408" spans="1:61" s="92" customFormat="1" ht="14.25">
      <c r="A408" s="78"/>
      <c r="B408" s="79"/>
      <c r="C408" s="80"/>
      <c r="D408" s="81"/>
      <c r="E408" s="82"/>
      <c r="F408" s="82"/>
      <c r="G408" s="82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91"/>
      <c r="S408" s="91"/>
      <c r="T408" s="278"/>
      <c r="U408" s="85"/>
      <c r="V408" s="87"/>
      <c r="W408" s="87"/>
      <c r="X408" s="88"/>
      <c r="Y408" s="89"/>
      <c r="Z408" s="89"/>
      <c r="AA408" s="83"/>
      <c r="AB408" s="90"/>
      <c r="AC408" s="90"/>
      <c r="AD408" s="90"/>
      <c r="AE408" s="90"/>
      <c r="AF408" s="90"/>
      <c r="AG408" s="90"/>
      <c r="AH408" s="90"/>
      <c r="AI408" s="90"/>
      <c r="AJ408" s="90"/>
      <c r="AK408" s="91"/>
      <c r="AL408" s="91"/>
      <c r="AM408" s="91"/>
      <c r="AN408" s="85"/>
      <c r="AO408" s="87"/>
      <c r="AP408" s="87"/>
      <c r="AQ408" s="91"/>
      <c r="AR408" s="85"/>
      <c r="AS408" s="85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85"/>
      <c r="BH408" s="91"/>
      <c r="BI408" s="91"/>
    </row>
    <row r="409" spans="1:61" s="92" customFormat="1" ht="14.25">
      <c r="A409" s="78"/>
      <c r="B409" s="79"/>
      <c r="C409" s="80"/>
      <c r="D409" s="81"/>
      <c r="E409" s="82"/>
      <c r="F409" s="82"/>
      <c r="G409" s="82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91"/>
      <c r="S409" s="91"/>
      <c r="T409" s="278"/>
      <c r="U409" s="85"/>
      <c r="V409" s="87"/>
      <c r="W409" s="87"/>
      <c r="X409" s="88"/>
      <c r="Y409" s="89"/>
      <c r="Z409" s="89"/>
      <c r="AA409" s="83"/>
      <c r="AB409" s="90"/>
      <c r="AC409" s="90"/>
      <c r="AD409" s="90"/>
      <c r="AE409" s="90"/>
      <c r="AF409" s="90"/>
      <c r="AG409" s="90"/>
      <c r="AH409" s="90"/>
      <c r="AI409" s="90"/>
      <c r="AJ409" s="90"/>
      <c r="AK409" s="91"/>
      <c r="AL409" s="91"/>
      <c r="AM409" s="91"/>
      <c r="AN409" s="85"/>
      <c r="AO409" s="87"/>
      <c r="AP409" s="87"/>
      <c r="AQ409" s="91"/>
      <c r="AR409" s="85"/>
      <c r="AS409" s="85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85"/>
      <c r="BH409" s="91"/>
      <c r="BI409" s="91"/>
    </row>
    <row r="410" spans="1:61" s="92" customFormat="1" ht="14.25">
      <c r="A410" s="78"/>
      <c r="B410" s="79"/>
      <c r="C410" s="80"/>
      <c r="D410" s="81"/>
      <c r="E410" s="82"/>
      <c r="F410" s="82"/>
      <c r="G410" s="82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91"/>
      <c r="S410" s="91"/>
      <c r="T410" s="278"/>
      <c r="U410" s="85"/>
      <c r="V410" s="87"/>
      <c r="W410" s="87"/>
      <c r="X410" s="88"/>
      <c r="Y410" s="89"/>
      <c r="Z410" s="89"/>
      <c r="AA410" s="83"/>
      <c r="AB410" s="90"/>
      <c r="AC410" s="90"/>
      <c r="AD410" s="90"/>
      <c r="AE410" s="90"/>
      <c r="AF410" s="90"/>
      <c r="AG410" s="90"/>
      <c r="AH410" s="90"/>
      <c r="AI410" s="90"/>
      <c r="AJ410" s="90"/>
      <c r="AK410" s="91"/>
      <c r="AL410" s="91"/>
      <c r="AM410" s="91"/>
      <c r="AN410" s="85"/>
      <c r="AO410" s="87"/>
      <c r="AP410" s="87"/>
      <c r="AQ410" s="91"/>
      <c r="AR410" s="85"/>
      <c r="AS410" s="85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85"/>
      <c r="BH410" s="91"/>
      <c r="BI410" s="91"/>
    </row>
    <row r="411" spans="1:61" s="92" customFormat="1" ht="14.25">
      <c r="A411" s="78"/>
      <c r="B411" s="79"/>
      <c r="C411" s="80"/>
      <c r="D411" s="81"/>
      <c r="E411" s="82"/>
      <c r="F411" s="82"/>
      <c r="G411" s="82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91"/>
      <c r="S411" s="91"/>
      <c r="T411" s="278"/>
      <c r="U411" s="85"/>
      <c r="V411" s="87"/>
      <c r="W411" s="87"/>
      <c r="X411" s="88"/>
      <c r="Y411" s="89"/>
      <c r="Z411" s="89"/>
      <c r="AA411" s="83"/>
      <c r="AB411" s="90"/>
      <c r="AC411" s="90"/>
      <c r="AD411" s="90"/>
      <c r="AE411" s="90"/>
      <c r="AF411" s="90"/>
      <c r="AG411" s="90"/>
      <c r="AH411" s="90"/>
      <c r="AI411" s="90"/>
      <c r="AJ411" s="90"/>
      <c r="AK411" s="91"/>
      <c r="AL411" s="91"/>
      <c r="AM411" s="91"/>
      <c r="AN411" s="85"/>
      <c r="AO411" s="87"/>
      <c r="AP411" s="87"/>
      <c r="AQ411" s="91"/>
      <c r="AR411" s="85"/>
      <c r="AS411" s="85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85"/>
      <c r="BH411" s="91"/>
      <c r="BI411" s="91"/>
    </row>
    <row r="412" spans="1:61" s="92" customFormat="1" ht="14.25">
      <c r="A412" s="78"/>
      <c r="B412" s="79"/>
      <c r="C412" s="80"/>
      <c r="D412" s="81"/>
      <c r="E412" s="82"/>
      <c r="F412" s="82"/>
      <c r="G412" s="82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91"/>
      <c r="S412" s="91"/>
      <c r="T412" s="278"/>
      <c r="U412" s="85"/>
      <c r="V412" s="87"/>
      <c r="W412" s="87"/>
      <c r="X412" s="88"/>
      <c r="Y412" s="89"/>
      <c r="Z412" s="89"/>
      <c r="AA412" s="83"/>
      <c r="AB412" s="90"/>
      <c r="AC412" s="90"/>
      <c r="AD412" s="90"/>
      <c r="AE412" s="90"/>
      <c r="AF412" s="90"/>
      <c r="AG412" s="90"/>
      <c r="AH412" s="90"/>
      <c r="AI412" s="90"/>
      <c r="AJ412" s="90"/>
      <c r="AK412" s="91"/>
      <c r="AL412" s="91"/>
      <c r="AM412" s="91"/>
      <c r="AN412" s="85"/>
      <c r="AO412" s="87"/>
      <c r="AP412" s="87"/>
      <c r="AQ412" s="91"/>
      <c r="AR412" s="85"/>
      <c r="AS412" s="85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85"/>
      <c r="BH412" s="91"/>
      <c r="BI412" s="91"/>
    </row>
    <row r="413" spans="1:61" s="92" customFormat="1" ht="14.25">
      <c r="A413" s="78"/>
      <c r="B413" s="79"/>
      <c r="C413" s="80"/>
      <c r="D413" s="81"/>
      <c r="E413" s="82"/>
      <c r="F413" s="82"/>
      <c r="G413" s="82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91"/>
      <c r="S413" s="91"/>
      <c r="T413" s="278"/>
      <c r="U413" s="85"/>
      <c r="V413" s="87"/>
      <c r="W413" s="87"/>
      <c r="X413" s="88"/>
      <c r="Y413" s="89"/>
      <c r="Z413" s="89"/>
      <c r="AA413" s="83"/>
      <c r="AB413" s="90"/>
      <c r="AC413" s="90"/>
      <c r="AD413" s="90"/>
      <c r="AE413" s="90"/>
      <c r="AF413" s="90"/>
      <c r="AG413" s="90"/>
      <c r="AH413" s="90"/>
      <c r="AI413" s="90"/>
      <c r="AJ413" s="90"/>
      <c r="AK413" s="91"/>
      <c r="AL413" s="91"/>
      <c r="AM413" s="91"/>
      <c r="AN413" s="85"/>
      <c r="AO413" s="87"/>
      <c r="AP413" s="87"/>
      <c r="AQ413" s="91"/>
      <c r="AR413" s="85"/>
      <c r="AS413" s="85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85"/>
      <c r="BH413" s="91"/>
      <c r="BI413" s="91"/>
    </row>
    <row r="414" spans="1:61" s="92" customFormat="1" ht="14.25">
      <c r="A414" s="78"/>
      <c r="B414" s="79"/>
      <c r="C414" s="80"/>
      <c r="D414" s="81"/>
      <c r="E414" s="82"/>
      <c r="F414" s="82"/>
      <c r="G414" s="82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91"/>
      <c r="S414" s="91"/>
      <c r="T414" s="278"/>
      <c r="U414" s="85"/>
      <c r="V414" s="87"/>
      <c r="W414" s="87"/>
      <c r="X414" s="88"/>
      <c r="Y414" s="89"/>
      <c r="Z414" s="89"/>
      <c r="AA414" s="83"/>
      <c r="AB414" s="90"/>
      <c r="AC414" s="90"/>
      <c r="AD414" s="90"/>
      <c r="AE414" s="90"/>
      <c r="AF414" s="90"/>
      <c r="AG414" s="90"/>
      <c r="AH414" s="90"/>
      <c r="AI414" s="90"/>
      <c r="AJ414" s="90"/>
      <c r="AK414" s="91"/>
      <c r="AL414" s="91"/>
      <c r="AM414" s="91"/>
      <c r="AN414" s="85"/>
      <c r="AO414" s="87"/>
      <c r="AP414" s="87"/>
      <c r="AQ414" s="91"/>
      <c r="AR414" s="85"/>
      <c r="AS414" s="85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85"/>
      <c r="BH414" s="91"/>
      <c r="BI414" s="91"/>
    </row>
    <row r="415" spans="1:61" s="92" customFormat="1" ht="14.25">
      <c r="A415" s="78"/>
      <c r="B415" s="79"/>
      <c r="C415" s="80"/>
      <c r="D415" s="81"/>
      <c r="E415" s="82"/>
      <c r="F415" s="82"/>
      <c r="G415" s="82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91"/>
      <c r="S415" s="91"/>
      <c r="T415" s="278"/>
      <c r="U415" s="85"/>
      <c r="V415" s="87"/>
      <c r="W415" s="87"/>
      <c r="X415" s="88"/>
      <c r="Y415" s="89"/>
      <c r="Z415" s="89"/>
      <c r="AA415" s="83"/>
      <c r="AB415" s="90"/>
      <c r="AC415" s="90"/>
      <c r="AD415" s="90"/>
      <c r="AE415" s="90"/>
      <c r="AF415" s="90"/>
      <c r="AG415" s="90"/>
      <c r="AH415" s="90"/>
      <c r="AI415" s="90"/>
      <c r="AJ415" s="90"/>
      <c r="AK415" s="91"/>
      <c r="AL415" s="91"/>
      <c r="AM415" s="91"/>
      <c r="AN415" s="85"/>
      <c r="AO415" s="87"/>
      <c r="AP415" s="87"/>
      <c r="AQ415" s="91"/>
      <c r="AR415" s="85"/>
      <c r="AS415" s="85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85"/>
      <c r="BH415" s="91"/>
      <c r="BI415" s="91"/>
    </row>
    <row r="416" spans="1:61" s="92" customFormat="1" ht="14.25">
      <c r="A416" s="78"/>
      <c r="B416" s="79"/>
      <c r="C416" s="80"/>
      <c r="D416" s="81"/>
      <c r="E416" s="82"/>
      <c r="F416" s="82"/>
      <c r="G416" s="82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91"/>
      <c r="S416" s="91"/>
      <c r="T416" s="278"/>
      <c r="U416" s="85"/>
      <c r="V416" s="87"/>
      <c r="W416" s="87"/>
      <c r="X416" s="88"/>
      <c r="Y416" s="89"/>
      <c r="Z416" s="89"/>
      <c r="AA416" s="83"/>
      <c r="AB416" s="90"/>
      <c r="AC416" s="90"/>
      <c r="AD416" s="90"/>
      <c r="AE416" s="90"/>
      <c r="AF416" s="90"/>
      <c r="AG416" s="90"/>
      <c r="AH416" s="90"/>
      <c r="AI416" s="90"/>
      <c r="AJ416" s="90"/>
      <c r="AK416" s="91"/>
      <c r="AL416" s="91"/>
      <c r="AM416" s="91"/>
      <c r="AN416" s="85"/>
      <c r="AO416" s="87"/>
      <c r="AP416" s="87"/>
      <c r="AQ416" s="91"/>
      <c r="AR416" s="85"/>
      <c r="AS416" s="85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85"/>
      <c r="BH416" s="91"/>
      <c r="BI416" s="91"/>
    </row>
    <row r="417" spans="1:61" s="92" customFormat="1" ht="14.25">
      <c r="A417" s="78"/>
      <c r="B417" s="79"/>
      <c r="C417" s="80"/>
      <c r="D417" s="81"/>
      <c r="E417" s="82"/>
      <c r="F417" s="82"/>
      <c r="G417" s="82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91"/>
      <c r="S417" s="91"/>
      <c r="T417" s="278"/>
      <c r="U417" s="85"/>
      <c r="V417" s="87"/>
      <c r="W417" s="87"/>
      <c r="X417" s="88"/>
      <c r="Y417" s="89"/>
      <c r="Z417" s="89"/>
      <c r="AA417" s="83"/>
      <c r="AB417" s="90"/>
      <c r="AC417" s="90"/>
      <c r="AD417" s="90"/>
      <c r="AE417" s="90"/>
      <c r="AF417" s="90"/>
      <c r="AG417" s="90"/>
      <c r="AH417" s="90"/>
      <c r="AI417" s="90"/>
      <c r="AJ417" s="90"/>
      <c r="AK417" s="91"/>
      <c r="AL417" s="91"/>
      <c r="AM417" s="91"/>
      <c r="AN417" s="85"/>
      <c r="AO417" s="87"/>
      <c r="AP417" s="87"/>
      <c r="AQ417" s="91"/>
      <c r="AR417" s="85"/>
      <c r="AS417" s="85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85"/>
      <c r="BH417" s="91"/>
      <c r="BI417" s="91"/>
    </row>
    <row r="418" spans="1:61" s="92" customFormat="1" ht="14.25">
      <c r="A418" s="78"/>
      <c r="B418" s="79"/>
      <c r="C418" s="80"/>
      <c r="D418" s="81"/>
      <c r="E418" s="82"/>
      <c r="F418" s="82"/>
      <c r="G418" s="82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91"/>
      <c r="S418" s="91"/>
      <c r="T418" s="278"/>
      <c r="U418" s="85"/>
      <c r="V418" s="87"/>
      <c r="W418" s="87"/>
      <c r="X418" s="88"/>
      <c r="Y418" s="89"/>
      <c r="Z418" s="89"/>
      <c r="AA418" s="83"/>
      <c r="AB418" s="90"/>
      <c r="AC418" s="90"/>
      <c r="AD418" s="90"/>
      <c r="AE418" s="90"/>
      <c r="AF418" s="90"/>
      <c r="AG418" s="90"/>
      <c r="AH418" s="90"/>
      <c r="AI418" s="90"/>
      <c r="AJ418" s="90"/>
      <c r="AK418" s="91"/>
      <c r="AL418" s="91"/>
      <c r="AM418" s="91"/>
      <c r="AN418" s="85"/>
      <c r="AO418" s="87"/>
      <c r="AP418" s="87"/>
      <c r="AQ418" s="91"/>
      <c r="AR418" s="85"/>
      <c r="AS418" s="85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85"/>
      <c r="BH418" s="91"/>
      <c r="BI418" s="91"/>
    </row>
    <row r="419" spans="1:61" s="92" customFormat="1" ht="14.25">
      <c r="A419" s="78"/>
      <c r="B419" s="79"/>
      <c r="C419" s="80"/>
      <c r="D419" s="81"/>
      <c r="E419" s="82"/>
      <c r="F419" s="82"/>
      <c r="G419" s="82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91"/>
      <c r="S419" s="91"/>
      <c r="T419" s="278"/>
      <c r="U419" s="85"/>
      <c r="V419" s="87"/>
      <c r="W419" s="87"/>
      <c r="X419" s="88"/>
      <c r="Y419" s="89"/>
      <c r="Z419" s="89"/>
      <c r="AA419" s="83"/>
      <c r="AB419" s="90"/>
      <c r="AC419" s="90"/>
      <c r="AD419" s="90"/>
      <c r="AE419" s="90"/>
      <c r="AF419" s="90"/>
      <c r="AG419" s="90"/>
      <c r="AH419" s="90"/>
      <c r="AI419" s="90"/>
      <c r="AJ419" s="90"/>
      <c r="AK419" s="91"/>
      <c r="AL419" s="91"/>
      <c r="AM419" s="91"/>
      <c r="AN419" s="85"/>
      <c r="AO419" s="87"/>
      <c r="AP419" s="87"/>
      <c r="AQ419" s="91"/>
      <c r="AR419" s="85"/>
      <c r="AS419" s="85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85"/>
      <c r="BH419" s="91"/>
      <c r="BI419" s="91"/>
    </row>
    <row r="420" spans="1:61" s="92" customFormat="1" ht="14.25">
      <c r="A420" s="78"/>
      <c r="B420" s="79"/>
      <c r="C420" s="80"/>
      <c r="D420" s="81"/>
      <c r="E420" s="82"/>
      <c r="F420" s="82"/>
      <c r="G420" s="82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91"/>
      <c r="S420" s="91"/>
      <c r="T420" s="278"/>
      <c r="U420" s="85"/>
      <c r="V420" s="87"/>
      <c r="W420" s="87"/>
      <c r="X420" s="88"/>
      <c r="Y420" s="89"/>
      <c r="Z420" s="89"/>
      <c r="AA420" s="83"/>
      <c r="AB420" s="90"/>
      <c r="AC420" s="90"/>
      <c r="AD420" s="90"/>
      <c r="AE420" s="90"/>
      <c r="AF420" s="90"/>
      <c r="AG420" s="90"/>
      <c r="AH420" s="90"/>
      <c r="AI420" s="90"/>
      <c r="AJ420" s="90"/>
      <c r="AK420" s="91"/>
      <c r="AL420" s="91"/>
      <c r="AM420" s="91"/>
      <c r="AN420" s="85"/>
      <c r="AO420" s="87"/>
      <c r="AP420" s="87"/>
      <c r="AQ420" s="91"/>
      <c r="AR420" s="85"/>
      <c r="AS420" s="85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85"/>
      <c r="BH420" s="91"/>
      <c r="BI420" s="91"/>
    </row>
    <row r="421" spans="1:61" s="92" customFormat="1" ht="14.25">
      <c r="A421" s="78"/>
      <c r="B421" s="79"/>
      <c r="C421" s="80"/>
      <c r="D421" s="81"/>
      <c r="E421" s="82"/>
      <c r="F421" s="82"/>
      <c r="G421" s="82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91"/>
      <c r="S421" s="91"/>
      <c r="T421" s="278"/>
      <c r="U421" s="85"/>
      <c r="V421" s="87"/>
      <c r="W421" s="87"/>
      <c r="X421" s="88"/>
      <c r="Y421" s="89"/>
      <c r="Z421" s="89"/>
      <c r="AA421" s="83"/>
      <c r="AB421" s="90"/>
      <c r="AC421" s="90"/>
      <c r="AD421" s="90"/>
      <c r="AE421" s="90"/>
      <c r="AF421" s="90"/>
      <c r="AG421" s="90"/>
      <c r="AH421" s="90"/>
      <c r="AI421" s="90"/>
      <c r="AJ421" s="90"/>
      <c r="AK421" s="91"/>
      <c r="AL421" s="91"/>
      <c r="AM421" s="91"/>
      <c r="AN421" s="85"/>
      <c r="AO421" s="87"/>
      <c r="AP421" s="87"/>
      <c r="AQ421" s="91"/>
      <c r="AR421" s="85"/>
      <c r="AS421" s="85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85"/>
      <c r="BH421" s="91"/>
      <c r="BI421" s="91"/>
    </row>
    <row r="422" spans="1:61" s="92" customFormat="1" ht="14.25">
      <c r="A422" s="78"/>
      <c r="B422" s="79"/>
      <c r="C422" s="80"/>
      <c r="D422" s="81"/>
      <c r="E422" s="82"/>
      <c r="F422" s="82"/>
      <c r="G422" s="82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91"/>
      <c r="S422" s="91"/>
      <c r="T422" s="278"/>
      <c r="U422" s="85"/>
      <c r="V422" s="87"/>
      <c r="W422" s="87"/>
      <c r="X422" s="88"/>
      <c r="Y422" s="89"/>
      <c r="Z422" s="89"/>
      <c r="AA422" s="83"/>
      <c r="AB422" s="90"/>
      <c r="AC422" s="90"/>
      <c r="AD422" s="90"/>
      <c r="AE422" s="90"/>
      <c r="AF422" s="90"/>
      <c r="AG422" s="90"/>
      <c r="AH422" s="90"/>
      <c r="AI422" s="90"/>
      <c r="AJ422" s="90"/>
      <c r="AK422" s="91"/>
      <c r="AL422" s="91"/>
      <c r="AM422" s="91"/>
      <c r="AN422" s="85"/>
      <c r="AO422" s="87"/>
      <c r="AP422" s="87"/>
      <c r="AQ422" s="91"/>
      <c r="AR422" s="85"/>
      <c r="AS422" s="85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85"/>
      <c r="BH422" s="91"/>
      <c r="BI422" s="91"/>
    </row>
    <row r="423" spans="1:61" s="92" customFormat="1" ht="14.25">
      <c r="A423" s="78"/>
      <c r="B423" s="79"/>
      <c r="C423" s="80"/>
      <c r="D423" s="81"/>
      <c r="E423" s="82"/>
      <c r="F423" s="82"/>
      <c r="G423" s="82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91"/>
      <c r="S423" s="91"/>
      <c r="T423" s="278"/>
      <c r="U423" s="85"/>
      <c r="V423" s="87"/>
      <c r="W423" s="87"/>
      <c r="X423" s="88"/>
      <c r="Y423" s="89"/>
      <c r="Z423" s="89"/>
      <c r="AA423" s="83"/>
      <c r="AB423" s="90"/>
      <c r="AC423" s="90"/>
      <c r="AD423" s="90"/>
      <c r="AE423" s="90"/>
      <c r="AF423" s="90"/>
      <c r="AG423" s="90"/>
      <c r="AH423" s="90"/>
      <c r="AI423" s="90"/>
      <c r="AJ423" s="90"/>
      <c r="AK423" s="91"/>
      <c r="AL423" s="91"/>
      <c r="AM423" s="91"/>
      <c r="AN423" s="85"/>
      <c r="AO423" s="87"/>
      <c r="AP423" s="87"/>
      <c r="AQ423" s="91"/>
      <c r="AR423" s="85"/>
      <c r="AS423" s="85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85"/>
      <c r="BH423" s="91"/>
      <c r="BI423" s="91"/>
    </row>
    <row r="424" spans="1:61" s="92" customFormat="1" ht="14.25">
      <c r="A424" s="78"/>
      <c r="B424" s="79"/>
      <c r="C424" s="80"/>
      <c r="D424" s="81"/>
      <c r="E424" s="82"/>
      <c r="F424" s="82"/>
      <c r="G424" s="82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91"/>
      <c r="S424" s="91"/>
      <c r="T424" s="278"/>
      <c r="U424" s="85"/>
      <c r="V424" s="87"/>
      <c r="W424" s="87"/>
      <c r="X424" s="88"/>
      <c r="Y424" s="89"/>
      <c r="Z424" s="89"/>
      <c r="AA424" s="83"/>
      <c r="AB424" s="90"/>
      <c r="AC424" s="90"/>
      <c r="AD424" s="90"/>
      <c r="AE424" s="90"/>
      <c r="AF424" s="90"/>
      <c r="AG424" s="90"/>
      <c r="AH424" s="90"/>
      <c r="AI424" s="90"/>
      <c r="AJ424" s="90"/>
      <c r="AK424" s="91"/>
      <c r="AL424" s="91"/>
      <c r="AM424" s="91"/>
      <c r="AN424" s="85"/>
      <c r="AO424" s="87"/>
      <c r="AP424" s="87"/>
      <c r="AQ424" s="91"/>
      <c r="AR424" s="85"/>
      <c r="AS424" s="85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85"/>
      <c r="BH424" s="91"/>
      <c r="BI424" s="91"/>
    </row>
    <row r="425" spans="1:61" s="92" customFormat="1" ht="14.25">
      <c r="A425" s="78"/>
      <c r="B425" s="79"/>
      <c r="C425" s="80"/>
      <c r="D425" s="81"/>
      <c r="E425" s="82"/>
      <c r="F425" s="82"/>
      <c r="G425" s="82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91"/>
      <c r="S425" s="91"/>
      <c r="T425" s="278"/>
      <c r="U425" s="85"/>
      <c r="V425" s="87"/>
      <c r="W425" s="87"/>
      <c r="X425" s="88"/>
      <c r="Y425" s="89"/>
      <c r="Z425" s="89"/>
      <c r="AA425" s="83"/>
      <c r="AB425" s="90"/>
      <c r="AC425" s="90"/>
      <c r="AD425" s="90"/>
      <c r="AE425" s="90"/>
      <c r="AF425" s="90"/>
      <c r="AG425" s="90"/>
      <c r="AH425" s="90"/>
      <c r="AI425" s="90"/>
      <c r="AJ425" s="90"/>
      <c r="AK425" s="91"/>
      <c r="AL425" s="91"/>
      <c r="AM425" s="91"/>
      <c r="AN425" s="85"/>
      <c r="AO425" s="87"/>
      <c r="AP425" s="87"/>
      <c r="AQ425" s="91"/>
      <c r="AR425" s="85"/>
      <c r="AS425" s="85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85"/>
      <c r="BH425" s="91"/>
      <c r="BI425" s="91"/>
    </row>
    <row r="426" spans="1:61" s="92" customFormat="1" ht="14.25">
      <c r="A426" s="78"/>
      <c r="B426" s="79"/>
      <c r="C426" s="80"/>
      <c r="D426" s="81"/>
      <c r="E426" s="82"/>
      <c r="F426" s="82"/>
      <c r="G426" s="82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91"/>
      <c r="S426" s="91"/>
      <c r="T426" s="278"/>
      <c r="U426" s="85"/>
      <c r="V426" s="87"/>
      <c r="W426" s="87"/>
      <c r="X426" s="88"/>
      <c r="Y426" s="89"/>
      <c r="Z426" s="89"/>
      <c r="AA426" s="83"/>
      <c r="AB426" s="90"/>
      <c r="AC426" s="90"/>
      <c r="AD426" s="90"/>
      <c r="AE426" s="90"/>
      <c r="AF426" s="90"/>
      <c r="AG426" s="90"/>
      <c r="AH426" s="90"/>
      <c r="AI426" s="90"/>
      <c r="AJ426" s="90"/>
      <c r="AK426" s="91"/>
      <c r="AL426" s="91"/>
      <c r="AM426" s="91"/>
      <c r="AN426" s="85"/>
      <c r="AO426" s="87"/>
      <c r="AP426" s="87"/>
      <c r="AQ426" s="91"/>
      <c r="AR426" s="85"/>
      <c r="AS426" s="85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85"/>
      <c r="BH426" s="91"/>
      <c r="BI426" s="91"/>
    </row>
    <row r="427" spans="1:61" s="92" customFormat="1" ht="14.25">
      <c r="A427" s="78"/>
      <c r="B427" s="79"/>
      <c r="C427" s="80"/>
      <c r="D427" s="81"/>
      <c r="E427" s="82"/>
      <c r="F427" s="82"/>
      <c r="G427" s="82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91"/>
      <c r="S427" s="91"/>
      <c r="T427" s="278"/>
      <c r="U427" s="85"/>
      <c r="V427" s="87"/>
      <c r="W427" s="87"/>
      <c r="X427" s="88"/>
      <c r="Y427" s="89"/>
      <c r="Z427" s="89"/>
      <c r="AA427" s="83"/>
      <c r="AB427" s="90"/>
      <c r="AC427" s="90"/>
      <c r="AD427" s="90"/>
      <c r="AE427" s="90"/>
      <c r="AF427" s="90"/>
      <c r="AG427" s="90"/>
      <c r="AH427" s="90"/>
      <c r="AI427" s="90"/>
      <c r="AJ427" s="90"/>
      <c r="AK427" s="91"/>
      <c r="AL427" s="91"/>
      <c r="AM427" s="91"/>
      <c r="AN427" s="85"/>
      <c r="AO427" s="87"/>
      <c r="AP427" s="87"/>
      <c r="AQ427" s="91"/>
      <c r="AR427" s="85"/>
      <c r="AS427" s="85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85"/>
      <c r="BH427" s="91"/>
      <c r="BI427" s="91"/>
    </row>
    <row r="428" spans="1:61" s="92" customFormat="1" ht="14.25">
      <c r="A428" s="78"/>
      <c r="B428" s="79"/>
      <c r="C428" s="80"/>
      <c r="D428" s="81"/>
      <c r="E428" s="82"/>
      <c r="F428" s="82"/>
      <c r="G428" s="82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91"/>
      <c r="S428" s="91"/>
      <c r="T428" s="278"/>
      <c r="U428" s="85"/>
      <c r="V428" s="87"/>
      <c r="W428" s="87"/>
      <c r="X428" s="88"/>
      <c r="Y428" s="89"/>
      <c r="Z428" s="89"/>
      <c r="AA428" s="83"/>
      <c r="AB428" s="90"/>
      <c r="AC428" s="90"/>
      <c r="AD428" s="90"/>
      <c r="AE428" s="90"/>
      <c r="AF428" s="90"/>
      <c r="AG428" s="90"/>
      <c r="AH428" s="90"/>
      <c r="AI428" s="90"/>
      <c r="AJ428" s="90"/>
      <c r="AK428" s="91"/>
      <c r="AL428" s="91"/>
      <c r="AM428" s="91"/>
      <c r="AN428" s="85"/>
      <c r="AO428" s="87"/>
      <c r="AP428" s="87"/>
      <c r="AQ428" s="91"/>
      <c r="AR428" s="85"/>
      <c r="AS428" s="85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85"/>
      <c r="BH428" s="91"/>
      <c r="BI428" s="91"/>
    </row>
    <row r="429" spans="1:61" s="92" customFormat="1" ht="14.25">
      <c r="A429" s="78"/>
      <c r="B429" s="79"/>
      <c r="C429" s="80"/>
      <c r="D429" s="81"/>
      <c r="E429" s="82"/>
      <c r="F429" s="82"/>
      <c r="G429" s="82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91"/>
      <c r="S429" s="91"/>
      <c r="T429" s="278"/>
      <c r="U429" s="85"/>
      <c r="V429" s="87"/>
      <c r="W429" s="87"/>
      <c r="X429" s="88"/>
      <c r="Y429" s="89"/>
      <c r="Z429" s="89"/>
      <c r="AA429" s="83"/>
      <c r="AB429" s="90"/>
      <c r="AC429" s="90"/>
      <c r="AD429" s="90"/>
      <c r="AE429" s="90"/>
      <c r="AF429" s="90"/>
      <c r="AG429" s="90"/>
      <c r="AH429" s="90"/>
      <c r="AI429" s="90"/>
      <c r="AJ429" s="90"/>
      <c r="AK429" s="91"/>
      <c r="AL429" s="91"/>
      <c r="AM429" s="91"/>
      <c r="AN429" s="85"/>
      <c r="AO429" s="87"/>
      <c r="AP429" s="87"/>
      <c r="AQ429" s="91"/>
      <c r="AR429" s="85"/>
      <c r="AS429" s="85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85"/>
      <c r="BH429" s="91"/>
      <c r="BI429" s="91"/>
    </row>
    <row r="430" spans="1:61" s="92" customFormat="1" ht="14.25">
      <c r="A430" s="78"/>
      <c r="B430" s="79"/>
      <c r="C430" s="80"/>
      <c r="D430" s="81"/>
      <c r="E430" s="82"/>
      <c r="F430" s="82"/>
      <c r="G430" s="82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91"/>
      <c r="S430" s="91"/>
      <c r="T430" s="278"/>
      <c r="U430" s="85"/>
      <c r="V430" s="87"/>
      <c r="W430" s="87"/>
      <c r="X430" s="88"/>
      <c r="Y430" s="89"/>
      <c r="Z430" s="89"/>
      <c r="AA430" s="83"/>
      <c r="AB430" s="90"/>
      <c r="AC430" s="90"/>
      <c r="AD430" s="90"/>
      <c r="AE430" s="90"/>
      <c r="AF430" s="90"/>
      <c r="AG430" s="90"/>
      <c r="AH430" s="90"/>
      <c r="AI430" s="90"/>
      <c r="AJ430" s="90"/>
      <c r="AK430" s="91"/>
      <c r="AL430" s="91"/>
      <c r="AM430" s="91"/>
      <c r="AN430" s="85"/>
      <c r="AO430" s="87"/>
      <c r="AP430" s="87"/>
      <c r="AQ430" s="91"/>
      <c r="AR430" s="85"/>
      <c r="AS430" s="85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85"/>
      <c r="BH430" s="91"/>
      <c r="BI430" s="91"/>
    </row>
    <row r="431" spans="1:61" s="92" customFormat="1" ht="14.25">
      <c r="A431" s="78"/>
      <c r="B431" s="79"/>
      <c r="C431" s="80"/>
      <c r="D431" s="81"/>
      <c r="E431" s="82"/>
      <c r="F431" s="82"/>
      <c r="G431" s="82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91"/>
      <c r="S431" s="91"/>
      <c r="T431" s="278"/>
      <c r="U431" s="85"/>
      <c r="V431" s="87"/>
      <c r="W431" s="87"/>
      <c r="X431" s="88"/>
      <c r="Y431" s="89"/>
      <c r="Z431" s="89"/>
      <c r="AA431" s="83"/>
      <c r="AB431" s="90"/>
      <c r="AC431" s="90"/>
      <c r="AD431" s="90"/>
      <c r="AE431" s="90"/>
      <c r="AF431" s="90"/>
      <c r="AG431" s="90"/>
      <c r="AH431" s="90"/>
      <c r="AI431" s="90"/>
      <c r="AJ431" s="90"/>
      <c r="AK431" s="91"/>
      <c r="AL431" s="91"/>
      <c r="AM431" s="91"/>
      <c r="AN431" s="85"/>
      <c r="AO431" s="87"/>
      <c r="AP431" s="87"/>
      <c r="AQ431" s="91"/>
      <c r="AR431" s="85"/>
      <c r="AS431" s="85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85"/>
      <c r="BH431" s="91"/>
      <c r="BI431" s="91"/>
    </row>
    <row r="432" spans="1:61" s="92" customFormat="1" ht="14.25">
      <c r="A432" s="78"/>
      <c r="B432" s="79"/>
      <c r="C432" s="80"/>
      <c r="D432" s="81"/>
      <c r="E432" s="82"/>
      <c r="F432" s="82"/>
      <c r="G432" s="82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91"/>
      <c r="S432" s="91"/>
      <c r="T432" s="278"/>
      <c r="U432" s="85"/>
      <c r="V432" s="87"/>
      <c r="W432" s="87"/>
      <c r="X432" s="88"/>
      <c r="Y432" s="89"/>
      <c r="Z432" s="89"/>
      <c r="AA432" s="83"/>
      <c r="AB432" s="90"/>
      <c r="AC432" s="90"/>
      <c r="AD432" s="90"/>
      <c r="AE432" s="90"/>
      <c r="AF432" s="90"/>
      <c r="AG432" s="90"/>
      <c r="AH432" s="90"/>
      <c r="AI432" s="90"/>
      <c r="AJ432" s="90"/>
      <c r="AK432" s="91"/>
      <c r="AL432" s="91"/>
      <c r="AM432" s="91"/>
      <c r="AN432" s="85"/>
      <c r="AO432" s="87"/>
      <c r="AP432" s="87"/>
      <c r="AQ432" s="91"/>
      <c r="AR432" s="85"/>
      <c r="AS432" s="85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85"/>
      <c r="BH432" s="91"/>
      <c r="BI432" s="91"/>
    </row>
    <row r="433" spans="1:61" s="92" customFormat="1" ht="14.25">
      <c r="A433" s="78"/>
      <c r="B433" s="79"/>
      <c r="C433" s="80"/>
      <c r="D433" s="81"/>
      <c r="E433" s="82"/>
      <c r="F433" s="82"/>
      <c r="G433" s="82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91"/>
      <c r="S433" s="91"/>
      <c r="T433" s="278"/>
      <c r="U433" s="85"/>
      <c r="V433" s="87"/>
      <c r="W433" s="87"/>
      <c r="X433" s="88"/>
      <c r="Y433" s="89"/>
      <c r="Z433" s="89"/>
      <c r="AA433" s="83"/>
      <c r="AB433" s="90"/>
      <c r="AC433" s="90"/>
      <c r="AD433" s="90"/>
      <c r="AE433" s="90"/>
      <c r="AF433" s="90"/>
      <c r="AG433" s="90"/>
      <c r="AH433" s="90"/>
      <c r="AI433" s="90"/>
      <c r="AJ433" s="90"/>
      <c r="AK433" s="91"/>
      <c r="AL433" s="91"/>
      <c r="AM433" s="91"/>
      <c r="AN433" s="85"/>
      <c r="AO433" s="87"/>
      <c r="AP433" s="87"/>
      <c r="AQ433" s="91"/>
      <c r="AR433" s="85"/>
      <c r="AS433" s="85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85"/>
      <c r="BH433" s="91"/>
      <c r="BI433" s="91"/>
    </row>
    <row r="434" spans="1:61" s="92" customFormat="1" ht="14.25">
      <c r="A434" s="78"/>
      <c r="B434" s="79"/>
      <c r="C434" s="80"/>
      <c r="D434" s="81"/>
      <c r="E434" s="82"/>
      <c r="F434" s="82"/>
      <c r="G434" s="82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91"/>
      <c r="S434" s="91"/>
      <c r="T434" s="278"/>
      <c r="U434" s="85"/>
      <c r="V434" s="87"/>
      <c r="W434" s="87"/>
      <c r="X434" s="88"/>
      <c r="Y434" s="89"/>
      <c r="Z434" s="89"/>
      <c r="AA434" s="83"/>
      <c r="AB434" s="90"/>
      <c r="AC434" s="90"/>
      <c r="AD434" s="90"/>
      <c r="AE434" s="90"/>
      <c r="AF434" s="90"/>
      <c r="AG434" s="90"/>
      <c r="AH434" s="90"/>
      <c r="AI434" s="90"/>
      <c r="AJ434" s="90"/>
      <c r="AK434" s="91"/>
      <c r="AL434" s="91"/>
      <c r="AM434" s="91"/>
      <c r="AN434" s="85"/>
      <c r="AO434" s="87"/>
      <c r="AP434" s="87"/>
      <c r="AQ434" s="91"/>
      <c r="AR434" s="85"/>
      <c r="AS434" s="85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85"/>
      <c r="BH434" s="91"/>
      <c r="BI434" s="91"/>
    </row>
    <row r="435" spans="1:61" s="92" customFormat="1" ht="14.25">
      <c r="A435" s="78"/>
      <c r="B435" s="79"/>
      <c r="C435" s="80"/>
      <c r="D435" s="81"/>
      <c r="E435" s="82"/>
      <c r="F435" s="82"/>
      <c r="G435" s="82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91"/>
      <c r="S435" s="91"/>
      <c r="T435" s="278"/>
      <c r="U435" s="85"/>
      <c r="V435" s="87"/>
      <c r="W435" s="87"/>
      <c r="X435" s="88"/>
      <c r="Y435" s="89"/>
      <c r="Z435" s="89"/>
      <c r="AA435" s="83"/>
      <c r="AB435" s="90"/>
      <c r="AC435" s="90"/>
      <c r="AD435" s="90"/>
      <c r="AE435" s="90"/>
      <c r="AF435" s="90"/>
      <c r="AG435" s="90"/>
      <c r="AH435" s="90"/>
      <c r="AI435" s="90"/>
      <c r="AJ435" s="90"/>
      <c r="AK435" s="91"/>
      <c r="AL435" s="91"/>
      <c r="AM435" s="91"/>
      <c r="AN435" s="85"/>
      <c r="AO435" s="87"/>
      <c r="AP435" s="87"/>
      <c r="AQ435" s="91"/>
      <c r="AR435" s="85"/>
      <c r="AS435" s="85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85"/>
      <c r="BH435" s="91"/>
      <c r="BI435" s="91"/>
    </row>
    <row r="436" spans="1:61" s="92" customFormat="1" ht="14.25">
      <c r="A436" s="78"/>
      <c r="B436" s="79"/>
      <c r="C436" s="80"/>
      <c r="D436" s="81"/>
      <c r="E436" s="82"/>
      <c r="F436" s="82"/>
      <c r="G436" s="82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91"/>
      <c r="S436" s="91"/>
      <c r="T436" s="278"/>
      <c r="U436" s="85"/>
      <c r="V436" s="87"/>
      <c r="W436" s="87"/>
      <c r="X436" s="88"/>
      <c r="Y436" s="89"/>
      <c r="Z436" s="89"/>
      <c r="AA436" s="83"/>
      <c r="AB436" s="90"/>
      <c r="AC436" s="90"/>
      <c r="AD436" s="90"/>
      <c r="AE436" s="90"/>
      <c r="AF436" s="90"/>
      <c r="AG436" s="90"/>
      <c r="AH436" s="90"/>
      <c r="AI436" s="90"/>
      <c r="AJ436" s="90"/>
      <c r="AK436" s="91"/>
      <c r="AL436" s="91"/>
      <c r="AM436" s="91"/>
      <c r="AN436" s="85"/>
      <c r="AO436" s="87"/>
      <c r="AP436" s="87"/>
      <c r="AQ436" s="91"/>
      <c r="AR436" s="85"/>
      <c r="AS436" s="85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85"/>
      <c r="BH436" s="91"/>
      <c r="BI436" s="91"/>
    </row>
    <row r="437" spans="1:61" s="92" customFormat="1" ht="14.25">
      <c r="A437" s="78"/>
      <c r="B437" s="79"/>
      <c r="C437" s="80"/>
      <c r="D437" s="81"/>
      <c r="E437" s="82"/>
      <c r="F437" s="82"/>
      <c r="G437" s="82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91"/>
      <c r="S437" s="91"/>
      <c r="T437" s="278"/>
      <c r="U437" s="85"/>
      <c r="V437" s="87"/>
      <c r="W437" s="87"/>
      <c r="X437" s="88"/>
      <c r="Y437" s="89"/>
      <c r="Z437" s="89"/>
      <c r="AA437" s="83"/>
      <c r="AB437" s="90"/>
      <c r="AC437" s="90"/>
      <c r="AD437" s="90"/>
      <c r="AE437" s="90"/>
      <c r="AF437" s="90"/>
      <c r="AG437" s="90"/>
      <c r="AH437" s="90"/>
      <c r="AI437" s="90"/>
      <c r="AJ437" s="90"/>
      <c r="AK437" s="91"/>
      <c r="AL437" s="91"/>
      <c r="AM437" s="91"/>
      <c r="AN437" s="85"/>
      <c r="AO437" s="87"/>
      <c r="AP437" s="87"/>
      <c r="AQ437" s="91"/>
      <c r="AR437" s="85"/>
      <c r="AS437" s="85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85"/>
      <c r="BH437" s="91"/>
      <c r="BI437" s="91"/>
    </row>
    <row r="438" spans="1:61" s="92" customFormat="1" ht="14.25">
      <c r="A438" s="78"/>
      <c r="B438" s="79"/>
      <c r="C438" s="80"/>
      <c r="D438" s="81"/>
      <c r="E438" s="82"/>
      <c r="F438" s="82"/>
      <c r="G438" s="82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91"/>
      <c r="S438" s="91"/>
      <c r="T438" s="278"/>
      <c r="U438" s="85"/>
      <c r="V438" s="87"/>
      <c r="W438" s="87"/>
      <c r="X438" s="88"/>
      <c r="Y438" s="89"/>
      <c r="Z438" s="89"/>
      <c r="AA438" s="83"/>
      <c r="AB438" s="90"/>
      <c r="AC438" s="90"/>
      <c r="AD438" s="90"/>
      <c r="AE438" s="90"/>
      <c r="AF438" s="90"/>
      <c r="AG438" s="90"/>
      <c r="AH438" s="90"/>
      <c r="AI438" s="90"/>
      <c r="AJ438" s="90"/>
      <c r="AK438" s="91"/>
      <c r="AL438" s="91"/>
      <c r="AM438" s="91"/>
      <c r="AN438" s="85"/>
      <c r="AO438" s="87"/>
      <c r="AP438" s="87"/>
      <c r="AQ438" s="91"/>
      <c r="AR438" s="85"/>
      <c r="AS438" s="85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85"/>
      <c r="BH438" s="91"/>
      <c r="BI438" s="91"/>
    </row>
    <row r="439" spans="1:61" s="92" customFormat="1" ht="14.25">
      <c r="A439" s="78"/>
      <c r="B439" s="79"/>
      <c r="C439" s="80"/>
      <c r="D439" s="81"/>
      <c r="E439" s="82"/>
      <c r="F439" s="82"/>
      <c r="G439" s="82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91"/>
      <c r="S439" s="91"/>
      <c r="T439" s="278"/>
      <c r="U439" s="85"/>
      <c r="V439" s="87"/>
      <c r="W439" s="87"/>
      <c r="X439" s="88"/>
      <c r="Y439" s="89"/>
      <c r="Z439" s="89"/>
      <c r="AA439" s="83"/>
      <c r="AB439" s="90"/>
      <c r="AC439" s="90"/>
      <c r="AD439" s="90"/>
      <c r="AE439" s="90"/>
      <c r="AF439" s="90"/>
      <c r="AG439" s="90"/>
      <c r="AH439" s="90"/>
      <c r="AI439" s="90"/>
      <c r="AJ439" s="90"/>
      <c r="AK439" s="91"/>
      <c r="AL439" s="91"/>
      <c r="AM439" s="91"/>
      <c r="AN439" s="85"/>
      <c r="AO439" s="87"/>
      <c r="AP439" s="87"/>
      <c r="AQ439" s="91"/>
      <c r="AR439" s="85"/>
      <c r="AS439" s="85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85"/>
      <c r="BH439" s="91"/>
      <c r="BI439" s="91"/>
    </row>
    <row r="440" spans="1:61" s="92" customFormat="1" ht="14.25">
      <c r="A440" s="78"/>
      <c r="B440" s="79"/>
      <c r="C440" s="80"/>
      <c r="D440" s="81"/>
      <c r="E440" s="82"/>
      <c r="F440" s="82"/>
      <c r="G440" s="82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91"/>
      <c r="S440" s="91"/>
      <c r="T440" s="278"/>
      <c r="U440" s="85"/>
      <c r="V440" s="87"/>
      <c r="W440" s="87"/>
      <c r="X440" s="88"/>
      <c r="Y440" s="89"/>
      <c r="Z440" s="89"/>
      <c r="AA440" s="83"/>
      <c r="AB440" s="90"/>
      <c r="AC440" s="90"/>
      <c r="AD440" s="90"/>
      <c r="AE440" s="90"/>
      <c r="AF440" s="90"/>
      <c r="AG440" s="90"/>
      <c r="AH440" s="90"/>
      <c r="AI440" s="90"/>
      <c r="AJ440" s="90"/>
      <c r="AK440" s="91"/>
      <c r="AL440" s="91"/>
      <c r="AM440" s="91"/>
      <c r="AN440" s="85"/>
      <c r="AO440" s="87"/>
      <c r="AP440" s="87"/>
      <c r="AQ440" s="91"/>
      <c r="AR440" s="85"/>
      <c r="AS440" s="85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85"/>
      <c r="BH440" s="91"/>
      <c r="BI440" s="91"/>
    </row>
    <row r="441" spans="1:61" s="92" customFormat="1" ht="14.25">
      <c r="A441" s="78"/>
      <c r="B441" s="79"/>
      <c r="C441" s="80"/>
      <c r="D441" s="81"/>
      <c r="E441" s="82"/>
      <c r="F441" s="82"/>
      <c r="G441" s="82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91"/>
      <c r="S441" s="91"/>
      <c r="T441" s="278"/>
      <c r="U441" s="85"/>
      <c r="V441" s="87"/>
      <c r="W441" s="87"/>
      <c r="X441" s="88"/>
      <c r="Y441" s="89"/>
      <c r="Z441" s="89"/>
      <c r="AA441" s="83"/>
      <c r="AB441" s="90"/>
      <c r="AC441" s="90"/>
      <c r="AD441" s="90"/>
      <c r="AE441" s="90"/>
      <c r="AF441" s="90"/>
      <c r="AG441" s="90"/>
      <c r="AH441" s="90"/>
      <c r="AI441" s="90"/>
      <c r="AJ441" s="90"/>
      <c r="AK441" s="91"/>
      <c r="AL441" s="91"/>
      <c r="AM441" s="91"/>
      <c r="AN441" s="85"/>
      <c r="AO441" s="87"/>
      <c r="AP441" s="87"/>
      <c r="AQ441" s="91"/>
      <c r="AR441" s="85"/>
      <c r="AS441" s="85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85"/>
      <c r="BH441" s="91"/>
      <c r="BI441" s="91"/>
    </row>
    <row r="442" spans="1:61" s="92" customFormat="1" ht="14.25">
      <c r="A442" s="78"/>
      <c r="B442" s="79"/>
      <c r="C442" s="80"/>
      <c r="D442" s="81"/>
      <c r="E442" s="82"/>
      <c r="F442" s="82"/>
      <c r="G442" s="82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91"/>
      <c r="S442" s="91"/>
      <c r="T442" s="278"/>
      <c r="U442" s="85"/>
      <c r="V442" s="87"/>
      <c r="W442" s="87"/>
      <c r="X442" s="88"/>
      <c r="Y442" s="89"/>
      <c r="Z442" s="89"/>
      <c r="AA442" s="83"/>
      <c r="AB442" s="90"/>
      <c r="AC442" s="90"/>
      <c r="AD442" s="90"/>
      <c r="AE442" s="90"/>
      <c r="AF442" s="90"/>
      <c r="AG442" s="90"/>
      <c r="AH442" s="90"/>
      <c r="AI442" s="90"/>
      <c r="AJ442" s="90"/>
      <c r="AK442" s="91"/>
      <c r="AL442" s="91"/>
      <c r="AM442" s="91"/>
      <c r="AN442" s="85"/>
      <c r="AO442" s="87"/>
      <c r="AP442" s="87"/>
      <c r="AQ442" s="91"/>
      <c r="AR442" s="85"/>
      <c r="AS442" s="85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85"/>
      <c r="BH442" s="91"/>
      <c r="BI442" s="91"/>
    </row>
    <row r="443" spans="1:61" s="92" customFormat="1" ht="14.25">
      <c r="A443" s="78"/>
      <c r="B443" s="79"/>
      <c r="C443" s="80"/>
      <c r="D443" s="81"/>
      <c r="E443" s="82"/>
      <c r="F443" s="82"/>
      <c r="G443" s="82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91"/>
      <c r="S443" s="91"/>
      <c r="T443" s="278"/>
      <c r="U443" s="85"/>
      <c r="V443" s="87"/>
      <c r="W443" s="87"/>
      <c r="X443" s="88"/>
      <c r="Y443" s="89"/>
      <c r="Z443" s="89"/>
      <c r="AA443" s="83"/>
      <c r="AB443" s="90"/>
      <c r="AC443" s="90"/>
      <c r="AD443" s="90"/>
      <c r="AE443" s="90"/>
      <c r="AF443" s="90"/>
      <c r="AG443" s="90"/>
      <c r="AH443" s="90"/>
      <c r="AI443" s="90"/>
      <c r="AJ443" s="90"/>
      <c r="AK443" s="91"/>
      <c r="AL443" s="91"/>
      <c r="AM443" s="91"/>
      <c r="AN443" s="85"/>
      <c r="AO443" s="87"/>
      <c r="AP443" s="87"/>
      <c r="AQ443" s="91"/>
      <c r="AR443" s="85"/>
      <c r="AS443" s="85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85"/>
      <c r="BH443" s="91"/>
      <c r="BI443" s="91"/>
    </row>
    <row r="444" spans="1:61" s="92" customFormat="1" ht="14.25">
      <c r="A444" s="78"/>
      <c r="B444" s="79"/>
      <c r="C444" s="80"/>
      <c r="D444" s="81"/>
      <c r="E444" s="82"/>
      <c r="F444" s="82"/>
      <c r="G444" s="82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91"/>
      <c r="S444" s="91"/>
      <c r="T444" s="278"/>
      <c r="U444" s="85"/>
      <c r="V444" s="87"/>
      <c r="W444" s="87"/>
      <c r="X444" s="88"/>
      <c r="Y444" s="89"/>
      <c r="Z444" s="89"/>
      <c r="AA444" s="83"/>
      <c r="AB444" s="90"/>
      <c r="AC444" s="90"/>
      <c r="AD444" s="90"/>
      <c r="AE444" s="90"/>
      <c r="AF444" s="90"/>
      <c r="AG444" s="90"/>
      <c r="AH444" s="90"/>
      <c r="AI444" s="90"/>
      <c r="AJ444" s="90"/>
      <c r="AK444" s="91"/>
      <c r="AL444" s="91"/>
      <c r="AM444" s="91"/>
      <c r="AN444" s="85"/>
      <c r="AO444" s="87"/>
      <c r="AP444" s="87"/>
      <c r="AQ444" s="91"/>
      <c r="AR444" s="85"/>
      <c r="AS444" s="85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85"/>
      <c r="BH444" s="91"/>
      <c r="BI444" s="91"/>
    </row>
    <row r="445" spans="1:61" s="92" customFormat="1" ht="14.25">
      <c r="A445" s="78"/>
      <c r="B445" s="79"/>
      <c r="C445" s="80"/>
      <c r="D445" s="81"/>
      <c r="E445" s="82"/>
      <c r="F445" s="82"/>
      <c r="G445" s="82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91"/>
      <c r="S445" s="91"/>
      <c r="T445" s="278"/>
      <c r="U445" s="85"/>
      <c r="V445" s="87"/>
      <c r="W445" s="87"/>
      <c r="X445" s="88"/>
      <c r="Y445" s="89"/>
      <c r="Z445" s="89"/>
      <c r="AA445" s="83"/>
      <c r="AB445" s="90"/>
      <c r="AC445" s="90"/>
      <c r="AD445" s="90"/>
      <c r="AE445" s="90"/>
      <c r="AF445" s="90"/>
      <c r="AG445" s="90"/>
      <c r="AH445" s="90"/>
      <c r="AI445" s="90"/>
      <c r="AJ445" s="90"/>
      <c r="AK445" s="91"/>
      <c r="AL445" s="91"/>
      <c r="AM445" s="91"/>
      <c r="AN445" s="85"/>
      <c r="AO445" s="87"/>
      <c r="AP445" s="87"/>
      <c r="AQ445" s="91"/>
      <c r="AR445" s="85"/>
      <c r="AS445" s="85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85"/>
      <c r="BH445" s="91"/>
      <c r="BI445" s="91"/>
    </row>
    <row r="446" spans="1:61" s="92" customFormat="1" ht="14.25">
      <c r="A446" s="78"/>
      <c r="B446" s="79"/>
      <c r="C446" s="80"/>
      <c r="D446" s="81"/>
      <c r="E446" s="82"/>
      <c r="F446" s="82"/>
      <c r="G446" s="82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91"/>
      <c r="S446" s="91"/>
      <c r="T446" s="278"/>
      <c r="U446" s="85"/>
      <c r="V446" s="87"/>
      <c r="W446" s="87"/>
      <c r="X446" s="88"/>
      <c r="Y446" s="89"/>
      <c r="Z446" s="89"/>
      <c r="AA446" s="83"/>
      <c r="AB446" s="90"/>
      <c r="AC446" s="90"/>
      <c r="AD446" s="90"/>
      <c r="AE446" s="90"/>
      <c r="AF446" s="90"/>
      <c r="AG446" s="90"/>
      <c r="AH446" s="90"/>
      <c r="AI446" s="90"/>
      <c r="AJ446" s="90"/>
      <c r="AK446" s="91"/>
      <c r="AL446" s="91"/>
      <c r="AM446" s="91"/>
      <c r="AN446" s="85"/>
      <c r="AO446" s="87"/>
      <c r="AP446" s="87"/>
      <c r="AQ446" s="91"/>
      <c r="AR446" s="85"/>
      <c r="AS446" s="85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85"/>
      <c r="BH446" s="91"/>
      <c r="BI446" s="91"/>
    </row>
    <row r="447" spans="1:61" s="92" customFormat="1" ht="14.25">
      <c r="A447" s="78"/>
      <c r="B447" s="79"/>
      <c r="C447" s="80"/>
      <c r="D447" s="81"/>
      <c r="E447" s="82"/>
      <c r="F447" s="82"/>
      <c r="G447" s="82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91"/>
      <c r="S447" s="91"/>
      <c r="T447" s="278"/>
      <c r="U447" s="85"/>
      <c r="V447" s="87"/>
      <c r="W447" s="87"/>
      <c r="X447" s="88"/>
      <c r="Y447" s="89"/>
      <c r="Z447" s="89"/>
      <c r="AA447" s="83"/>
      <c r="AB447" s="90"/>
      <c r="AC447" s="90"/>
      <c r="AD447" s="90"/>
      <c r="AE447" s="90"/>
      <c r="AF447" s="90"/>
      <c r="AG447" s="90"/>
      <c r="AH447" s="90"/>
      <c r="AI447" s="90"/>
      <c r="AJ447" s="90"/>
      <c r="AK447" s="91"/>
      <c r="AL447" s="91"/>
      <c r="AM447" s="91"/>
      <c r="AN447" s="85"/>
      <c r="AO447" s="87"/>
      <c r="AP447" s="87"/>
      <c r="AQ447" s="91"/>
      <c r="AR447" s="85"/>
      <c r="AS447" s="85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85"/>
      <c r="BH447" s="91"/>
      <c r="BI447" s="91"/>
    </row>
    <row r="448" spans="1:61" s="92" customFormat="1" ht="14.25">
      <c r="A448" s="78"/>
      <c r="B448" s="79"/>
      <c r="C448" s="80"/>
      <c r="D448" s="81"/>
      <c r="E448" s="82"/>
      <c r="F448" s="82"/>
      <c r="G448" s="82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91"/>
      <c r="S448" s="91"/>
      <c r="T448" s="278"/>
      <c r="U448" s="85"/>
      <c r="V448" s="87"/>
      <c r="W448" s="87"/>
      <c r="X448" s="88"/>
      <c r="Y448" s="89"/>
      <c r="Z448" s="89"/>
      <c r="AA448" s="83"/>
      <c r="AB448" s="90"/>
      <c r="AC448" s="90"/>
      <c r="AD448" s="90"/>
      <c r="AE448" s="90"/>
      <c r="AF448" s="90"/>
      <c r="AG448" s="90"/>
      <c r="AH448" s="90"/>
      <c r="AI448" s="90"/>
      <c r="AJ448" s="90"/>
      <c r="AK448" s="91"/>
      <c r="AL448" s="91"/>
      <c r="AM448" s="91"/>
      <c r="AN448" s="85"/>
      <c r="AO448" s="87"/>
      <c r="AP448" s="87"/>
      <c r="AQ448" s="91"/>
      <c r="AR448" s="85"/>
      <c r="AS448" s="85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85"/>
      <c r="BH448" s="91"/>
      <c r="BI448" s="91"/>
    </row>
    <row r="449" spans="1:61" s="92" customFormat="1" ht="14.25">
      <c r="A449" s="78"/>
      <c r="B449" s="79"/>
      <c r="C449" s="80"/>
      <c r="D449" s="81"/>
      <c r="E449" s="82"/>
      <c r="F449" s="82"/>
      <c r="G449" s="82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91"/>
      <c r="S449" s="91"/>
      <c r="T449" s="278"/>
      <c r="U449" s="85"/>
      <c r="V449" s="87"/>
      <c r="W449" s="87"/>
      <c r="X449" s="88"/>
      <c r="Y449" s="89"/>
      <c r="Z449" s="89"/>
      <c r="AA449" s="83"/>
      <c r="AB449" s="90"/>
      <c r="AC449" s="90"/>
      <c r="AD449" s="90"/>
      <c r="AE449" s="90"/>
      <c r="AF449" s="90"/>
      <c r="AG449" s="90"/>
      <c r="AH449" s="90"/>
      <c r="AI449" s="90"/>
      <c r="AJ449" s="90"/>
      <c r="AK449" s="91"/>
      <c r="AL449" s="91"/>
      <c r="AM449" s="91"/>
      <c r="AN449" s="85"/>
      <c r="AO449" s="87"/>
      <c r="AP449" s="87"/>
      <c r="AQ449" s="91"/>
      <c r="AR449" s="85"/>
      <c r="AS449" s="85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85"/>
      <c r="BH449" s="91"/>
      <c r="BI449" s="91"/>
    </row>
    <row r="450" spans="1:61" s="92" customFormat="1" ht="14.25">
      <c r="A450" s="78"/>
      <c r="B450" s="79"/>
      <c r="C450" s="80"/>
      <c r="D450" s="81"/>
      <c r="E450" s="82"/>
      <c r="F450" s="82"/>
      <c r="G450" s="82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91"/>
      <c r="S450" s="91"/>
      <c r="T450" s="278"/>
      <c r="U450" s="85"/>
      <c r="V450" s="87"/>
      <c r="W450" s="87"/>
      <c r="X450" s="88"/>
      <c r="Y450" s="89"/>
      <c r="Z450" s="89"/>
      <c r="AA450" s="83"/>
      <c r="AB450" s="90"/>
      <c r="AC450" s="90"/>
      <c r="AD450" s="90"/>
      <c r="AE450" s="90"/>
      <c r="AF450" s="90"/>
      <c r="AG450" s="90"/>
      <c r="AH450" s="90"/>
      <c r="AI450" s="90"/>
      <c r="AJ450" s="90"/>
      <c r="AK450" s="91"/>
      <c r="AL450" s="91"/>
      <c r="AM450" s="91"/>
      <c r="AN450" s="85"/>
      <c r="AO450" s="87"/>
      <c r="AP450" s="87"/>
      <c r="AQ450" s="91"/>
      <c r="AR450" s="85"/>
      <c r="AS450" s="85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85"/>
      <c r="BH450" s="91"/>
      <c r="BI450" s="91"/>
    </row>
    <row r="451" spans="1:61" s="92" customFormat="1" ht="14.25">
      <c r="A451" s="78"/>
      <c r="B451" s="79"/>
      <c r="C451" s="80"/>
      <c r="D451" s="81"/>
      <c r="E451" s="82"/>
      <c r="F451" s="82"/>
      <c r="G451" s="82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91"/>
      <c r="S451" s="91"/>
      <c r="T451" s="278"/>
      <c r="U451" s="85"/>
      <c r="V451" s="87"/>
      <c r="W451" s="87"/>
      <c r="X451" s="88"/>
      <c r="Y451" s="89"/>
      <c r="Z451" s="89"/>
      <c r="AA451" s="83"/>
      <c r="AB451" s="90"/>
      <c r="AC451" s="90"/>
      <c r="AD451" s="90"/>
      <c r="AE451" s="90"/>
      <c r="AF451" s="90"/>
      <c r="AG451" s="90"/>
      <c r="AH451" s="90"/>
      <c r="AI451" s="90"/>
      <c r="AJ451" s="90"/>
      <c r="AK451" s="91"/>
      <c r="AL451" s="91"/>
      <c r="AM451" s="91"/>
      <c r="AN451" s="85"/>
      <c r="AO451" s="87"/>
      <c r="AP451" s="87"/>
      <c r="AQ451" s="91"/>
      <c r="AR451" s="85"/>
      <c r="AS451" s="85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85"/>
      <c r="BH451" s="91"/>
      <c r="BI451" s="91"/>
    </row>
    <row r="452" spans="1:61" s="92" customFormat="1" ht="14.25">
      <c r="A452" s="78"/>
      <c r="B452" s="79"/>
      <c r="C452" s="80"/>
      <c r="D452" s="81"/>
      <c r="E452" s="82"/>
      <c r="F452" s="82"/>
      <c r="G452" s="82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91"/>
      <c r="S452" s="91"/>
      <c r="T452" s="278"/>
      <c r="U452" s="85"/>
      <c r="V452" s="87"/>
      <c r="W452" s="87"/>
      <c r="X452" s="88"/>
      <c r="Y452" s="89"/>
      <c r="Z452" s="89"/>
      <c r="AA452" s="83"/>
      <c r="AB452" s="90"/>
      <c r="AC452" s="90"/>
      <c r="AD452" s="90"/>
      <c r="AE452" s="90"/>
      <c r="AF452" s="90"/>
      <c r="AG452" s="90"/>
      <c r="AH452" s="90"/>
      <c r="AI452" s="90"/>
      <c r="AJ452" s="90"/>
      <c r="AK452" s="91"/>
      <c r="AL452" s="91"/>
      <c r="AM452" s="91"/>
      <c r="AN452" s="85"/>
      <c r="AO452" s="87"/>
      <c r="AP452" s="87"/>
      <c r="AQ452" s="91"/>
      <c r="AR452" s="85"/>
      <c r="AS452" s="85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85"/>
      <c r="BH452" s="91"/>
      <c r="BI452" s="91"/>
    </row>
    <row r="453" spans="1:61" s="92" customFormat="1" ht="14.25">
      <c r="A453" s="78"/>
      <c r="B453" s="79"/>
      <c r="C453" s="80"/>
      <c r="D453" s="81"/>
      <c r="E453" s="82"/>
      <c r="F453" s="82"/>
      <c r="G453" s="82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91"/>
      <c r="S453" s="91"/>
      <c r="T453" s="278"/>
      <c r="U453" s="85"/>
      <c r="V453" s="87"/>
      <c r="W453" s="87"/>
      <c r="X453" s="88"/>
      <c r="Y453" s="89"/>
      <c r="Z453" s="89"/>
      <c r="AA453" s="83"/>
      <c r="AB453" s="90"/>
      <c r="AC453" s="90"/>
      <c r="AD453" s="90"/>
      <c r="AE453" s="90"/>
      <c r="AF453" s="90"/>
      <c r="AG453" s="90"/>
      <c r="AH453" s="90"/>
      <c r="AI453" s="90"/>
      <c r="AJ453" s="90"/>
      <c r="AK453" s="91"/>
      <c r="AL453" s="91"/>
      <c r="AM453" s="91"/>
      <c r="AN453" s="85"/>
      <c r="AO453" s="87"/>
      <c r="AP453" s="87"/>
      <c r="AQ453" s="91"/>
      <c r="AR453" s="85"/>
      <c r="AS453" s="85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85"/>
      <c r="BH453" s="91"/>
      <c r="BI453" s="91"/>
    </row>
    <row r="454" spans="1:61" s="92" customFormat="1" ht="14.25">
      <c r="A454" s="78"/>
      <c r="B454" s="79"/>
      <c r="C454" s="80"/>
      <c r="D454" s="81"/>
      <c r="E454" s="82"/>
      <c r="F454" s="82"/>
      <c r="G454" s="82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91"/>
      <c r="S454" s="91"/>
      <c r="T454" s="278"/>
      <c r="U454" s="85"/>
      <c r="V454" s="87"/>
      <c r="W454" s="87"/>
      <c r="X454" s="88"/>
      <c r="Y454" s="89"/>
      <c r="Z454" s="89"/>
      <c r="AA454" s="83"/>
      <c r="AB454" s="90"/>
      <c r="AC454" s="90"/>
      <c r="AD454" s="90"/>
      <c r="AE454" s="90"/>
      <c r="AF454" s="90"/>
      <c r="AG454" s="90"/>
      <c r="AH454" s="90"/>
      <c r="AI454" s="90"/>
      <c r="AJ454" s="90"/>
      <c r="AK454" s="91"/>
      <c r="AL454" s="91"/>
      <c r="AM454" s="91"/>
      <c r="AN454" s="85"/>
      <c r="AO454" s="87"/>
      <c r="AP454" s="87"/>
      <c r="AQ454" s="91"/>
      <c r="AR454" s="85"/>
      <c r="AS454" s="85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85"/>
      <c r="BH454" s="91"/>
      <c r="BI454" s="91"/>
    </row>
    <row r="455" spans="1:61" s="92" customFormat="1" ht="14.25">
      <c r="A455" s="78"/>
      <c r="B455" s="79"/>
      <c r="C455" s="80"/>
      <c r="D455" s="81"/>
      <c r="E455" s="82"/>
      <c r="F455" s="82"/>
      <c r="G455" s="82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91"/>
      <c r="S455" s="91"/>
      <c r="T455" s="278"/>
      <c r="U455" s="85"/>
      <c r="V455" s="87"/>
      <c r="W455" s="87"/>
      <c r="X455" s="88"/>
      <c r="Y455" s="89"/>
      <c r="Z455" s="89"/>
      <c r="AA455" s="83"/>
      <c r="AB455" s="90"/>
      <c r="AC455" s="90"/>
      <c r="AD455" s="90"/>
      <c r="AE455" s="90"/>
      <c r="AF455" s="90"/>
      <c r="AG455" s="90"/>
      <c r="AH455" s="90"/>
      <c r="AI455" s="90"/>
      <c r="AJ455" s="90"/>
      <c r="AK455" s="91"/>
      <c r="AL455" s="91"/>
      <c r="AM455" s="91"/>
      <c r="AN455" s="85"/>
      <c r="AO455" s="87"/>
      <c r="AP455" s="87"/>
      <c r="AQ455" s="91"/>
      <c r="AR455" s="85"/>
      <c r="AS455" s="85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85"/>
      <c r="BH455" s="91"/>
      <c r="BI455" s="91"/>
    </row>
    <row r="456" spans="1:61" s="92" customFormat="1" ht="14.25">
      <c r="A456" s="78"/>
      <c r="B456" s="79"/>
      <c r="C456" s="80"/>
      <c r="D456" s="81"/>
      <c r="E456" s="82"/>
      <c r="F456" s="82"/>
      <c r="G456" s="82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91"/>
      <c r="S456" s="91"/>
      <c r="T456" s="278"/>
      <c r="U456" s="85"/>
      <c r="V456" s="87"/>
      <c r="W456" s="87"/>
      <c r="X456" s="88"/>
      <c r="Y456" s="89"/>
      <c r="Z456" s="89"/>
      <c r="AA456" s="83"/>
      <c r="AB456" s="90"/>
      <c r="AC456" s="90"/>
      <c r="AD456" s="90"/>
      <c r="AE456" s="90"/>
      <c r="AF456" s="90"/>
      <c r="AG456" s="90"/>
      <c r="AH456" s="90"/>
      <c r="AI456" s="90"/>
      <c r="AJ456" s="90"/>
      <c r="AK456" s="91"/>
      <c r="AL456" s="91"/>
      <c r="AM456" s="91"/>
      <c r="AN456" s="85"/>
      <c r="AO456" s="87"/>
      <c r="AP456" s="87"/>
      <c r="AQ456" s="91"/>
      <c r="AR456" s="85"/>
      <c r="AS456" s="85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85"/>
      <c r="BH456" s="91"/>
      <c r="BI456" s="91"/>
    </row>
    <row r="457" spans="1:61" s="92" customFormat="1" ht="14.25">
      <c r="A457" s="78"/>
      <c r="B457" s="79"/>
      <c r="C457" s="80"/>
      <c r="D457" s="81"/>
      <c r="E457" s="82"/>
      <c r="F457" s="82"/>
      <c r="G457" s="82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91"/>
      <c r="S457" s="91"/>
      <c r="T457" s="278"/>
      <c r="U457" s="85"/>
      <c r="V457" s="87"/>
      <c r="W457" s="87"/>
      <c r="X457" s="88"/>
      <c r="Y457" s="89"/>
      <c r="Z457" s="89"/>
      <c r="AA457" s="83"/>
      <c r="AB457" s="90"/>
      <c r="AC457" s="90"/>
      <c r="AD457" s="90"/>
      <c r="AE457" s="90"/>
      <c r="AF457" s="90"/>
      <c r="AG457" s="90"/>
      <c r="AH457" s="90"/>
      <c r="AI457" s="90"/>
      <c r="AJ457" s="90"/>
      <c r="AK457" s="91"/>
      <c r="AL457" s="91"/>
      <c r="AM457" s="91"/>
      <c r="AN457" s="85"/>
      <c r="AO457" s="87"/>
      <c r="AP457" s="87"/>
      <c r="AQ457" s="91"/>
      <c r="AR457" s="85"/>
      <c r="AS457" s="85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85"/>
      <c r="BH457" s="91"/>
      <c r="BI457" s="91"/>
    </row>
    <row r="458" spans="1:61" s="92" customFormat="1" ht="14.25">
      <c r="A458" s="78"/>
      <c r="B458" s="79"/>
      <c r="C458" s="80"/>
      <c r="D458" s="81"/>
      <c r="E458" s="82"/>
      <c r="F458" s="82"/>
      <c r="G458" s="82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91"/>
      <c r="S458" s="91"/>
      <c r="T458" s="278"/>
      <c r="U458" s="85"/>
      <c r="V458" s="87"/>
      <c r="W458" s="87"/>
      <c r="X458" s="88"/>
      <c r="Y458" s="89"/>
      <c r="Z458" s="89"/>
      <c r="AA458" s="83"/>
      <c r="AB458" s="90"/>
      <c r="AC458" s="90"/>
      <c r="AD458" s="90"/>
      <c r="AE458" s="90"/>
      <c r="AF458" s="90"/>
      <c r="AG458" s="90"/>
      <c r="AH458" s="90"/>
      <c r="AI458" s="90"/>
      <c r="AJ458" s="90"/>
      <c r="AK458" s="91"/>
      <c r="AL458" s="91"/>
      <c r="AM458" s="91"/>
      <c r="AN458" s="85"/>
      <c r="AO458" s="87"/>
      <c r="AP458" s="87"/>
      <c r="AQ458" s="91"/>
      <c r="AR458" s="85"/>
      <c r="AS458" s="85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85"/>
      <c r="BH458" s="91"/>
      <c r="BI458" s="91"/>
    </row>
    <row r="459" spans="1:61" s="92" customFormat="1" ht="14.25">
      <c r="A459" s="78"/>
      <c r="B459" s="79"/>
      <c r="C459" s="80"/>
      <c r="D459" s="81"/>
      <c r="E459" s="82"/>
      <c r="F459" s="82"/>
      <c r="G459" s="82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91"/>
      <c r="S459" s="91"/>
      <c r="T459" s="278"/>
      <c r="U459" s="85"/>
      <c r="V459" s="87"/>
      <c r="W459" s="87"/>
      <c r="X459" s="88"/>
      <c r="Y459" s="89"/>
      <c r="Z459" s="89"/>
      <c r="AA459" s="83"/>
      <c r="AB459" s="90"/>
      <c r="AC459" s="90"/>
      <c r="AD459" s="90"/>
      <c r="AE459" s="90"/>
      <c r="AF459" s="90"/>
      <c r="AG459" s="90"/>
      <c r="AH459" s="90"/>
      <c r="AI459" s="90"/>
      <c r="AJ459" s="90"/>
      <c r="AK459" s="91"/>
      <c r="AL459" s="91"/>
      <c r="AM459" s="91"/>
      <c r="AN459" s="85"/>
      <c r="AO459" s="87"/>
      <c r="AP459" s="87"/>
      <c r="AQ459" s="91"/>
      <c r="AR459" s="85"/>
      <c r="AS459" s="85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85"/>
      <c r="BH459" s="91"/>
      <c r="BI459" s="91"/>
    </row>
    <row r="460" spans="1:61" s="92" customFormat="1" ht="14.25">
      <c r="A460" s="78"/>
      <c r="B460" s="79"/>
      <c r="C460" s="80"/>
      <c r="D460" s="81"/>
      <c r="E460" s="82"/>
      <c r="F460" s="82"/>
      <c r="G460" s="82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91"/>
      <c r="S460" s="91"/>
      <c r="T460" s="278"/>
      <c r="U460" s="85"/>
      <c r="V460" s="87"/>
      <c r="W460" s="87"/>
      <c r="X460" s="88"/>
      <c r="Y460" s="89"/>
      <c r="Z460" s="89"/>
      <c r="AA460" s="83"/>
      <c r="AB460" s="90"/>
      <c r="AC460" s="90"/>
      <c r="AD460" s="90"/>
      <c r="AE460" s="90"/>
      <c r="AF460" s="90"/>
      <c r="AG460" s="90"/>
      <c r="AH460" s="90"/>
      <c r="AI460" s="90"/>
      <c r="AJ460" s="90"/>
      <c r="AK460" s="91"/>
      <c r="AL460" s="91"/>
      <c r="AM460" s="91"/>
      <c r="AN460" s="85"/>
      <c r="AO460" s="87"/>
      <c r="AP460" s="87"/>
      <c r="AQ460" s="91"/>
      <c r="AR460" s="85"/>
      <c r="AS460" s="85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85"/>
      <c r="BH460" s="91"/>
      <c r="BI460" s="91"/>
    </row>
    <row r="461" spans="1:61" s="92" customFormat="1" ht="14.25">
      <c r="A461" s="78"/>
      <c r="B461" s="79"/>
      <c r="C461" s="80"/>
      <c r="D461" s="81"/>
      <c r="E461" s="82"/>
      <c r="F461" s="82"/>
      <c r="G461" s="82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91"/>
      <c r="S461" s="91"/>
      <c r="T461" s="278"/>
      <c r="U461" s="85"/>
      <c r="V461" s="87"/>
      <c r="W461" s="87"/>
      <c r="X461" s="88"/>
      <c r="Y461" s="89"/>
      <c r="Z461" s="89"/>
      <c r="AA461" s="83"/>
      <c r="AB461" s="90"/>
      <c r="AC461" s="90"/>
      <c r="AD461" s="90"/>
      <c r="AE461" s="90"/>
      <c r="AF461" s="90"/>
      <c r="AG461" s="90"/>
      <c r="AH461" s="90"/>
      <c r="AI461" s="90"/>
      <c r="AJ461" s="90"/>
      <c r="AK461" s="91"/>
      <c r="AL461" s="91"/>
      <c r="AM461" s="91"/>
      <c r="AN461" s="85"/>
      <c r="AO461" s="87"/>
      <c r="AP461" s="87"/>
      <c r="AQ461" s="91"/>
      <c r="AR461" s="85"/>
      <c r="AS461" s="85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85"/>
      <c r="BH461" s="91"/>
      <c r="BI461" s="91"/>
    </row>
    <row r="462" spans="1:61" s="92" customFormat="1" ht="14.25">
      <c r="A462" s="78"/>
      <c r="B462" s="79"/>
      <c r="C462" s="80"/>
      <c r="D462" s="81"/>
      <c r="E462" s="82"/>
      <c r="F462" s="82"/>
      <c r="G462" s="82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91"/>
      <c r="S462" s="91"/>
      <c r="T462" s="278"/>
      <c r="U462" s="85"/>
      <c r="V462" s="87"/>
      <c r="W462" s="87"/>
      <c r="X462" s="88"/>
      <c r="Y462" s="89"/>
      <c r="Z462" s="89"/>
      <c r="AA462" s="83"/>
      <c r="AB462" s="90"/>
      <c r="AC462" s="90"/>
      <c r="AD462" s="90"/>
      <c r="AE462" s="90"/>
      <c r="AF462" s="90"/>
      <c r="AG462" s="90"/>
      <c r="AH462" s="90"/>
      <c r="AI462" s="90"/>
      <c r="AJ462" s="90"/>
      <c r="AK462" s="91"/>
      <c r="AL462" s="91"/>
      <c r="AM462" s="91"/>
      <c r="AN462" s="85"/>
      <c r="AO462" s="87"/>
      <c r="AP462" s="87"/>
      <c r="AQ462" s="91"/>
      <c r="AR462" s="85"/>
      <c r="AS462" s="85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85"/>
      <c r="BH462" s="91"/>
      <c r="BI462" s="91"/>
    </row>
    <row r="463" spans="1:61" s="92" customFormat="1" ht="14.25">
      <c r="A463" s="78"/>
      <c r="B463" s="79"/>
      <c r="C463" s="80"/>
      <c r="D463" s="81"/>
      <c r="E463" s="82"/>
      <c r="F463" s="82"/>
      <c r="G463" s="82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91"/>
      <c r="S463" s="91"/>
      <c r="T463" s="278"/>
      <c r="U463" s="85"/>
      <c r="V463" s="87"/>
      <c r="W463" s="87"/>
      <c r="X463" s="88"/>
      <c r="Y463" s="89"/>
      <c r="Z463" s="89"/>
      <c r="AA463" s="83"/>
      <c r="AB463" s="90"/>
      <c r="AC463" s="90"/>
      <c r="AD463" s="90"/>
      <c r="AE463" s="90"/>
      <c r="AF463" s="90"/>
      <c r="AG463" s="90"/>
      <c r="AH463" s="90"/>
      <c r="AI463" s="90"/>
      <c r="AJ463" s="90"/>
      <c r="AK463" s="91"/>
      <c r="AL463" s="91"/>
      <c r="AM463" s="91"/>
      <c r="AN463" s="85"/>
      <c r="AO463" s="87"/>
      <c r="AP463" s="87"/>
      <c r="AQ463" s="91"/>
      <c r="AR463" s="85"/>
      <c r="AS463" s="85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85"/>
      <c r="BH463" s="91"/>
      <c r="BI463" s="91"/>
    </row>
    <row r="464" spans="1:61" s="92" customFormat="1" ht="14.25">
      <c r="A464" s="78"/>
      <c r="B464" s="79"/>
      <c r="C464" s="80"/>
      <c r="D464" s="81"/>
      <c r="E464" s="82"/>
      <c r="F464" s="82"/>
      <c r="G464" s="82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91"/>
      <c r="S464" s="91"/>
      <c r="T464" s="278"/>
      <c r="U464" s="85"/>
      <c r="V464" s="87"/>
      <c r="W464" s="87"/>
      <c r="X464" s="88"/>
      <c r="Y464" s="89"/>
      <c r="Z464" s="89"/>
      <c r="AA464" s="83"/>
      <c r="AB464" s="90"/>
      <c r="AC464" s="90"/>
      <c r="AD464" s="90"/>
      <c r="AE464" s="90"/>
      <c r="AF464" s="90"/>
      <c r="AG464" s="90"/>
      <c r="AH464" s="90"/>
      <c r="AI464" s="90"/>
      <c r="AJ464" s="90"/>
      <c r="AK464" s="91"/>
      <c r="AL464" s="91"/>
      <c r="AM464" s="91"/>
      <c r="AN464" s="85"/>
      <c r="AO464" s="87"/>
      <c r="AP464" s="87"/>
      <c r="AQ464" s="91"/>
      <c r="AR464" s="85"/>
      <c r="AS464" s="85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85"/>
      <c r="BH464" s="91"/>
      <c r="BI464" s="91"/>
    </row>
    <row r="465" spans="1:61" s="92" customFormat="1" ht="14.25">
      <c r="A465" s="78"/>
      <c r="B465" s="79"/>
      <c r="C465" s="80"/>
      <c r="D465" s="81"/>
      <c r="E465" s="82"/>
      <c r="F465" s="82"/>
      <c r="G465" s="82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91"/>
      <c r="S465" s="91"/>
      <c r="T465" s="278"/>
      <c r="U465" s="85"/>
      <c r="V465" s="87"/>
      <c r="W465" s="87"/>
      <c r="X465" s="88"/>
      <c r="Y465" s="89"/>
      <c r="Z465" s="89"/>
      <c r="AA465" s="83"/>
      <c r="AB465" s="90"/>
      <c r="AC465" s="90"/>
      <c r="AD465" s="90"/>
      <c r="AE465" s="90"/>
      <c r="AF465" s="90"/>
      <c r="AG465" s="90"/>
      <c r="AH465" s="90"/>
      <c r="AI465" s="90"/>
      <c r="AJ465" s="90"/>
      <c r="AK465" s="91"/>
      <c r="AL465" s="91"/>
      <c r="AM465" s="91"/>
      <c r="AN465" s="85"/>
      <c r="AO465" s="87"/>
      <c r="AP465" s="87"/>
      <c r="AQ465" s="91"/>
      <c r="AR465" s="85"/>
      <c r="AS465" s="85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85"/>
      <c r="BH465" s="91"/>
      <c r="BI465" s="91"/>
    </row>
    <row r="466" spans="1:61" s="92" customFormat="1" ht="14.25">
      <c r="A466" s="78"/>
      <c r="B466" s="79"/>
      <c r="C466" s="80"/>
      <c r="D466" s="81"/>
      <c r="E466" s="82"/>
      <c r="F466" s="82"/>
      <c r="G466" s="82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91"/>
      <c r="S466" s="91"/>
      <c r="T466" s="278"/>
      <c r="U466" s="85"/>
      <c r="V466" s="87"/>
      <c r="W466" s="87"/>
      <c r="X466" s="88"/>
      <c r="Y466" s="89"/>
      <c r="Z466" s="89"/>
      <c r="AA466" s="83"/>
      <c r="AB466" s="90"/>
      <c r="AC466" s="90"/>
      <c r="AD466" s="90"/>
      <c r="AE466" s="90"/>
      <c r="AF466" s="90"/>
      <c r="AG466" s="90"/>
      <c r="AH466" s="90"/>
      <c r="AI466" s="90"/>
      <c r="AJ466" s="90"/>
      <c r="AK466" s="91"/>
      <c r="AL466" s="91"/>
      <c r="AM466" s="91"/>
      <c r="AN466" s="85"/>
      <c r="AO466" s="87"/>
      <c r="AP466" s="87"/>
      <c r="AQ466" s="91"/>
      <c r="AR466" s="85"/>
      <c r="AS466" s="85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85"/>
      <c r="BH466" s="91"/>
      <c r="BI466" s="91"/>
    </row>
    <row r="467" spans="1:61" s="92" customFormat="1" ht="14.25">
      <c r="A467" s="78"/>
      <c r="B467" s="79"/>
      <c r="C467" s="80"/>
      <c r="D467" s="81"/>
      <c r="E467" s="82"/>
      <c r="F467" s="82"/>
      <c r="G467" s="82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91"/>
      <c r="S467" s="91"/>
      <c r="T467" s="278"/>
      <c r="U467" s="85"/>
      <c r="V467" s="87"/>
      <c r="W467" s="87"/>
      <c r="X467" s="88"/>
      <c r="Y467" s="89"/>
      <c r="Z467" s="89"/>
      <c r="AA467" s="83"/>
      <c r="AB467" s="90"/>
      <c r="AC467" s="90"/>
      <c r="AD467" s="90"/>
      <c r="AE467" s="90"/>
      <c r="AF467" s="90"/>
      <c r="AG467" s="90"/>
      <c r="AH467" s="90"/>
      <c r="AI467" s="90"/>
      <c r="AJ467" s="90"/>
      <c r="AK467" s="91"/>
      <c r="AL467" s="91"/>
      <c r="AM467" s="91"/>
      <c r="AN467" s="85"/>
      <c r="AO467" s="87"/>
      <c r="AP467" s="87"/>
      <c r="AQ467" s="91"/>
      <c r="AR467" s="85"/>
      <c r="AS467" s="85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85"/>
      <c r="BH467" s="91"/>
      <c r="BI467" s="91"/>
    </row>
    <row r="468" spans="1:61" s="92" customFormat="1" ht="14.25">
      <c r="A468" s="78"/>
      <c r="B468" s="79"/>
      <c r="C468" s="80"/>
      <c r="D468" s="81"/>
      <c r="E468" s="82"/>
      <c r="F468" s="82"/>
      <c r="G468" s="82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91"/>
      <c r="S468" s="91"/>
      <c r="T468" s="278"/>
      <c r="U468" s="85"/>
      <c r="V468" s="87"/>
      <c r="W468" s="87"/>
      <c r="X468" s="88"/>
      <c r="Y468" s="89"/>
      <c r="Z468" s="89"/>
      <c r="AA468" s="83"/>
      <c r="AB468" s="90"/>
      <c r="AC468" s="90"/>
      <c r="AD468" s="90"/>
      <c r="AE468" s="90"/>
      <c r="AF468" s="90"/>
      <c r="AG468" s="90"/>
      <c r="AH468" s="90"/>
      <c r="AI468" s="90"/>
      <c r="AJ468" s="90"/>
      <c r="AK468" s="91"/>
      <c r="AL468" s="91"/>
      <c r="AM468" s="91"/>
      <c r="AN468" s="85"/>
      <c r="AO468" s="87"/>
      <c r="AP468" s="87"/>
      <c r="AQ468" s="91"/>
      <c r="AR468" s="85"/>
      <c r="AS468" s="85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85"/>
      <c r="BH468" s="91"/>
      <c r="BI468" s="91"/>
    </row>
    <row r="469" spans="1:61" s="92" customFormat="1" ht="14.25">
      <c r="A469" s="78"/>
      <c r="B469" s="79"/>
      <c r="C469" s="80"/>
      <c r="D469" s="81"/>
      <c r="E469" s="82"/>
      <c r="F469" s="82"/>
      <c r="G469" s="82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91"/>
      <c r="S469" s="91"/>
      <c r="T469" s="278"/>
      <c r="U469" s="85"/>
      <c r="V469" s="87"/>
      <c r="W469" s="87"/>
      <c r="X469" s="88"/>
      <c r="Y469" s="89"/>
      <c r="Z469" s="89"/>
      <c r="AA469" s="83"/>
      <c r="AB469" s="90"/>
      <c r="AC469" s="90"/>
      <c r="AD469" s="90"/>
      <c r="AE469" s="90"/>
      <c r="AF469" s="90"/>
      <c r="AG469" s="90"/>
      <c r="AH469" s="90"/>
      <c r="AI469" s="90"/>
      <c r="AJ469" s="90"/>
      <c r="AK469" s="91"/>
      <c r="AL469" s="91"/>
      <c r="AM469" s="91"/>
      <c r="AN469" s="85"/>
      <c r="AO469" s="87"/>
      <c r="AP469" s="87"/>
      <c r="AQ469" s="91"/>
      <c r="AR469" s="85"/>
      <c r="AS469" s="85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85"/>
      <c r="BH469" s="91"/>
      <c r="BI469" s="91"/>
    </row>
    <row r="470" spans="1:61" s="92" customFormat="1" ht="14.25">
      <c r="A470" s="78"/>
      <c r="B470" s="79"/>
      <c r="C470" s="80"/>
      <c r="D470" s="81"/>
      <c r="E470" s="82"/>
      <c r="F470" s="82"/>
      <c r="G470" s="82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91"/>
      <c r="S470" s="91"/>
      <c r="T470" s="278"/>
      <c r="U470" s="85"/>
      <c r="V470" s="87"/>
      <c r="W470" s="87"/>
      <c r="X470" s="88"/>
      <c r="Y470" s="89"/>
      <c r="Z470" s="89"/>
      <c r="AA470" s="83"/>
      <c r="AB470" s="90"/>
      <c r="AC470" s="90"/>
      <c r="AD470" s="90"/>
      <c r="AE470" s="90"/>
      <c r="AF470" s="90"/>
      <c r="AG470" s="90"/>
      <c r="AH470" s="90"/>
      <c r="AI470" s="90"/>
      <c r="AJ470" s="90"/>
      <c r="AK470" s="91"/>
      <c r="AL470" s="91"/>
      <c r="AM470" s="91"/>
      <c r="AN470" s="85"/>
      <c r="AO470" s="87"/>
      <c r="AP470" s="87"/>
      <c r="AQ470" s="91"/>
      <c r="AR470" s="85"/>
      <c r="AS470" s="85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85"/>
      <c r="BH470" s="91"/>
      <c r="BI470" s="91"/>
    </row>
    <row r="471" spans="1:61" s="92" customFormat="1" ht="14.25">
      <c r="A471" s="78"/>
      <c r="B471" s="79"/>
      <c r="C471" s="80"/>
      <c r="D471" s="81"/>
      <c r="E471" s="82"/>
      <c r="F471" s="82"/>
      <c r="G471" s="82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91"/>
      <c r="S471" s="91"/>
      <c r="T471" s="278"/>
      <c r="U471" s="85"/>
      <c r="V471" s="87"/>
      <c r="W471" s="87"/>
      <c r="X471" s="88"/>
      <c r="Y471" s="89"/>
      <c r="Z471" s="89"/>
      <c r="AA471" s="83"/>
      <c r="AB471" s="90"/>
      <c r="AC471" s="90"/>
      <c r="AD471" s="90"/>
      <c r="AE471" s="90"/>
      <c r="AF471" s="90"/>
      <c r="AG471" s="90"/>
      <c r="AH471" s="90"/>
      <c r="AI471" s="90"/>
      <c r="AJ471" s="90"/>
      <c r="AK471" s="91"/>
      <c r="AL471" s="91"/>
      <c r="AM471" s="91"/>
      <c r="AN471" s="85"/>
      <c r="AO471" s="87"/>
      <c r="AP471" s="87"/>
      <c r="AQ471" s="91"/>
      <c r="AR471" s="85"/>
      <c r="AS471" s="85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85"/>
      <c r="BH471" s="91"/>
      <c r="BI471" s="91"/>
    </row>
    <row r="472" spans="1:61" s="92" customFormat="1" ht="14.25">
      <c r="A472" s="78"/>
      <c r="B472" s="79"/>
      <c r="C472" s="80"/>
      <c r="D472" s="81"/>
      <c r="E472" s="82"/>
      <c r="F472" s="82"/>
      <c r="G472" s="82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91"/>
      <c r="S472" s="91"/>
      <c r="T472" s="278"/>
      <c r="U472" s="85"/>
      <c r="V472" s="87"/>
      <c r="W472" s="87"/>
      <c r="X472" s="88"/>
      <c r="Y472" s="89"/>
      <c r="Z472" s="89"/>
      <c r="AA472" s="83"/>
      <c r="AB472" s="90"/>
      <c r="AC472" s="90"/>
      <c r="AD472" s="90"/>
      <c r="AE472" s="90"/>
      <c r="AF472" s="90"/>
      <c r="AG472" s="90"/>
      <c r="AH472" s="90"/>
      <c r="AI472" s="90"/>
      <c r="AJ472" s="90"/>
      <c r="AK472" s="91"/>
      <c r="AL472" s="91"/>
      <c r="AM472" s="91"/>
      <c r="AN472" s="85"/>
      <c r="AO472" s="87"/>
      <c r="AP472" s="87"/>
      <c r="AQ472" s="91"/>
      <c r="AR472" s="85"/>
      <c r="AS472" s="85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85"/>
      <c r="BH472" s="91"/>
      <c r="BI472" s="91"/>
    </row>
    <row r="473" spans="1:61" s="92" customFormat="1" ht="14.25">
      <c r="A473" s="78"/>
      <c r="B473" s="79"/>
      <c r="C473" s="80"/>
      <c r="D473" s="81"/>
      <c r="E473" s="82"/>
      <c r="F473" s="82"/>
      <c r="G473" s="82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91"/>
      <c r="S473" s="91"/>
      <c r="T473" s="278"/>
      <c r="U473" s="85"/>
      <c r="V473" s="87"/>
      <c r="W473" s="87"/>
      <c r="X473" s="88"/>
      <c r="Y473" s="89"/>
      <c r="Z473" s="89"/>
      <c r="AA473" s="83"/>
      <c r="AB473" s="90"/>
      <c r="AC473" s="90"/>
      <c r="AD473" s="90"/>
      <c r="AE473" s="90"/>
      <c r="AF473" s="90"/>
      <c r="AG473" s="90"/>
      <c r="AH473" s="90"/>
      <c r="AI473" s="90"/>
      <c r="AJ473" s="90"/>
      <c r="AK473" s="91"/>
      <c r="AL473" s="91"/>
      <c r="AM473" s="91"/>
      <c r="AN473" s="85"/>
      <c r="AO473" s="87"/>
      <c r="AP473" s="87"/>
      <c r="AQ473" s="91"/>
      <c r="AR473" s="85"/>
      <c r="AS473" s="85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85"/>
      <c r="BH473" s="91"/>
      <c r="BI473" s="91"/>
    </row>
    <row r="474" spans="1:61" s="92" customFormat="1" ht="14.25">
      <c r="A474" s="78"/>
      <c r="B474" s="79"/>
      <c r="C474" s="80"/>
      <c r="D474" s="81"/>
      <c r="E474" s="82"/>
      <c r="F474" s="82"/>
      <c r="G474" s="82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91"/>
      <c r="S474" s="91"/>
      <c r="T474" s="278"/>
      <c r="U474" s="85"/>
      <c r="V474" s="87"/>
      <c r="W474" s="87"/>
      <c r="X474" s="88"/>
      <c r="Y474" s="89"/>
      <c r="Z474" s="89"/>
      <c r="AA474" s="83"/>
      <c r="AB474" s="90"/>
      <c r="AC474" s="90"/>
      <c r="AD474" s="90"/>
      <c r="AE474" s="90"/>
      <c r="AF474" s="90"/>
      <c r="AG474" s="90"/>
      <c r="AH474" s="90"/>
      <c r="AI474" s="90"/>
      <c r="AJ474" s="90"/>
      <c r="AK474" s="91"/>
      <c r="AL474" s="91"/>
      <c r="AM474" s="91"/>
      <c r="AN474" s="85"/>
      <c r="AO474" s="87"/>
      <c r="AP474" s="87"/>
      <c r="AQ474" s="91"/>
      <c r="AR474" s="85"/>
      <c r="AS474" s="85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85"/>
      <c r="BH474" s="91"/>
      <c r="BI474" s="91"/>
    </row>
    <row r="475" spans="1:61" s="92" customFormat="1" ht="14.25">
      <c r="A475" s="78"/>
      <c r="B475" s="79"/>
      <c r="C475" s="80"/>
      <c r="D475" s="81"/>
      <c r="E475" s="82"/>
      <c r="F475" s="82"/>
      <c r="G475" s="82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91"/>
      <c r="S475" s="91"/>
      <c r="T475" s="278"/>
      <c r="U475" s="85"/>
      <c r="V475" s="87"/>
      <c r="W475" s="87"/>
      <c r="X475" s="88"/>
      <c r="Y475" s="89"/>
      <c r="Z475" s="89"/>
      <c r="AA475" s="83"/>
      <c r="AB475" s="90"/>
      <c r="AC475" s="90"/>
      <c r="AD475" s="90"/>
      <c r="AE475" s="90"/>
      <c r="AF475" s="90"/>
      <c r="AG475" s="90"/>
      <c r="AH475" s="90"/>
      <c r="AI475" s="90"/>
      <c r="AJ475" s="90"/>
      <c r="AK475" s="91"/>
      <c r="AL475" s="91"/>
      <c r="AM475" s="91"/>
      <c r="AN475" s="85"/>
      <c r="AO475" s="87"/>
      <c r="AP475" s="87"/>
      <c r="AQ475" s="91"/>
      <c r="AR475" s="85"/>
      <c r="AS475" s="85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85"/>
      <c r="BH475" s="91"/>
      <c r="BI475" s="91"/>
    </row>
    <row r="476" spans="1:61" s="92" customFormat="1" ht="14.25">
      <c r="A476" s="78"/>
      <c r="B476" s="79"/>
      <c r="C476" s="80"/>
      <c r="D476" s="81"/>
      <c r="E476" s="82"/>
      <c r="F476" s="82"/>
      <c r="G476" s="82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91"/>
      <c r="S476" s="91"/>
      <c r="T476" s="278"/>
      <c r="U476" s="85"/>
      <c r="V476" s="87"/>
      <c r="W476" s="87"/>
      <c r="X476" s="88"/>
      <c r="Y476" s="89"/>
      <c r="Z476" s="89"/>
      <c r="AA476" s="83"/>
      <c r="AB476" s="90"/>
      <c r="AC476" s="90"/>
      <c r="AD476" s="90"/>
      <c r="AE476" s="90"/>
      <c r="AF476" s="90"/>
      <c r="AG476" s="90"/>
      <c r="AH476" s="90"/>
      <c r="AI476" s="90"/>
      <c r="AJ476" s="90"/>
      <c r="AK476" s="91"/>
      <c r="AL476" s="91"/>
      <c r="AM476" s="91"/>
      <c r="AN476" s="85"/>
      <c r="AO476" s="87"/>
      <c r="AP476" s="87"/>
      <c r="AQ476" s="91"/>
      <c r="AR476" s="85"/>
      <c r="AS476" s="85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85"/>
      <c r="BH476" s="91"/>
      <c r="BI476" s="91"/>
    </row>
    <row r="477" spans="1:61" s="92" customFormat="1" ht="14.25">
      <c r="A477" s="78"/>
      <c r="B477" s="79"/>
      <c r="C477" s="80"/>
      <c r="D477" s="81"/>
      <c r="E477" s="82"/>
      <c r="F477" s="82"/>
      <c r="G477" s="82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91"/>
      <c r="S477" s="91"/>
      <c r="T477" s="278"/>
      <c r="U477" s="85"/>
      <c r="V477" s="87"/>
      <c r="W477" s="87"/>
      <c r="X477" s="88"/>
      <c r="Y477" s="89"/>
      <c r="Z477" s="89"/>
      <c r="AA477" s="83"/>
      <c r="AB477" s="90"/>
      <c r="AC477" s="90"/>
      <c r="AD477" s="90"/>
      <c r="AE477" s="90"/>
      <c r="AF477" s="90"/>
      <c r="AG477" s="90"/>
      <c r="AH477" s="90"/>
      <c r="AI477" s="90"/>
      <c r="AJ477" s="90"/>
      <c r="AK477" s="91"/>
      <c r="AL477" s="91"/>
      <c r="AM477" s="91"/>
      <c r="AN477" s="85"/>
      <c r="AO477" s="87"/>
      <c r="AP477" s="87"/>
      <c r="AQ477" s="91"/>
      <c r="AR477" s="85"/>
      <c r="AS477" s="85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85"/>
      <c r="BH477" s="91"/>
      <c r="BI477" s="91"/>
    </row>
    <row r="478" spans="1:61" s="92" customFormat="1" ht="14.25">
      <c r="A478" s="78"/>
      <c r="B478" s="79"/>
      <c r="C478" s="80"/>
      <c r="D478" s="81"/>
      <c r="E478" s="82"/>
      <c r="F478" s="82"/>
      <c r="G478" s="82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91"/>
      <c r="S478" s="91"/>
      <c r="T478" s="278"/>
      <c r="U478" s="85"/>
      <c r="V478" s="87"/>
      <c r="W478" s="87"/>
      <c r="X478" s="88"/>
      <c r="Y478" s="89"/>
      <c r="Z478" s="89"/>
      <c r="AA478" s="83"/>
      <c r="AB478" s="90"/>
      <c r="AC478" s="90"/>
      <c r="AD478" s="90"/>
      <c r="AE478" s="90"/>
      <c r="AF478" s="90"/>
      <c r="AG478" s="90"/>
      <c r="AH478" s="90"/>
      <c r="AI478" s="90"/>
      <c r="AJ478" s="90"/>
      <c r="AK478" s="91"/>
      <c r="AL478" s="91"/>
      <c r="AM478" s="91"/>
      <c r="AN478" s="85"/>
      <c r="AO478" s="87"/>
      <c r="AP478" s="87"/>
      <c r="AQ478" s="91"/>
      <c r="AR478" s="85"/>
      <c r="AS478" s="85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85"/>
      <c r="BH478" s="91"/>
      <c r="BI478" s="91"/>
    </row>
    <row r="479" spans="1:61" s="92" customFormat="1" ht="14.25">
      <c r="A479" s="78"/>
      <c r="B479" s="79"/>
      <c r="C479" s="80"/>
      <c r="D479" s="81"/>
      <c r="E479" s="82"/>
      <c r="F479" s="82"/>
      <c r="G479" s="82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91"/>
      <c r="S479" s="91"/>
      <c r="T479" s="278"/>
      <c r="U479" s="85"/>
      <c r="V479" s="87"/>
      <c r="W479" s="87"/>
      <c r="X479" s="88"/>
      <c r="Y479" s="89"/>
      <c r="Z479" s="89"/>
      <c r="AA479" s="83"/>
      <c r="AB479" s="90"/>
      <c r="AC479" s="90"/>
      <c r="AD479" s="90"/>
      <c r="AE479" s="90"/>
      <c r="AF479" s="90"/>
      <c r="AG479" s="90"/>
      <c r="AH479" s="90"/>
      <c r="AI479" s="90"/>
      <c r="AJ479" s="90"/>
      <c r="AK479" s="91"/>
      <c r="AL479" s="91"/>
      <c r="AM479" s="91"/>
      <c r="AN479" s="85"/>
      <c r="AO479" s="87"/>
      <c r="AP479" s="87"/>
      <c r="AQ479" s="91"/>
      <c r="AR479" s="85"/>
      <c r="AS479" s="85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85"/>
      <c r="BH479" s="91"/>
      <c r="BI479" s="91"/>
    </row>
    <row r="480" spans="1:61" s="92" customFormat="1" ht="14.25">
      <c r="A480" s="78"/>
      <c r="B480" s="79"/>
      <c r="C480" s="80"/>
      <c r="D480" s="81"/>
      <c r="E480" s="82"/>
      <c r="F480" s="82"/>
      <c r="G480" s="82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91"/>
      <c r="S480" s="91"/>
      <c r="T480" s="278"/>
      <c r="U480" s="85"/>
      <c r="V480" s="87"/>
      <c r="W480" s="87"/>
      <c r="X480" s="88"/>
      <c r="Y480" s="89"/>
      <c r="Z480" s="89"/>
      <c r="AA480" s="83"/>
      <c r="AB480" s="90"/>
      <c r="AC480" s="90"/>
      <c r="AD480" s="90"/>
      <c r="AE480" s="90"/>
      <c r="AF480" s="90"/>
      <c r="AG480" s="90"/>
      <c r="AH480" s="90"/>
      <c r="AI480" s="90"/>
      <c r="AJ480" s="90"/>
      <c r="AK480" s="91"/>
      <c r="AL480" s="91"/>
      <c r="AM480" s="91"/>
      <c r="AN480" s="85"/>
      <c r="AO480" s="87"/>
      <c r="AP480" s="87"/>
      <c r="AQ480" s="91"/>
      <c r="AR480" s="85"/>
      <c r="AS480" s="85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85"/>
      <c r="BH480" s="91"/>
      <c r="BI480" s="91"/>
    </row>
    <row r="481" spans="1:61" s="92" customFormat="1" ht="14.25">
      <c r="A481" s="78"/>
      <c r="B481" s="79"/>
      <c r="C481" s="80"/>
      <c r="D481" s="81"/>
      <c r="E481" s="82"/>
      <c r="F481" s="82"/>
      <c r="G481" s="82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91"/>
      <c r="S481" s="91"/>
      <c r="T481" s="278"/>
      <c r="U481" s="85"/>
      <c r="V481" s="87"/>
      <c r="W481" s="87"/>
      <c r="X481" s="88"/>
      <c r="Y481" s="89"/>
      <c r="Z481" s="89"/>
      <c r="AA481" s="83"/>
      <c r="AB481" s="90"/>
      <c r="AC481" s="90"/>
      <c r="AD481" s="90"/>
      <c r="AE481" s="90"/>
      <c r="AF481" s="90"/>
      <c r="AG481" s="90"/>
      <c r="AH481" s="90"/>
      <c r="AI481" s="90"/>
      <c r="AJ481" s="90"/>
      <c r="AK481" s="91"/>
      <c r="AL481" s="91"/>
      <c r="AM481" s="91"/>
      <c r="AN481" s="85"/>
      <c r="AO481" s="87"/>
      <c r="AP481" s="87"/>
      <c r="AQ481" s="91"/>
      <c r="AR481" s="85"/>
      <c r="AS481" s="85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85"/>
      <c r="BH481" s="91"/>
      <c r="BI481" s="91"/>
    </row>
    <row r="482" spans="1:61" s="92" customFormat="1" ht="14.25">
      <c r="A482" s="78"/>
      <c r="B482" s="79"/>
      <c r="C482" s="80"/>
      <c r="D482" s="81"/>
      <c r="E482" s="82"/>
      <c r="F482" s="82"/>
      <c r="G482" s="82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91"/>
      <c r="S482" s="91"/>
      <c r="T482" s="278"/>
      <c r="U482" s="85"/>
      <c r="V482" s="87"/>
      <c r="W482" s="87"/>
      <c r="X482" s="88"/>
      <c r="Y482" s="89"/>
      <c r="Z482" s="89"/>
      <c r="AA482" s="83"/>
      <c r="AB482" s="90"/>
      <c r="AC482" s="90"/>
      <c r="AD482" s="90"/>
      <c r="AE482" s="90"/>
      <c r="AF482" s="90"/>
      <c r="AG482" s="90"/>
      <c r="AH482" s="90"/>
      <c r="AI482" s="90"/>
      <c r="AJ482" s="90"/>
      <c r="AK482" s="91"/>
      <c r="AL482" s="91"/>
      <c r="AM482" s="91"/>
      <c r="AN482" s="85"/>
      <c r="AO482" s="87"/>
      <c r="AP482" s="87"/>
      <c r="AQ482" s="91"/>
      <c r="AR482" s="85"/>
      <c r="AS482" s="85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85"/>
      <c r="BH482" s="91"/>
      <c r="BI482" s="91"/>
    </row>
    <row r="483" spans="1:61" s="92" customFormat="1" ht="14.25">
      <c r="A483" s="78"/>
      <c r="B483" s="79"/>
      <c r="C483" s="80"/>
      <c r="D483" s="81"/>
      <c r="E483" s="82"/>
      <c r="F483" s="82"/>
      <c r="G483" s="82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91"/>
      <c r="S483" s="91"/>
      <c r="T483" s="278"/>
      <c r="U483" s="85"/>
      <c r="V483" s="87"/>
      <c r="W483" s="87"/>
      <c r="X483" s="88"/>
      <c r="Y483" s="89"/>
      <c r="Z483" s="89"/>
      <c r="AA483" s="83"/>
      <c r="AB483" s="90"/>
      <c r="AC483" s="90"/>
      <c r="AD483" s="90"/>
      <c r="AE483" s="90"/>
      <c r="AF483" s="90"/>
      <c r="AG483" s="90"/>
      <c r="AH483" s="90"/>
      <c r="AI483" s="90"/>
      <c r="AJ483" s="90"/>
      <c r="AK483" s="91"/>
      <c r="AL483" s="91"/>
      <c r="AM483" s="91"/>
      <c r="AN483" s="85"/>
      <c r="AO483" s="87"/>
      <c r="AP483" s="87"/>
      <c r="AQ483" s="91"/>
      <c r="AR483" s="85"/>
      <c r="AS483" s="85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85"/>
      <c r="BH483" s="91"/>
      <c r="BI483" s="91"/>
    </row>
    <row r="484" spans="1:61" s="92" customFormat="1" ht="14.25">
      <c r="A484" s="78"/>
      <c r="B484" s="79"/>
      <c r="C484" s="80"/>
      <c r="D484" s="81"/>
      <c r="E484" s="82"/>
      <c r="F484" s="82"/>
      <c r="G484" s="82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91"/>
      <c r="S484" s="91"/>
      <c r="T484" s="278"/>
      <c r="U484" s="85"/>
      <c r="V484" s="87"/>
      <c r="W484" s="87"/>
      <c r="X484" s="88"/>
      <c r="Y484" s="89"/>
      <c r="Z484" s="89"/>
      <c r="AA484" s="83"/>
      <c r="AB484" s="90"/>
      <c r="AC484" s="90"/>
      <c r="AD484" s="90"/>
      <c r="AE484" s="90"/>
      <c r="AF484" s="90"/>
      <c r="AG484" s="90"/>
      <c r="AH484" s="90"/>
      <c r="AI484" s="90"/>
      <c r="AJ484" s="90"/>
      <c r="AK484" s="91"/>
      <c r="AL484" s="91"/>
      <c r="AM484" s="91"/>
      <c r="AN484" s="85"/>
      <c r="AO484" s="87"/>
      <c r="AP484" s="87"/>
      <c r="AQ484" s="91"/>
      <c r="AR484" s="85"/>
      <c r="AS484" s="85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85"/>
      <c r="BH484" s="91"/>
      <c r="BI484" s="91"/>
    </row>
    <row r="485" spans="1:61" s="92" customFormat="1" ht="14.25">
      <c r="A485" s="78"/>
      <c r="B485" s="79"/>
      <c r="C485" s="80"/>
      <c r="D485" s="81"/>
      <c r="E485" s="82"/>
      <c r="F485" s="82"/>
      <c r="G485" s="82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91"/>
      <c r="S485" s="91"/>
      <c r="T485" s="278"/>
      <c r="U485" s="85"/>
      <c r="V485" s="87"/>
      <c r="W485" s="87"/>
      <c r="X485" s="88"/>
      <c r="Y485" s="89"/>
      <c r="Z485" s="89"/>
      <c r="AA485" s="83"/>
      <c r="AB485" s="90"/>
      <c r="AC485" s="90"/>
      <c r="AD485" s="90"/>
      <c r="AE485" s="90"/>
      <c r="AF485" s="90"/>
      <c r="AG485" s="90"/>
      <c r="AH485" s="90"/>
      <c r="AI485" s="90"/>
      <c r="AJ485" s="90"/>
      <c r="AK485" s="91"/>
      <c r="AL485" s="91"/>
      <c r="AM485" s="91"/>
      <c r="AN485" s="85"/>
      <c r="AO485" s="87"/>
      <c r="AP485" s="87"/>
      <c r="AQ485" s="91"/>
      <c r="AR485" s="85"/>
      <c r="AS485" s="85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85"/>
      <c r="BH485" s="91"/>
      <c r="BI485" s="91"/>
    </row>
    <row r="486" spans="1:61" s="92" customFormat="1" ht="14.25">
      <c r="A486" s="78"/>
      <c r="B486" s="79"/>
      <c r="C486" s="80"/>
      <c r="D486" s="81"/>
      <c r="E486" s="82"/>
      <c r="F486" s="82"/>
      <c r="G486" s="82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91"/>
      <c r="S486" s="91"/>
      <c r="T486" s="278"/>
      <c r="U486" s="85"/>
      <c r="V486" s="87"/>
      <c r="W486" s="87"/>
      <c r="X486" s="88"/>
      <c r="Y486" s="89"/>
      <c r="Z486" s="89"/>
      <c r="AA486" s="83"/>
      <c r="AB486" s="90"/>
      <c r="AC486" s="90"/>
      <c r="AD486" s="90"/>
      <c r="AE486" s="90"/>
      <c r="AF486" s="90"/>
      <c r="AG486" s="90"/>
      <c r="AH486" s="90"/>
      <c r="AI486" s="90"/>
      <c r="AJ486" s="90"/>
      <c r="AK486" s="91"/>
      <c r="AL486" s="91"/>
      <c r="AM486" s="91"/>
      <c r="AN486" s="85"/>
      <c r="AO486" s="87"/>
      <c r="AP486" s="87"/>
      <c r="AQ486" s="91"/>
      <c r="AR486" s="85"/>
      <c r="AS486" s="85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85"/>
      <c r="BH486" s="91"/>
      <c r="BI486" s="91"/>
    </row>
    <row r="487" spans="1:61" s="92" customFormat="1" ht="14.25">
      <c r="A487" s="78"/>
      <c r="B487" s="79"/>
      <c r="C487" s="80"/>
      <c r="D487" s="81"/>
      <c r="E487" s="82"/>
      <c r="F487" s="82"/>
      <c r="G487" s="82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91"/>
      <c r="S487" s="91"/>
      <c r="T487" s="278"/>
      <c r="U487" s="85"/>
      <c r="V487" s="87"/>
      <c r="W487" s="87"/>
      <c r="X487" s="88"/>
      <c r="Y487" s="89"/>
      <c r="Z487" s="89"/>
      <c r="AA487" s="83"/>
      <c r="AB487" s="90"/>
      <c r="AC487" s="90"/>
      <c r="AD487" s="90"/>
      <c r="AE487" s="90"/>
      <c r="AF487" s="90"/>
      <c r="AG487" s="90"/>
      <c r="AH487" s="90"/>
      <c r="AI487" s="90"/>
      <c r="AJ487" s="90"/>
      <c r="AK487" s="91"/>
      <c r="AL487" s="91"/>
      <c r="AM487" s="91"/>
      <c r="AN487" s="85"/>
      <c r="AO487" s="87"/>
      <c r="AP487" s="87"/>
      <c r="AQ487" s="91"/>
      <c r="AR487" s="85"/>
      <c r="AS487" s="85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85"/>
      <c r="BH487" s="91"/>
      <c r="BI487" s="91"/>
    </row>
    <row r="488" spans="1:61" s="92" customFormat="1" ht="14.25">
      <c r="A488" s="78"/>
      <c r="B488" s="79"/>
      <c r="C488" s="80"/>
      <c r="D488" s="81"/>
      <c r="E488" s="82"/>
      <c r="F488" s="82"/>
      <c r="G488" s="82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91"/>
      <c r="S488" s="91"/>
      <c r="T488" s="278"/>
      <c r="U488" s="85"/>
      <c r="V488" s="87"/>
      <c r="W488" s="87"/>
      <c r="X488" s="88"/>
      <c r="Y488" s="89"/>
      <c r="Z488" s="89"/>
      <c r="AA488" s="83"/>
      <c r="AB488" s="90"/>
      <c r="AC488" s="90"/>
      <c r="AD488" s="90"/>
      <c r="AE488" s="90"/>
      <c r="AF488" s="90"/>
      <c r="AG488" s="90"/>
      <c r="AH488" s="90"/>
      <c r="AI488" s="90"/>
      <c r="AJ488" s="90"/>
      <c r="AK488" s="91"/>
      <c r="AL488" s="91"/>
      <c r="AM488" s="91"/>
      <c r="AN488" s="85"/>
      <c r="AO488" s="87"/>
      <c r="AP488" s="87"/>
      <c r="AQ488" s="91"/>
      <c r="AR488" s="85"/>
      <c r="AS488" s="85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85"/>
      <c r="BH488" s="91"/>
      <c r="BI488" s="91"/>
    </row>
    <row r="489" spans="1:61" s="92" customFormat="1" ht="14.25">
      <c r="A489" s="78"/>
      <c r="B489" s="79"/>
      <c r="C489" s="80"/>
      <c r="D489" s="81"/>
      <c r="E489" s="82"/>
      <c r="F489" s="82"/>
      <c r="G489" s="82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91"/>
      <c r="S489" s="91"/>
      <c r="T489" s="278"/>
      <c r="U489" s="85"/>
      <c r="V489" s="87"/>
      <c r="W489" s="87"/>
      <c r="X489" s="88"/>
      <c r="Y489" s="89"/>
      <c r="Z489" s="89"/>
      <c r="AA489" s="83"/>
      <c r="AB489" s="90"/>
      <c r="AC489" s="90"/>
      <c r="AD489" s="90"/>
      <c r="AE489" s="90"/>
      <c r="AF489" s="90"/>
      <c r="AG489" s="90"/>
      <c r="AH489" s="90"/>
      <c r="AI489" s="90"/>
      <c r="AJ489" s="90"/>
      <c r="AK489" s="91"/>
      <c r="AL489" s="91"/>
      <c r="AM489" s="91"/>
      <c r="AN489" s="85"/>
      <c r="AO489" s="87"/>
      <c r="AP489" s="87"/>
      <c r="AQ489" s="91"/>
      <c r="AR489" s="85"/>
      <c r="AS489" s="85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85"/>
      <c r="BH489" s="91"/>
      <c r="BI489" s="91"/>
    </row>
    <row r="490" spans="1:61" s="92" customFormat="1" ht="14.25">
      <c r="A490" s="78"/>
      <c r="B490" s="79"/>
      <c r="C490" s="80"/>
      <c r="D490" s="81"/>
      <c r="E490" s="82"/>
      <c r="F490" s="82"/>
      <c r="G490" s="82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91"/>
      <c r="S490" s="91"/>
      <c r="T490" s="278"/>
      <c r="U490" s="85"/>
      <c r="V490" s="87"/>
      <c r="W490" s="87"/>
      <c r="X490" s="88"/>
      <c r="Y490" s="89"/>
      <c r="Z490" s="89"/>
      <c r="AA490" s="83"/>
      <c r="AB490" s="90"/>
      <c r="AC490" s="90"/>
      <c r="AD490" s="90"/>
      <c r="AE490" s="90"/>
      <c r="AF490" s="90"/>
      <c r="AG490" s="90"/>
      <c r="AH490" s="90"/>
      <c r="AI490" s="90"/>
      <c r="AJ490" s="90"/>
      <c r="AK490" s="91"/>
      <c r="AL490" s="91"/>
      <c r="AM490" s="91"/>
      <c r="AN490" s="85"/>
      <c r="AO490" s="87"/>
      <c r="AP490" s="87"/>
      <c r="AQ490" s="91"/>
      <c r="AR490" s="85"/>
      <c r="AS490" s="85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85"/>
      <c r="BH490" s="91"/>
      <c r="BI490" s="91"/>
    </row>
    <row r="491" spans="1:61" s="92" customFormat="1" ht="14.25">
      <c r="A491" s="78"/>
      <c r="B491" s="91"/>
      <c r="C491" s="160"/>
      <c r="D491" s="81"/>
      <c r="E491" s="82"/>
      <c r="F491" s="82"/>
      <c r="G491" s="82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91"/>
      <c r="S491" s="91"/>
      <c r="T491" s="278"/>
      <c r="U491" s="85"/>
      <c r="V491" s="87"/>
      <c r="W491" s="87"/>
      <c r="X491" s="88"/>
      <c r="Y491" s="89"/>
      <c r="Z491" s="89"/>
      <c r="AA491" s="83"/>
      <c r="AB491" s="90"/>
      <c r="AC491" s="90"/>
      <c r="AD491" s="90"/>
      <c r="AE491" s="90"/>
      <c r="AF491" s="90"/>
      <c r="AG491" s="90"/>
      <c r="AH491" s="90"/>
      <c r="AI491" s="90"/>
      <c r="AJ491" s="90"/>
      <c r="AK491" s="91"/>
      <c r="AL491" s="91"/>
      <c r="AM491" s="91"/>
      <c r="AN491" s="85"/>
      <c r="AO491" s="87"/>
      <c r="AP491" s="87"/>
      <c r="AQ491" s="91"/>
      <c r="AR491" s="85"/>
      <c r="AS491" s="85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85"/>
      <c r="BH491" s="91"/>
      <c r="BI491" s="91"/>
    </row>
    <row r="492" spans="1:61" s="92" customFormat="1" ht="14.25">
      <c r="A492" s="78"/>
      <c r="B492" s="91"/>
      <c r="C492" s="160"/>
      <c r="D492" s="81"/>
      <c r="E492" s="82"/>
      <c r="F492" s="82"/>
      <c r="G492" s="82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91"/>
      <c r="S492" s="91"/>
      <c r="T492" s="278"/>
      <c r="U492" s="85"/>
      <c r="V492" s="87"/>
      <c r="W492" s="87"/>
      <c r="X492" s="88"/>
      <c r="Y492" s="89"/>
      <c r="Z492" s="89"/>
      <c r="AA492" s="83"/>
      <c r="AB492" s="90"/>
      <c r="AC492" s="90"/>
      <c r="AD492" s="90"/>
      <c r="AE492" s="90"/>
      <c r="AF492" s="90"/>
      <c r="AG492" s="90"/>
      <c r="AH492" s="90"/>
      <c r="AI492" s="90"/>
      <c r="AJ492" s="90"/>
      <c r="AK492" s="91"/>
      <c r="AL492" s="91"/>
      <c r="AM492" s="91"/>
      <c r="AN492" s="85"/>
      <c r="AO492" s="87"/>
      <c r="AP492" s="87"/>
      <c r="AQ492" s="91"/>
      <c r="AR492" s="85"/>
      <c r="AS492" s="85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85"/>
      <c r="BH492" s="91"/>
      <c r="BI492" s="91"/>
    </row>
    <row r="493" spans="1:61" s="92" customFormat="1" ht="14.25">
      <c r="A493" s="78"/>
      <c r="B493" s="91"/>
      <c r="C493" s="160"/>
      <c r="D493" s="81"/>
      <c r="E493" s="82"/>
      <c r="F493" s="82"/>
      <c r="G493" s="82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91"/>
      <c r="S493" s="91"/>
      <c r="T493" s="278"/>
      <c r="U493" s="85"/>
      <c r="V493" s="87"/>
      <c r="W493" s="87"/>
      <c r="X493" s="88"/>
      <c r="Y493" s="89"/>
      <c r="Z493" s="89"/>
      <c r="AA493" s="83"/>
      <c r="AB493" s="90"/>
      <c r="AC493" s="90"/>
      <c r="AD493" s="90"/>
      <c r="AE493" s="90"/>
      <c r="AF493" s="90"/>
      <c r="AG493" s="90"/>
      <c r="AH493" s="90"/>
      <c r="AI493" s="90"/>
      <c r="AJ493" s="90"/>
      <c r="AK493" s="91"/>
      <c r="AL493" s="91"/>
      <c r="AM493" s="91"/>
      <c r="AN493" s="85"/>
      <c r="AO493" s="87"/>
      <c r="AP493" s="87"/>
      <c r="AQ493" s="91"/>
      <c r="AR493" s="85"/>
      <c r="AS493" s="85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85"/>
      <c r="BH493" s="91"/>
      <c r="BI493" s="91"/>
    </row>
    <row r="494" spans="1:61" s="92" customFormat="1" ht="14.25">
      <c r="A494" s="78"/>
      <c r="B494" s="91"/>
      <c r="C494" s="160"/>
      <c r="D494" s="81"/>
      <c r="E494" s="82"/>
      <c r="F494" s="82"/>
      <c r="G494" s="82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91"/>
      <c r="S494" s="91"/>
      <c r="T494" s="278"/>
      <c r="U494" s="85"/>
      <c r="V494" s="87"/>
      <c r="W494" s="87"/>
      <c r="X494" s="88"/>
      <c r="Y494" s="89"/>
      <c r="Z494" s="89"/>
      <c r="AA494" s="83"/>
      <c r="AB494" s="90"/>
      <c r="AC494" s="90"/>
      <c r="AD494" s="90"/>
      <c r="AE494" s="90"/>
      <c r="AF494" s="90"/>
      <c r="AG494" s="90"/>
      <c r="AH494" s="90"/>
      <c r="AI494" s="90"/>
      <c r="AJ494" s="90"/>
      <c r="AK494" s="91"/>
      <c r="AL494" s="91"/>
      <c r="AM494" s="91"/>
      <c r="AN494" s="85"/>
      <c r="AO494" s="87"/>
      <c r="AP494" s="87"/>
      <c r="AQ494" s="91"/>
      <c r="AR494" s="85"/>
      <c r="AS494" s="85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85"/>
      <c r="BH494" s="91"/>
      <c r="BI494" s="91"/>
    </row>
    <row r="495" spans="1:61" s="92" customFormat="1" ht="14.25">
      <c r="A495" s="78"/>
      <c r="B495" s="79"/>
      <c r="C495" s="80"/>
      <c r="D495" s="81"/>
      <c r="E495" s="82"/>
      <c r="F495" s="82"/>
      <c r="G495" s="82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91"/>
      <c r="S495" s="91"/>
      <c r="T495" s="278"/>
      <c r="U495" s="85"/>
      <c r="V495" s="87"/>
      <c r="W495" s="87"/>
      <c r="X495" s="88"/>
      <c r="Y495" s="89"/>
      <c r="Z495" s="89"/>
      <c r="AA495" s="83"/>
      <c r="AB495" s="90"/>
      <c r="AC495" s="90"/>
      <c r="AD495" s="90"/>
      <c r="AE495" s="90"/>
      <c r="AF495" s="90"/>
      <c r="AG495" s="90"/>
      <c r="AH495" s="90"/>
      <c r="AI495" s="90"/>
      <c r="AJ495" s="90"/>
      <c r="AK495" s="91"/>
      <c r="AL495" s="91"/>
      <c r="AM495" s="91"/>
      <c r="AN495" s="85"/>
      <c r="AO495" s="87"/>
      <c r="AP495" s="87"/>
      <c r="AQ495" s="91"/>
      <c r="AR495" s="85"/>
      <c r="AS495" s="85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85"/>
      <c r="BH495" s="91"/>
      <c r="BI495" s="91"/>
    </row>
    <row r="496" spans="1:61" s="92" customFormat="1" ht="14.25">
      <c r="A496" s="78"/>
      <c r="B496" s="79"/>
      <c r="C496" s="80"/>
      <c r="D496" s="81"/>
      <c r="E496" s="82"/>
      <c r="F496" s="82"/>
      <c r="G496" s="82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91"/>
      <c r="S496" s="91"/>
      <c r="T496" s="278"/>
      <c r="U496" s="85"/>
      <c r="V496" s="87"/>
      <c r="W496" s="87"/>
      <c r="X496" s="88"/>
      <c r="Y496" s="89"/>
      <c r="Z496" s="89"/>
      <c r="AA496" s="83"/>
      <c r="AB496" s="90"/>
      <c r="AC496" s="90"/>
      <c r="AD496" s="90"/>
      <c r="AE496" s="90"/>
      <c r="AF496" s="90"/>
      <c r="AG496" s="90"/>
      <c r="AH496" s="90"/>
      <c r="AI496" s="90"/>
      <c r="AJ496" s="90"/>
      <c r="AK496" s="91"/>
      <c r="AL496" s="91"/>
      <c r="AM496" s="91"/>
      <c r="AN496" s="85"/>
      <c r="AO496" s="87"/>
      <c r="AP496" s="87"/>
      <c r="AQ496" s="91"/>
      <c r="AR496" s="85"/>
      <c r="AS496" s="85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85"/>
      <c r="BH496" s="91"/>
      <c r="BI496" s="91"/>
    </row>
    <row r="497" spans="1:61" s="92" customFormat="1" ht="14.25">
      <c r="A497" s="78"/>
      <c r="B497" s="79"/>
      <c r="C497" s="80"/>
      <c r="D497" s="81"/>
      <c r="E497" s="82"/>
      <c r="F497" s="82"/>
      <c r="G497" s="82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91"/>
      <c r="S497" s="91"/>
      <c r="T497" s="278"/>
      <c r="U497" s="85"/>
      <c r="V497" s="87"/>
      <c r="W497" s="87"/>
      <c r="X497" s="88"/>
      <c r="Y497" s="89"/>
      <c r="Z497" s="89"/>
      <c r="AA497" s="83"/>
      <c r="AB497" s="90"/>
      <c r="AC497" s="90"/>
      <c r="AD497" s="90"/>
      <c r="AE497" s="90"/>
      <c r="AF497" s="90"/>
      <c r="AG497" s="90"/>
      <c r="AH497" s="90"/>
      <c r="AI497" s="90"/>
      <c r="AJ497" s="90"/>
      <c r="AK497" s="91"/>
      <c r="AL497" s="91"/>
      <c r="AM497" s="91"/>
      <c r="AN497" s="85"/>
      <c r="AO497" s="87"/>
      <c r="AP497" s="87"/>
      <c r="AQ497" s="91"/>
      <c r="AR497" s="85"/>
      <c r="AS497" s="85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85"/>
      <c r="BH497" s="91"/>
      <c r="BI497" s="91"/>
    </row>
    <row r="498" spans="1:61" s="92" customFormat="1" ht="14.25">
      <c r="A498" s="78"/>
      <c r="B498" s="79"/>
      <c r="C498" s="80"/>
      <c r="D498" s="81"/>
      <c r="E498" s="82"/>
      <c r="F498" s="82"/>
      <c r="G498" s="82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91"/>
      <c r="S498" s="91"/>
      <c r="T498" s="278"/>
      <c r="U498" s="85"/>
      <c r="V498" s="87"/>
      <c r="W498" s="87"/>
      <c r="X498" s="88"/>
      <c r="Y498" s="89"/>
      <c r="Z498" s="89"/>
      <c r="AA498" s="83"/>
      <c r="AB498" s="90"/>
      <c r="AC498" s="90"/>
      <c r="AD498" s="90"/>
      <c r="AE498" s="90"/>
      <c r="AF498" s="90"/>
      <c r="AG498" s="90"/>
      <c r="AH498" s="90"/>
      <c r="AI498" s="90"/>
      <c r="AJ498" s="90"/>
      <c r="AK498" s="91"/>
      <c r="AL498" s="91"/>
      <c r="AM498" s="91"/>
      <c r="AN498" s="85"/>
      <c r="AO498" s="87"/>
      <c r="AP498" s="87"/>
      <c r="AQ498" s="91"/>
      <c r="AR498" s="85"/>
      <c r="AS498" s="85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85"/>
      <c r="BH498" s="91"/>
      <c r="BI498" s="91"/>
    </row>
    <row r="499" spans="1:61" s="92" customFormat="1" ht="14.25">
      <c r="A499" s="78"/>
      <c r="B499" s="79"/>
      <c r="C499" s="80"/>
      <c r="D499" s="81"/>
      <c r="E499" s="82"/>
      <c r="F499" s="82"/>
      <c r="G499" s="82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91"/>
      <c r="S499" s="91"/>
      <c r="T499" s="278"/>
      <c r="U499" s="85"/>
      <c r="V499" s="87"/>
      <c r="W499" s="87"/>
      <c r="X499" s="88"/>
      <c r="Y499" s="89"/>
      <c r="Z499" s="89"/>
      <c r="AA499" s="83"/>
      <c r="AB499" s="90"/>
      <c r="AC499" s="90"/>
      <c r="AD499" s="90"/>
      <c r="AE499" s="90"/>
      <c r="AF499" s="90"/>
      <c r="AG499" s="90"/>
      <c r="AH499" s="90"/>
      <c r="AI499" s="90"/>
      <c r="AJ499" s="90"/>
      <c r="AK499" s="91"/>
      <c r="AL499" s="91"/>
      <c r="AM499" s="91"/>
      <c r="AN499" s="85"/>
      <c r="AO499" s="87"/>
      <c r="AP499" s="87"/>
      <c r="AQ499" s="91"/>
      <c r="AR499" s="85"/>
      <c r="AS499" s="85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85"/>
      <c r="BH499" s="91"/>
      <c r="BI499" s="91"/>
    </row>
    <row r="500" spans="1:61" s="92" customFormat="1" ht="14.25">
      <c r="A500" s="78"/>
      <c r="B500" s="79"/>
      <c r="C500" s="80"/>
      <c r="D500" s="81"/>
      <c r="E500" s="82"/>
      <c r="F500" s="82"/>
      <c r="G500" s="82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91"/>
      <c r="S500" s="91"/>
      <c r="T500" s="278"/>
      <c r="U500" s="85"/>
      <c r="V500" s="87"/>
      <c r="W500" s="87"/>
      <c r="X500" s="88"/>
      <c r="Y500" s="89"/>
      <c r="Z500" s="89"/>
      <c r="AA500" s="83"/>
      <c r="AB500" s="90"/>
      <c r="AC500" s="90"/>
      <c r="AD500" s="90"/>
      <c r="AE500" s="90"/>
      <c r="AF500" s="90"/>
      <c r="AG500" s="90"/>
      <c r="AH500" s="90"/>
      <c r="AI500" s="90"/>
      <c r="AJ500" s="90"/>
      <c r="AK500" s="91"/>
      <c r="AL500" s="91"/>
      <c r="AM500" s="91"/>
      <c r="AN500" s="85"/>
      <c r="AO500" s="87"/>
      <c r="AP500" s="87"/>
      <c r="AQ500" s="91"/>
      <c r="AR500" s="85"/>
      <c r="AS500" s="85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85"/>
      <c r="BH500" s="91"/>
      <c r="BI500" s="91"/>
    </row>
    <row r="501" spans="1:61" s="92" customFormat="1" ht="14.25">
      <c r="A501" s="78"/>
      <c r="B501" s="79"/>
      <c r="C501" s="80"/>
      <c r="D501" s="81"/>
      <c r="E501" s="82"/>
      <c r="F501" s="82"/>
      <c r="G501" s="82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91"/>
      <c r="S501" s="91"/>
      <c r="T501" s="278"/>
      <c r="U501" s="85"/>
      <c r="V501" s="87"/>
      <c r="W501" s="87"/>
      <c r="X501" s="88"/>
      <c r="Y501" s="89"/>
      <c r="Z501" s="89"/>
      <c r="AA501" s="83"/>
      <c r="AB501" s="90"/>
      <c r="AC501" s="90"/>
      <c r="AD501" s="90"/>
      <c r="AE501" s="90"/>
      <c r="AF501" s="90"/>
      <c r="AG501" s="90"/>
      <c r="AH501" s="90"/>
      <c r="AI501" s="90"/>
      <c r="AJ501" s="90"/>
      <c r="AK501" s="91"/>
      <c r="AL501" s="91"/>
      <c r="AM501" s="91"/>
      <c r="AN501" s="85"/>
      <c r="AO501" s="87"/>
      <c r="AP501" s="87"/>
      <c r="AQ501" s="91"/>
      <c r="AR501" s="85"/>
      <c r="AS501" s="85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85"/>
      <c r="BH501" s="91"/>
      <c r="BI501" s="91"/>
    </row>
    <row r="502" spans="1:61" s="92" customFormat="1" ht="14.25">
      <c r="A502" s="78"/>
      <c r="B502" s="79"/>
      <c r="C502" s="80"/>
      <c r="D502" s="81"/>
      <c r="E502" s="82"/>
      <c r="F502" s="82"/>
      <c r="G502" s="82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91"/>
      <c r="S502" s="91"/>
      <c r="T502" s="278"/>
      <c r="U502" s="85"/>
      <c r="V502" s="87"/>
      <c r="W502" s="87"/>
      <c r="X502" s="88"/>
      <c r="Y502" s="89"/>
      <c r="Z502" s="89"/>
      <c r="AA502" s="83"/>
      <c r="AB502" s="90"/>
      <c r="AC502" s="90"/>
      <c r="AD502" s="90"/>
      <c r="AE502" s="90"/>
      <c r="AF502" s="90"/>
      <c r="AG502" s="90"/>
      <c r="AH502" s="90"/>
      <c r="AI502" s="90"/>
      <c r="AJ502" s="90"/>
      <c r="AK502" s="91"/>
      <c r="AL502" s="91"/>
      <c r="AM502" s="91"/>
      <c r="AN502" s="85"/>
      <c r="AO502" s="87"/>
      <c r="AP502" s="87"/>
      <c r="AQ502" s="91"/>
      <c r="AR502" s="85"/>
      <c r="AS502" s="85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85"/>
      <c r="BH502" s="91"/>
      <c r="BI502" s="91"/>
    </row>
    <row r="503" spans="1:61" s="92" customFormat="1" ht="14.25">
      <c r="A503" s="78"/>
      <c r="B503" s="79"/>
      <c r="C503" s="80"/>
      <c r="D503" s="81"/>
      <c r="E503" s="82"/>
      <c r="F503" s="82"/>
      <c r="G503" s="82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91"/>
      <c r="S503" s="91"/>
      <c r="T503" s="278"/>
      <c r="U503" s="85"/>
      <c r="V503" s="87"/>
      <c r="W503" s="87"/>
      <c r="X503" s="88"/>
      <c r="Y503" s="89"/>
      <c r="Z503" s="89"/>
      <c r="AA503" s="83"/>
      <c r="AB503" s="90"/>
      <c r="AC503" s="90"/>
      <c r="AD503" s="90"/>
      <c r="AE503" s="90"/>
      <c r="AF503" s="90"/>
      <c r="AG503" s="90"/>
      <c r="AH503" s="90"/>
      <c r="AI503" s="90"/>
      <c r="AJ503" s="90"/>
      <c r="AK503" s="91"/>
      <c r="AL503" s="91"/>
      <c r="AM503" s="91"/>
      <c r="AN503" s="85"/>
      <c r="AO503" s="87"/>
      <c r="AP503" s="87"/>
      <c r="AQ503" s="91"/>
      <c r="AR503" s="85"/>
      <c r="AS503" s="85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85"/>
      <c r="BH503" s="91"/>
      <c r="BI503" s="91"/>
    </row>
    <row r="504" spans="1:61" s="92" customFormat="1" ht="14.25">
      <c r="A504" s="78"/>
      <c r="B504" s="79"/>
      <c r="C504" s="80"/>
      <c r="D504" s="81"/>
      <c r="E504" s="82"/>
      <c r="F504" s="82"/>
      <c r="G504" s="82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91"/>
      <c r="S504" s="91"/>
      <c r="T504" s="278"/>
      <c r="U504" s="85"/>
      <c r="V504" s="87"/>
      <c r="W504" s="87"/>
      <c r="X504" s="88"/>
      <c r="Y504" s="89"/>
      <c r="Z504" s="89"/>
      <c r="AA504" s="83"/>
      <c r="AB504" s="90"/>
      <c r="AC504" s="90"/>
      <c r="AD504" s="90"/>
      <c r="AE504" s="90"/>
      <c r="AF504" s="90"/>
      <c r="AG504" s="90"/>
      <c r="AH504" s="90"/>
      <c r="AI504" s="90"/>
      <c r="AJ504" s="90"/>
      <c r="AK504" s="91"/>
      <c r="AL504" s="91"/>
      <c r="AM504" s="91"/>
      <c r="AN504" s="85"/>
      <c r="AO504" s="87"/>
      <c r="AP504" s="87"/>
      <c r="AQ504" s="91"/>
      <c r="AR504" s="85"/>
      <c r="AS504" s="85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85"/>
      <c r="BH504" s="91"/>
      <c r="BI504" s="91"/>
    </row>
    <row r="505" spans="1:61" s="92" customFormat="1" ht="14.25">
      <c r="A505" s="78"/>
      <c r="B505" s="79"/>
      <c r="C505" s="80"/>
      <c r="D505" s="81"/>
      <c r="E505" s="82"/>
      <c r="F505" s="82"/>
      <c r="G505" s="82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91"/>
      <c r="S505" s="91"/>
      <c r="T505" s="278"/>
      <c r="U505" s="85"/>
      <c r="V505" s="87"/>
      <c r="W505" s="87"/>
      <c r="X505" s="88"/>
      <c r="Y505" s="89"/>
      <c r="Z505" s="89"/>
      <c r="AA505" s="83"/>
      <c r="AB505" s="90"/>
      <c r="AC505" s="90"/>
      <c r="AD505" s="90"/>
      <c r="AE505" s="90"/>
      <c r="AF505" s="90"/>
      <c r="AG505" s="90"/>
      <c r="AH505" s="90"/>
      <c r="AI505" s="90"/>
      <c r="AJ505" s="90"/>
      <c r="AK505" s="91"/>
      <c r="AL505" s="91"/>
      <c r="AM505" s="91"/>
      <c r="AN505" s="85"/>
      <c r="AO505" s="87"/>
      <c r="AP505" s="87"/>
      <c r="AQ505" s="91"/>
      <c r="AR505" s="85"/>
      <c r="AS505" s="85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85"/>
      <c r="BH505" s="91"/>
      <c r="BI505" s="91"/>
    </row>
    <row r="506" spans="1:61" s="92" customFormat="1" ht="14.25">
      <c r="A506" s="78"/>
      <c r="B506" s="79"/>
      <c r="C506" s="80"/>
      <c r="D506" s="81"/>
      <c r="E506" s="82"/>
      <c r="F506" s="82"/>
      <c r="G506" s="82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91"/>
      <c r="S506" s="91"/>
      <c r="T506" s="278"/>
      <c r="U506" s="85"/>
      <c r="V506" s="87"/>
      <c r="W506" s="87"/>
      <c r="X506" s="88"/>
      <c r="Y506" s="89"/>
      <c r="Z506" s="89"/>
      <c r="AA506" s="83"/>
      <c r="AB506" s="90"/>
      <c r="AC506" s="90"/>
      <c r="AD506" s="90"/>
      <c r="AE506" s="90"/>
      <c r="AF506" s="90"/>
      <c r="AG506" s="90"/>
      <c r="AH506" s="90"/>
      <c r="AI506" s="90"/>
      <c r="AJ506" s="90"/>
      <c r="AK506" s="91"/>
      <c r="AL506" s="91"/>
      <c r="AM506" s="91"/>
      <c r="AN506" s="85"/>
      <c r="AO506" s="87"/>
      <c r="AP506" s="87"/>
      <c r="AQ506" s="91"/>
      <c r="AR506" s="85"/>
      <c r="AS506" s="85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85"/>
      <c r="BH506" s="91"/>
      <c r="BI506" s="91"/>
    </row>
    <row r="507" spans="1:61" s="92" customFormat="1" ht="14.25">
      <c r="A507" s="78"/>
      <c r="B507" s="79"/>
      <c r="C507" s="80"/>
      <c r="D507" s="81"/>
      <c r="E507" s="82"/>
      <c r="F507" s="82"/>
      <c r="G507" s="82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91"/>
      <c r="S507" s="91"/>
      <c r="T507" s="278"/>
      <c r="U507" s="85"/>
      <c r="V507" s="87"/>
      <c r="W507" s="87"/>
      <c r="X507" s="88"/>
      <c r="Y507" s="89"/>
      <c r="Z507" s="89"/>
      <c r="AA507" s="83"/>
      <c r="AB507" s="90"/>
      <c r="AC507" s="90"/>
      <c r="AD507" s="90"/>
      <c r="AE507" s="90"/>
      <c r="AF507" s="90"/>
      <c r="AG507" s="90"/>
      <c r="AH507" s="90"/>
      <c r="AI507" s="90"/>
      <c r="AJ507" s="90"/>
      <c r="AK507" s="91"/>
      <c r="AL507" s="91"/>
      <c r="AM507" s="91"/>
      <c r="AN507" s="85"/>
      <c r="AO507" s="87"/>
      <c r="AP507" s="87"/>
      <c r="AQ507" s="91"/>
      <c r="AR507" s="85"/>
      <c r="AS507" s="85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85"/>
      <c r="BH507" s="91"/>
      <c r="BI507" s="91"/>
    </row>
    <row r="508" spans="1:61" s="92" customFormat="1" ht="14.25">
      <c r="A508" s="78"/>
      <c r="B508" s="79"/>
      <c r="C508" s="80"/>
      <c r="D508" s="81"/>
      <c r="E508" s="82"/>
      <c r="F508" s="82"/>
      <c r="G508" s="82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91"/>
      <c r="S508" s="91"/>
      <c r="T508" s="278"/>
      <c r="U508" s="85"/>
      <c r="V508" s="87"/>
      <c r="W508" s="87"/>
      <c r="X508" s="88"/>
      <c r="Y508" s="89"/>
      <c r="Z508" s="89"/>
      <c r="AA508" s="83"/>
      <c r="AB508" s="90"/>
      <c r="AC508" s="90"/>
      <c r="AD508" s="90"/>
      <c r="AE508" s="90"/>
      <c r="AF508" s="90"/>
      <c r="AG508" s="90"/>
      <c r="AH508" s="90"/>
      <c r="AI508" s="90"/>
      <c r="AJ508" s="90"/>
      <c r="AK508" s="91"/>
      <c r="AL508" s="91"/>
      <c r="AM508" s="91"/>
      <c r="AN508" s="85"/>
      <c r="AO508" s="87"/>
      <c r="AP508" s="87"/>
      <c r="AQ508" s="91"/>
      <c r="AR508" s="85"/>
      <c r="AS508" s="85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85"/>
      <c r="BH508" s="91"/>
      <c r="BI508" s="91"/>
    </row>
    <row r="509" spans="1:61" s="92" customFormat="1" ht="14.25">
      <c r="A509" s="78"/>
      <c r="B509" s="79"/>
      <c r="C509" s="80"/>
      <c r="D509" s="81"/>
      <c r="E509" s="82"/>
      <c r="F509" s="82"/>
      <c r="G509" s="82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91"/>
      <c r="S509" s="91"/>
      <c r="T509" s="278"/>
      <c r="U509" s="85"/>
      <c r="V509" s="87"/>
      <c r="W509" s="87"/>
      <c r="X509" s="88"/>
      <c r="Y509" s="89"/>
      <c r="Z509" s="89"/>
      <c r="AA509" s="83"/>
      <c r="AB509" s="90"/>
      <c r="AC509" s="90"/>
      <c r="AD509" s="90"/>
      <c r="AE509" s="90"/>
      <c r="AF509" s="90"/>
      <c r="AG509" s="90"/>
      <c r="AH509" s="90"/>
      <c r="AI509" s="90"/>
      <c r="AJ509" s="90"/>
      <c r="AK509" s="91"/>
      <c r="AL509" s="91"/>
      <c r="AM509" s="91"/>
      <c r="AN509" s="85"/>
      <c r="AO509" s="87"/>
      <c r="AP509" s="87"/>
      <c r="AQ509" s="91"/>
      <c r="AR509" s="85"/>
      <c r="AS509" s="85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85"/>
      <c r="BH509" s="91"/>
      <c r="BI509" s="91"/>
    </row>
    <row r="510" spans="1:61" s="92" customFormat="1" ht="14.25">
      <c r="A510" s="78"/>
      <c r="B510" s="79"/>
      <c r="C510" s="80"/>
      <c r="D510" s="81"/>
      <c r="E510" s="82"/>
      <c r="F510" s="82"/>
      <c r="G510" s="82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91"/>
      <c r="S510" s="91"/>
      <c r="T510" s="278"/>
      <c r="U510" s="85"/>
      <c r="V510" s="87"/>
      <c r="W510" s="87"/>
      <c r="X510" s="88"/>
      <c r="Y510" s="89"/>
      <c r="Z510" s="89"/>
      <c r="AA510" s="83"/>
      <c r="AB510" s="90"/>
      <c r="AC510" s="90"/>
      <c r="AD510" s="90"/>
      <c r="AE510" s="90"/>
      <c r="AF510" s="90"/>
      <c r="AG510" s="90"/>
      <c r="AH510" s="90"/>
      <c r="AI510" s="90"/>
      <c r="AJ510" s="90"/>
      <c r="AK510" s="91"/>
      <c r="AL510" s="91"/>
      <c r="AM510" s="91"/>
      <c r="AN510" s="85"/>
      <c r="AO510" s="87"/>
      <c r="AP510" s="87"/>
      <c r="AQ510" s="91"/>
      <c r="AR510" s="85"/>
      <c r="AS510" s="85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85"/>
      <c r="BH510" s="91"/>
      <c r="BI510" s="91"/>
    </row>
    <row r="511" spans="1:61" s="92" customFormat="1" ht="14.25">
      <c r="A511" s="78"/>
      <c r="B511" s="79"/>
      <c r="C511" s="80"/>
      <c r="D511" s="81"/>
      <c r="E511" s="82"/>
      <c r="F511" s="82"/>
      <c r="G511" s="82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91"/>
      <c r="S511" s="91"/>
      <c r="T511" s="278"/>
      <c r="U511" s="85"/>
      <c r="V511" s="87"/>
      <c r="W511" s="87"/>
      <c r="X511" s="88"/>
      <c r="Y511" s="89"/>
      <c r="Z511" s="89"/>
      <c r="AA511" s="83"/>
      <c r="AB511" s="90"/>
      <c r="AC511" s="90"/>
      <c r="AD511" s="90"/>
      <c r="AE511" s="90"/>
      <c r="AF511" s="90"/>
      <c r="AG511" s="90"/>
      <c r="AH511" s="90"/>
      <c r="AI511" s="90"/>
      <c r="AJ511" s="90"/>
      <c r="AK511" s="91"/>
      <c r="AL511" s="91"/>
      <c r="AM511" s="91"/>
      <c r="AN511" s="85"/>
      <c r="AO511" s="87"/>
      <c r="AP511" s="87"/>
      <c r="AQ511" s="91"/>
      <c r="AR511" s="85"/>
      <c r="AS511" s="85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85"/>
      <c r="BH511" s="91"/>
      <c r="BI511" s="91"/>
    </row>
    <row r="512" spans="1:61" s="92" customFormat="1" ht="14.25">
      <c r="A512" s="78"/>
      <c r="B512" s="79"/>
      <c r="C512" s="80"/>
      <c r="D512" s="81"/>
      <c r="E512" s="82"/>
      <c r="F512" s="82"/>
      <c r="G512" s="82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91"/>
      <c r="S512" s="91"/>
      <c r="T512" s="278"/>
      <c r="U512" s="85"/>
      <c r="V512" s="87"/>
      <c r="W512" s="87"/>
      <c r="X512" s="88"/>
      <c r="Y512" s="89"/>
      <c r="Z512" s="89"/>
      <c r="AA512" s="83"/>
      <c r="AB512" s="90"/>
      <c r="AC512" s="90"/>
      <c r="AD512" s="90"/>
      <c r="AE512" s="90"/>
      <c r="AF512" s="90"/>
      <c r="AG512" s="90"/>
      <c r="AH512" s="90"/>
      <c r="AI512" s="90"/>
      <c r="AJ512" s="90"/>
      <c r="AK512" s="91"/>
      <c r="AL512" s="91"/>
      <c r="AM512" s="91"/>
      <c r="AN512" s="85"/>
      <c r="AO512" s="87"/>
      <c r="AP512" s="87"/>
      <c r="AQ512" s="91"/>
      <c r="AR512" s="85"/>
      <c r="AS512" s="85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85"/>
      <c r="BH512" s="91"/>
      <c r="BI512" s="91"/>
    </row>
    <row r="513" spans="1:61" s="92" customFormat="1" ht="14.25">
      <c r="A513" s="78"/>
      <c r="B513" s="79"/>
      <c r="C513" s="80"/>
      <c r="D513" s="81"/>
      <c r="E513" s="82"/>
      <c r="F513" s="82"/>
      <c r="G513" s="82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91"/>
      <c r="S513" s="91"/>
      <c r="T513" s="278"/>
      <c r="U513" s="85"/>
      <c r="V513" s="87"/>
      <c r="W513" s="87"/>
      <c r="X513" s="88"/>
      <c r="Y513" s="89"/>
      <c r="Z513" s="89"/>
      <c r="AA513" s="83"/>
      <c r="AB513" s="90"/>
      <c r="AC513" s="90"/>
      <c r="AD513" s="90"/>
      <c r="AE513" s="90"/>
      <c r="AF513" s="90"/>
      <c r="AG513" s="90"/>
      <c r="AH513" s="90"/>
      <c r="AI513" s="90"/>
      <c r="AJ513" s="90"/>
      <c r="AK513" s="91"/>
      <c r="AL513" s="91"/>
      <c r="AM513" s="91"/>
      <c r="AN513" s="85"/>
      <c r="AO513" s="87"/>
      <c r="AP513" s="87"/>
      <c r="AQ513" s="91"/>
      <c r="AR513" s="85"/>
      <c r="AS513" s="85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85"/>
      <c r="BH513" s="91"/>
      <c r="BI513" s="91"/>
    </row>
    <row r="514" spans="1:61" s="92" customFormat="1" ht="14.25">
      <c r="A514" s="78"/>
      <c r="B514" s="79"/>
      <c r="C514" s="80"/>
      <c r="D514" s="81"/>
      <c r="E514" s="82"/>
      <c r="F514" s="82"/>
      <c r="G514" s="82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91"/>
      <c r="S514" s="91"/>
      <c r="T514" s="278"/>
      <c r="U514" s="85"/>
      <c r="V514" s="87"/>
      <c r="W514" s="87"/>
      <c r="X514" s="88"/>
      <c r="Y514" s="89"/>
      <c r="Z514" s="89"/>
      <c r="AA514" s="83"/>
      <c r="AB514" s="90"/>
      <c r="AC514" s="90"/>
      <c r="AD514" s="90"/>
      <c r="AE514" s="90"/>
      <c r="AF514" s="90"/>
      <c r="AG514" s="90"/>
      <c r="AH514" s="90"/>
      <c r="AI514" s="90"/>
      <c r="AJ514" s="90"/>
      <c r="AK514" s="91"/>
      <c r="AL514" s="91"/>
      <c r="AM514" s="91"/>
      <c r="AN514" s="85"/>
      <c r="AO514" s="87"/>
      <c r="AP514" s="87"/>
      <c r="AQ514" s="91"/>
      <c r="AR514" s="85"/>
      <c r="AS514" s="85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85"/>
      <c r="BH514" s="91"/>
      <c r="BI514" s="91"/>
    </row>
    <row r="515" spans="1:61" s="92" customFormat="1" ht="14.25">
      <c r="A515" s="78"/>
      <c r="B515" s="79"/>
      <c r="C515" s="80"/>
      <c r="D515" s="81"/>
      <c r="E515" s="82"/>
      <c r="F515" s="82"/>
      <c r="G515" s="82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91"/>
      <c r="S515" s="91"/>
      <c r="T515" s="278"/>
      <c r="U515" s="85"/>
      <c r="V515" s="87"/>
      <c r="W515" s="87"/>
      <c r="X515" s="88"/>
      <c r="Y515" s="89"/>
      <c r="Z515" s="89"/>
      <c r="AA515" s="83"/>
      <c r="AB515" s="90"/>
      <c r="AC515" s="90"/>
      <c r="AD515" s="90"/>
      <c r="AE515" s="90"/>
      <c r="AF515" s="90"/>
      <c r="AG515" s="90"/>
      <c r="AH515" s="90"/>
      <c r="AI515" s="90"/>
      <c r="AJ515" s="90"/>
      <c r="AK515" s="91"/>
      <c r="AL515" s="91"/>
      <c r="AM515" s="91"/>
      <c r="AN515" s="85"/>
      <c r="AO515" s="87"/>
      <c r="AP515" s="87"/>
      <c r="AQ515" s="91"/>
      <c r="AR515" s="85"/>
      <c r="AS515" s="85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85"/>
      <c r="BH515" s="91"/>
      <c r="BI515" s="91"/>
    </row>
    <row r="516" spans="1:61" s="92" customFormat="1" ht="14.25">
      <c r="A516" s="78"/>
      <c r="B516" s="79"/>
      <c r="C516" s="80"/>
      <c r="D516" s="81"/>
      <c r="E516" s="82"/>
      <c r="F516" s="82"/>
      <c r="G516" s="82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91"/>
      <c r="S516" s="91"/>
      <c r="T516" s="278"/>
      <c r="U516" s="85"/>
      <c r="V516" s="87"/>
      <c r="W516" s="87"/>
      <c r="X516" s="88"/>
      <c r="Y516" s="89"/>
      <c r="Z516" s="89"/>
      <c r="AA516" s="83"/>
      <c r="AB516" s="90"/>
      <c r="AC516" s="90"/>
      <c r="AD516" s="90"/>
      <c r="AE516" s="90"/>
      <c r="AF516" s="90"/>
      <c r="AG516" s="90"/>
      <c r="AH516" s="90"/>
      <c r="AI516" s="90"/>
      <c r="AJ516" s="90"/>
      <c r="AK516" s="91"/>
      <c r="AL516" s="91"/>
      <c r="AM516" s="91"/>
      <c r="AN516" s="85"/>
      <c r="AO516" s="87"/>
      <c r="AP516" s="87"/>
      <c r="AQ516" s="91"/>
      <c r="AR516" s="85"/>
      <c r="AS516" s="85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85"/>
      <c r="BH516" s="91"/>
      <c r="BI516" s="91"/>
    </row>
    <row r="517" spans="1:61" s="92" customFormat="1" ht="14.25">
      <c r="A517" s="78"/>
      <c r="B517" s="79"/>
      <c r="C517" s="80"/>
      <c r="D517" s="81"/>
      <c r="E517" s="82"/>
      <c r="F517" s="82"/>
      <c r="G517" s="82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91"/>
      <c r="S517" s="91"/>
      <c r="T517" s="278"/>
      <c r="U517" s="85"/>
      <c r="V517" s="87"/>
      <c r="W517" s="87"/>
      <c r="X517" s="88"/>
      <c r="Y517" s="89"/>
      <c r="Z517" s="89"/>
      <c r="AA517" s="83"/>
      <c r="AB517" s="90"/>
      <c r="AC517" s="90"/>
      <c r="AD517" s="90"/>
      <c r="AE517" s="90"/>
      <c r="AF517" s="90"/>
      <c r="AG517" s="90"/>
      <c r="AH517" s="90"/>
      <c r="AI517" s="90"/>
      <c r="AJ517" s="90"/>
      <c r="AK517" s="91"/>
      <c r="AL517" s="91"/>
      <c r="AM517" s="91"/>
      <c r="AN517" s="85"/>
      <c r="AO517" s="87"/>
      <c r="AP517" s="87"/>
      <c r="AQ517" s="91"/>
      <c r="AR517" s="85"/>
      <c r="AS517" s="85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85"/>
      <c r="BH517" s="91"/>
      <c r="BI517" s="91"/>
    </row>
    <row r="518" spans="1:61" s="92" customFormat="1" ht="14.25">
      <c r="A518" s="78"/>
      <c r="B518" s="79"/>
      <c r="C518" s="80"/>
      <c r="D518" s="81"/>
      <c r="E518" s="82"/>
      <c r="F518" s="82"/>
      <c r="G518" s="82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91"/>
      <c r="S518" s="91"/>
      <c r="T518" s="278"/>
      <c r="U518" s="85"/>
      <c r="V518" s="87"/>
      <c r="W518" s="87"/>
      <c r="X518" s="88"/>
      <c r="Y518" s="89"/>
      <c r="Z518" s="89"/>
      <c r="AA518" s="83"/>
      <c r="AB518" s="90"/>
      <c r="AC518" s="90"/>
      <c r="AD518" s="90"/>
      <c r="AE518" s="90"/>
      <c r="AF518" s="90"/>
      <c r="AG518" s="90"/>
      <c r="AH518" s="90"/>
      <c r="AI518" s="90"/>
      <c r="AJ518" s="90"/>
      <c r="AK518" s="91"/>
      <c r="AL518" s="91"/>
      <c r="AM518" s="91"/>
      <c r="AN518" s="85"/>
      <c r="AO518" s="87"/>
      <c r="AP518" s="87"/>
      <c r="AQ518" s="91"/>
      <c r="AR518" s="85"/>
      <c r="AS518" s="85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85"/>
      <c r="BH518" s="91"/>
      <c r="BI518" s="91"/>
    </row>
    <row r="519" spans="1:61" s="92" customFormat="1" ht="14.25">
      <c r="A519" s="78"/>
      <c r="B519" s="79"/>
      <c r="C519" s="80"/>
      <c r="D519" s="81"/>
      <c r="E519" s="82"/>
      <c r="F519" s="82"/>
      <c r="G519" s="82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91"/>
      <c r="S519" s="91"/>
      <c r="T519" s="278"/>
      <c r="U519" s="85"/>
      <c r="V519" s="87"/>
      <c r="W519" s="87"/>
      <c r="X519" s="88"/>
      <c r="Y519" s="89"/>
      <c r="Z519" s="89"/>
      <c r="AA519" s="83"/>
      <c r="AB519" s="90"/>
      <c r="AC519" s="90"/>
      <c r="AD519" s="90"/>
      <c r="AE519" s="90"/>
      <c r="AF519" s="90"/>
      <c r="AG519" s="90"/>
      <c r="AH519" s="90"/>
      <c r="AI519" s="90"/>
      <c r="AJ519" s="90"/>
      <c r="AK519" s="91"/>
      <c r="AL519" s="91"/>
      <c r="AM519" s="91"/>
      <c r="AN519" s="85"/>
      <c r="AO519" s="87"/>
      <c r="AP519" s="87"/>
      <c r="AQ519" s="91"/>
      <c r="AR519" s="85"/>
      <c r="AS519" s="85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85"/>
      <c r="BH519" s="91"/>
      <c r="BI519" s="91"/>
    </row>
    <row r="520" spans="1:61" s="92" customFormat="1" ht="14.25">
      <c r="A520" s="78"/>
      <c r="B520" s="79"/>
      <c r="C520" s="80"/>
      <c r="D520" s="81"/>
      <c r="E520" s="82"/>
      <c r="F520" s="82"/>
      <c r="G520" s="82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91"/>
      <c r="S520" s="91"/>
      <c r="T520" s="278"/>
      <c r="U520" s="85"/>
      <c r="V520" s="87"/>
      <c r="W520" s="87"/>
      <c r="X520" s="88"/>
      <c r="Y520" s="89"/>
      <c r="Z520" s="89"/>
      <c r="AA520" s="83"/>
      <c r="AB520" s="90"/>
      <c r="AC520" s="90"/>
      <c r="AD520" s="90"/>
      <c r="AE520" s="90"/>
      <c r="AF520" s="90"/>
      <c r="AG520" s="90"/>
      <c r="AH520" s="90"/>
      <c r="AI520" s="90"/>
      <c r="AJ520" s="90"/>
      <c r="AK520" s="91"/>
      <c r="AL520" s="91"/>
      <c r="AM520" s="91"/>
      <c r="AN520" s="85"/>
      <c r="AO520" s="87"/>
      <c r="AP520" s="87"/>
      <c r="AQ520" s="91"/>
      <c r="AR520" s="85"/>
      <c r="AS520" s="85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85"/>
      <c r="BH520" s="91"/>
      <c r="BI520" s="91"/>
    </row>
    <row r="521" spans="1:61" s="92" customFormat="1" ht="14.25">
      <c r="A521" s="78"/>
      <c r="B521" s="79"/>
      <c r="C521" s="80"/>
      <c r="D521" s="81"/>
      <c r="E521" s="82"/>
      <c r="F521" s="82"/>
      <c r="G521" s="82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91"/>
      <c r="S521" s="91"/>
      <c r="T521" s="278"/>
      <c r="U521" s="85"/>
      <c r="V521" s="87"/>
      <c r="W521" s="87"/>
      <c r="X521" s="88"/>
      <c r="Y521" s="89"/>
      <c r="Z521" s="89"/>
      <c r="AA521" s="83"/>
      <c r="AB521" s="90"/>
      <c r="AC521" s="90"/>
      <c r="AD521" s="90"/>
      <c r="AE521" s="90"/>
      <c r="AF521" s="90"/>
      <c r="AG521" s="90"/>
      <c r="AH521" s="90"/>
      <c r="AI521" s="90"/>
      <c r="AJ521" s="90"/>
      <c r="AK521" s="91"/>
      <c r="AL521" s="91"/>
      <c r="AM521" s="91"/>
      <c r="AN521" s="85"/>
      <c r="AO521" s="87"/>
      <c r="AP521" s="87"/>
      <c r="AQ521" s="91"/>
      <c r="AR521" s="85"/>
      <c r="AS521" s="85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85"/>
      <c r="BH521" s="91"/>
      <c r="BI521" s="91"/>
    </row>
    <row r="522" spans="1:61" s="92" customFormat="1" ht="14.25">
      <c r="A522" s="78"/>
      <c r="B522" s="79"/>
      <c r="C522" s="80"/>
      <c r="D522" s="81"/>
      <c r="E522" s="82"/>
      <c r="F522" s="82"/>
      <c r="G522" s="82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91"/>
      <c r="S522" s="91"/>
      <c r="T522" s="278"/>
      <c r="U522" s="85"/>
      <c r="V522" s="87"/>
      <c r="W522" s="87"/>
      <c r="X522" s="88"/>
      <c r="Y522" s="89"/>
      <c r="Z522" s="89"/>
      <c r="AA522" s="83"/>
      <c r="AB522" s="90"/>
      <c r="AC522" s="90"/>
      <c r="AD522" s="90"/>
      <c r="AE522" s="90"/>
      <c r="AF522" s="90"/>
      <c r="AG522" s="90"/>
      <c r="AH522" s="90"/>
      <c r="AI522" s="90"/>
      <c r="AJ522" s="90"/>
      <c r="AK522" s="91"/>
      <c r="AL522" s="91"/>
      <c r="AM522" s="91"/>
      <c r="AN522" s="85"/>
      <c r="AO522" s="87"/>
      <c r="AP522" s="87"/>
      <c r="AQ522" s="91"/>
      <c r="AR522" s="85"/>
      <c r="AS522" s="85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85"/>
      <c r="BH522" s="91"/>
      <c r="BI522" s="91"/>
    </row>
    <row r="523" spans="1:61" s="92" customFormat="1" ht="14.25">
      <c r="A523" s="78"/>
      <c r="B523" s="79"/>
      <c r="C523" s="80"/>
      <c r="D523" s="81"/>
      <c r="E523" s="82"/>
      <c r="F523" s="82"/>
      <c r="G523" s="82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91"/>
      <c r="S523" s="91"/>
      <c r="T523" s="278"/>
      <c r="U523" s="85"/>
      <c r="V523" s="87"/>
      <c r="W523" s="87"/>
      <c r="X523" s="88"/>
      <c r="Y523" s="89"/>
      <c r="Z523" s="89"/>
      <c r="AA523" s="83"/>
      <c r="AB523" s="90"/>
      <c r="AC523" s="90"/>
      <c r="AD523" s="90"/>
      <c r="AE523" s="90"/>
      <c r="AF523" s="90"/>
      <c r="AG523" s="90"/>
      <c r="AH523" s="90"/>
      <c r="AI523" s="90"/>
      <c r="AJ523" s="90"/>
      <c r="AK523" s="91"/>
      <c r="AL523" s="91"/>
      <c r="AM523" s="91"/>
      <c r="AN523" s="85"/>
      <c r="AO523" s="87"/>
      <c r="AP523" s="87"/>
      <c r="AQ523" s="91"/>
      <c r="AR523" s="85"/>
      <c r="AS523" s="85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85"/>
      <c r="BH523" s="91"/>
      <c r="BI523" s="91"/>
    </row>
    <row r="524" spans="1:61" s="92" customFormat="1" ht="14.25">
      <c r="A524" s="78"/>
      <c r="B524" s="79"/>
      <c r="C524" s="80"/>
      <c r="D524" s="81"/>
      <c r="E524" s="82"/>
      <c r="F524" s="82"/>
      <c r="G524" s="82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91"/>
      <c r="S524" s="91"/>
      <c r="T524" s="278"/>
      <c r="U524" s="85"/>
      <c r="V524" s="87"/>
      <c r="W524" s="87"/>
      <c r="X524" s="88"/>
      <c r="Y524" s="89"/>
      <c r="Z524" s="89"/>
      <c r="AA524" s="83"/>
      <c r="AB524" s="90"/>
      <c r="AC524" s="90"/>
      <c r="AD524" s="90"/>
      <c r="AE524" s="90"/>
      <c r="AF524" s="90"/>
      <c r="AG524" s="90"/>
      <c r="AH524" s="90"/>
      <c r="AI524" s="90"/>
      <c r="AJ524" s="90"/>
      <c r="AK524" s="91"/>
      <c r="AL524" s="91"/>
      <c r="AM524" s="91"/>
      <c r="AN524" s="85"/>
      <c r="AO524" s="87"/>
      <c r="AP524" s="87"/>
      <c r="AQ524" s="91"/>
      <c r="AR524" s="85"/>
      <c r="AS524" s="85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85"/>
      <c r="BH524" s="91"/>
      <c r="BI524" s="91"/>
    </row>
    <row r="525" spans="1:61" s="92" customFormat="1" ht="14.25">
      <c r="A525" s="78"/>
      <c r="B525" s="79"/>
      <c r="C525" s="80"/>
      <c r="D525" s="81"/>
      <c r="E525" s="82"/>
      <c r="F525" s="82"/>
      <c r="G525" s="82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91"/>
      <c r="S525" s="91"/>
      <c r="T525" s="278"/>
      <c r="U525" s="85"/>
      <c r="V525" s="87"/>
      <c r="W525" s="87"/>
      <c r="X525" s="88"/>
      <c r="Y525" s="89"/>
      <c r="Z525" s="89"/>
      <c r="AA525" s="83"/>
      <c r="AB525" s="90"/>
      <c r="AC525" s="90"/>
      <c r="AD525" s="90"/>
      <c r="AE525" s="90"/>
      <c r="AF525" s="90"/>
      <c r="AG525" s="90"/>
      <c r="AH525" s="90"/>
      <c r="AI525" s="90"/>
      <c r="AJ525" s="90"/>
      <c r="AK525" s="91"/>
      <c r="AL525" s="91"/>
      <c r="AM525" s="91"/>
      <c r="AN525" s="85"/>
      <c r="AO525" s="87"/>
      <c r="AP525" s="87"/>
      <c r="AQ525" s="91"/>
      <c r="AR525" s="85"/>
      <c r="AS525" s="85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85"/>
      <c r="BH525" s="91"/>
      <c r="BI525" s="91"/>
    </row>
    <row r="526" spans="1:61" s="92" customFormat="1" ht="14.25">
      <c r="A526" s="78"/>
      <c r="B526" s="79"/>
      <c r="C526" s="80"/>
      <c r="D526" s="81"/>
      <c r="E526" s="82"/>
      <c r="F526" s="82"/>
      <c r="G526" s="82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91"/>
      <c r="S526" s="91"/>
      <c r="T526" s="278"/>
      <c r="U526" s="85"/>
      <c r="V526" s="87"/>
      <c r="W526" s="87"/>
      <c r="X526" s="88"/>
      <c r="Y526" s="89"/>
      <c r="Z526" s="89"/>
      <c r="AA526" s="83"/>
      <c r="AB526" s="90"/>
      <c r="AC526" s="90"/>
      <c r="AD526" s="90"/>
      <c r="AE526" s="90"/>
      <c r="AF526" s="90"/>
      <c r="AG526" s="90"/>
      <c r="AH526" s="90"/>
      <c r="AI526" s="90"/>
      <c r="AJ526" s="90"/>
      <c r="AK526" s="91"/>
      <c r="AL526" s="91"/>
      <c r="AM526" s="91"/>
      <c r="AN526" s="85"/>
      <c r="AO526" s="87"/>
      <c r="AP526" s="87"/>
      <c r="AQ526" s="91"/>
      <c r="AR526" s="85"/>
      <c r="AS526" s="85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85"/>
      <c r="BH526" s="91"/>
      <c r="BI526" s="91"/>
    </row>
  </sheetData>
  <sheetProtection/>
  <mergeCells count="9">
    <mergeCell ref="B5:W5"/>
    <mergeCell ref="AU381:AU385"/>
    <mergeCell ref="BJ7:BM7"/>
    <mergeCell ref="E7:W7"/>
    <mergeCell ref="X7:AP7"/>
    <mergeCell ref="AQ7:BI7"/>
    <mergeCell ref="B2:W3"/>
    <mergeCell ref="B4:W4"/>
    <mergeCell ref="B6:W6"/>
  </mergeCells>
  <conditionalFormatting sqref="C189:C190 C168:C175 C192:C196 C180:C186 C177:C178">
    <cfRule type="duplicateValues" priority="83" dxfId="174">
      <formula>AND(COUNTIF($C$189:$C$190,C168)+COUNTIF($C$168:$C$175,C168)+COUNTIF($C$192:$C$196,C168)+COUNTIF($C$180:$C$186,C168)+COUNTIF($C$177:$C$178,C168)&gt;1,NOT(ISBLANK(C168)))</formula>
    </cfRule>
  </conditionalFormatting>
  <conditionalFormatting sqref="C168:C175 C180:C186 C177:C178">
    <cfRule type="duplicateValues" priority="84" dxfId="174">
      <formula>AND(COUNTIF($C$168:$C$175,C168)+COUNTIF($C$180:$C$186,C168)+COUNTIF($C$177:$C$178,C168)&gt;1,NOT(ISBLANK(C168)))</formula>
    </cfRule>
  </conditionalFormatting>
  <conditionalFormatting sqref="C222">
    <cfRule type="duplicateValues" priority="81" dxfId="174">
      <formula>AND(COUNTIF($C$222:$C$222,C222)&gt;1,NOT(ISBLANK(C222)))</formula>
    </cfRule>
  </conditionalFormatting>
  <conditionalFormatting sqref="C222">
    <cfRule type="duplicateValues" priority="82" dxfId="174">
      <formula>AND(COUNTIF($C$222:$C$222,C222)&gt;1,NOT(ISBLANK(C222)))</formula>
    </cfRule>
  </conditionalFormatting>
  <conditionalFormatting sqref="C224">
    <cfRule type="duplicateValues" priority="80" dxfId="174">
      <formula>AND(COUNTIF($C$224:$C$224,C224)&gt;1,NOT(ISBLANK(C224)))</formula>
    </cfRule>
  </conditionalFormatting>
  <conditionalFormatting sqref="C244">
    <cfRule type="duplicateValues" priority="78" dxfId="174">
      <formula>AND(COUNTIF($C$244:$C$244,C244)&gt;1,NOT(ISBLANK(C244)))</formula>
    </cfRule>
  </conditionalFormatting>
  <conditionalFormatting sqref="C244">
    <cfRule type="duplicateValues" priority="79" dxfId="174">
      <formula>AND(COUNTIF($C$244:$C$244,C244)&gt;1,NOT(ISBLANK(C244)))</formula>
    </cfRule>
  </conditionalFormatting>
  <conditionalFormatting sqref="C247:C248">
    <cfRule type="duplicateValues" priority="76" dxfId="174">
      <formula>AND(COUNTIF($C$247:$C$248,C247)&gt;1,NOT(ISBLANK(C247)))</formula>
    </cfRule>
  </conditionalFormatting>
  <conditionalFormatting sqref="C247:C248">
    <cfRule type="duplicateValues" priority="77" dxfId="174">
      <formula>AND(COUNTIF($C$247:$C$248,C247)&gt;1,NOT(ISBLANK(C247)))</formula>
    </cfRule>
  </conditionalFormatting>
  <conditionalFormatting sqref="C261">
    <cfRule type="duplicateValues" priority="74" dxfId="174">
      <formula>AND(COUNTIF($C$261:$C$261,C261)&gt;1,NOT(ISBLANK(C261)))</formula>
    </cfRule>
  </conditionalFormatting>
  <conditionalFormatting sqref="C261">
    <cfRule type="duplicateValues" priority="75" dxfId="174">
      <formula>AND(COUNTIF($C$261:$C$261,C261)&gt;1,NOT(ISBLANK(C261)))</formula>
    </cfRule>
  </conditionalFormatting>
  <conditionalFormatting sqref="C262">
    <cfRule type="duplicateValues" priority="72" dxfId="174">
      <formula>AND(COUNTIF($C$262:$C$262,C262)&gt;1,NOT(ISBLANK(C262)))</formula>
    </cfRule>
  </conditionalFormatting>
  <conditionalFormatting sqref="C262">
    <cfRule type="duplicateValues" priority="73" dxfId="174">
      <formula>AND(COUNTIF($C$262:$C$262,C262)&gt;1,NOT(ISBLANK(C262)))</formula>
    </cfRule>
  </conditionalFormatting>
  <conditionalFormatting sqref="C295">
    <cfRule type="duplicateValues" priority="70" dxfId="174">
      <formula>AND(COUNTIF($C$295:$C$295,C295)&gt;1,NOT(ISBLANK(C295)))</formula>
    </cfRule>
  </conditionalFormatting>
  <conditionalFormatting sqref="C295">
    <cfRule type="duplicateValues" priority="71" dxfId="174">
      <formula>AND(COUNTIF($C$295:$C$295,C295)&gt;1,NOT(ISBLANK(C295)))</formula>
    </cfRule>
  </conditionalFormatting>
  <conditionalFormatting sqref="C297">
    <cfRule type="duplicateValues" priority="68" dxfId="174">
      <formula>AND(COUNTIF($C$297:$C$297,C297)&gt;1,NOT(ISBLANK(C297)))</formula>
    </cfRule>
  </conditionalFormatting>
  <conditionalFormatting sqref="C297">
    <cfRule type="duplicateValues" priority="69" dxfId="174">
      <formula>AND(COUNTIF($C$297:$C$297,C297)&gt;1,NOT(ISBLANK(C297)))</formula>
    </cfRule>
  </conditionalFormatting>
  <conditionalFormatting sqref="C319">
    <cfRule type="duplicateValues" priority="66" dxfId="174">
      <formula>AND(COUNTIF($C$319:$C$319,C319)&gt;1,NOT(ISBLANK(C319)))</formula>
    </cfRule>
  </conditionalFormatting>
  <conditionalFormatting sqref="C319">
    <cfRule type="duplicateValues" priority="67" dxfId="174">
      <formula>AND(COUNTIF($C$319:$C$319,C319)&gt;1,NOT(ISBLANK(C319)))</formula>
    </cfRule>
  </conditionalFormatting>
  <conditionalFormatting sqref="C368">
    <cfRule type="duplicateValues" priority="64" dxfId="174">
      <formula>AND(COUNTIF($C$368:$C$368,C368)&gt;1,NOT(ISBLANK(C368)))</formula>
    </cfRule>
  </conditionalFormatting>
  <conditionalFormatting sqref="C368">
    <cfRule type="duplicateValues" priority="65" dxfId="174">
      <formula>AND(COUNTIF($C$368:$C$368,C368)&gt;1,NOT(ISBLANK(C368)))</formula>
    </cfRule>
  </conditionalFormatting>
  <conditionalFormatting sqref="C141">
    <cfRule type="duplicateValues" priority="63" dxfId="174">
      <formula>AND(COUNTIF($C$141:$C$141,C141)&gt;1,NOT(ISBLANK(C141)))</formula>
    </cfRule>
  </conditionalFormatting>
  <conditionalFormatting sqref="C48">
    <cfRule type="duplicateValues" priority="62" dxfId="174">
      <formula>AND(COUNTIF($C$48:$C$48,C48)&gt;1,NOT(ISBLANK(C48)))</formula>
    </cfRule>
  </conditionalFormatting>
  <conditionalFormatting sqref="C232">
    <cfRule type="duplicateValues" priority="60" dxfId="174">
      <formula>AND(COUNTIF($C$232:$C$232,C232)&gt;1,NOT(ISBLANK(C232)))</formula>
    </cfRule>
  </conditionalFormatting>
  <conditionalFormatting sqref="C232">
    <cfRule type="duplicateValues" priority="61" dxfId="174">
      <formula>AND(COUNTIF($C$232:$C$232,C232)&gt;1,NOT(ISBLANK(C232)))</formula>
    </cfRule>
  </conditionalFormatting>
  <conditionalFormatting sqref="C233:C238">
    <cfRule type="duplicateValues" priority="58" dxfId="174">
      <formula>AND(COUNTIF($C$233:$C$238,C233)&gt;1,NOT(ISBLANK(C233)))</formula>
    </cfRule>
  </conditionalFormatting>
  <conditionalFormatting sqref="C233:C238">
    <cfRule type="duplicateValues" priority="59" dxfId="174">
      <formula>AND(COUNTIF($C$233:$C$238,C233)&gt;1,NOT(ISBLANK(C233)))</formula>
    </cfRule>
  </conditionalFormatting>
  <conditionalFormatting sqref="C199">
    <cfRule type="duplicateValues" priority="56" dxfId="174">
      <formula>AND(COUNTIF($C$199:$C$199,C199)&gt;1,NOT(ISBLANK(C199)))</formula>
    </cfRule>
  </conditionalFormatting>
  <conditionalFormatting sqref="C199">
    <cfRule type="duplicateValues" priority="57" dxfId="174">
      <formula>AND(COUNTIF($C$199:$C$199,C199)&gt;1,NOT(ISBLANK(C199)))</formula>
    </cfRule>
  </conditionalFormatting>
  <conditionalFormatting sqref="C268">
    <cfRule type="duplicateValues" priority="54" dxfId="174">
      <formula>AND(COUNTIF($C$268:$C$268,C268)&gt;1,NOT(ISBLANK(C268)))</formula>
    </cfRule>
  </conditionalFormatting>
  <conditionalFormatting sqref="C268">
    <cfRule type="duplicateValues" priority="55" dxfId="174">
      <formula>AND(COUNTIF($C$268:$C$268,C268)&gt;1,NOT(ISBLANK(C268)))</formula>
    </cfRule>
  </conditionalFormatting>
  <conditionalFormatting sqref="C269">
    <cfRule type="duplicateValues" priority="52" dxfId="174">
      <formula>AND(COUNTIF($C$269:$C$269,C269)&gt;1,NOT(ISBLANK(C269)))</formula>
    </cfRule>
  </conditionalFormatting>
  <conditionalFormatting sqref="C269">
    <cfRule type="duplicateValues" priority="53" dxfId="174">
      <formula>AND(COUNTIF($C$269:$C$269,C269)&gt;1,NOT(ISBLANK(C269)))</formula>
    </cfRule>
  </conditionalFormatting>
  <conditionalFormatting sqref="C270:C273">
    <cfRule type="duplicateValues" priority="51" dxfId="174">
      <formula>AND(COUNTIF($C$270:$C$273,C270)&gt;1,NOT(ISBLANK(C270)))</formula>
    </cfRule>
  </conditionalFormatting>
  <conditionalFormatting sqref="C291">
    <cfRule type="duplicateValues" priority="49" dxfId="174">
      <formula>AND(COUNTIF($C$291:$C$291,C291)&gt;1,NOT(ISBLANK(C291)))</formula>
    </cfRule>
  </conditionalFormatting>
  <conditionalFormatting sqref="C291">
    <cfRule type="duplicateValues" priority="50" dxfId="174">
      <formula>AND(COUNTIF($C$291:$C$291,C291)&gt;1,NOT(ISBLANK(C291)))</formula>
    </cfRule>
  </conditionalFormatting>
  <conditionalFormatting sqref="C329:C330">
    <cfRule type="duplicateValues" priority="47" dxfId="174">
      <formula>AND(COUNTIF($C$329:$C$330,C329)&gt;1,NOT(ISBLANK(C329)))</formula>
    </cfRule>
  </conditionalFormatting>
  <conditionalFormatting sqref="C329:C330">
    <cfRule type="duplicateValues" priority="48" dxfId="174">
      <formula>AND(COUNTIF($C$329:$C$330,C329)&gt;1,NOT(ISBLANK(C329)))</formula>
    </cfRule>
  </conditionalFormatting>
  <conditionalFormatting sqref="C353:C354">
    <cfRule type="duplicateValues" priority="85" dxfId="174">
      <formula>AND(COUNTIF($C$353:$C$354,C353)&gt;1,NOT(ISBLANK(C353)))</formula>
    </cfRule>
  </conditionalFormatting>
  <conditionalFormatting sqref="C350 C333:C334 C338">
    <cfRule type="duplicateValues" priority="86" dxfId="174">
      <formula>AND(COUNTIF($C$350:$C$350,C333)+COUNTIF($C$333:$C$334,C333)+COUNTIF($C$338:$C$338,C333)&gt;1,NOT(ISBLANK(C333)))</formula>
    </cfRule>
  </conditionalFormatting>
  <conditionalFormatting sqref="C90:C91">
    <cfRule type="duplicateValues" priority="87" dxfId="174">
      <formula>AND(COUNTIF($C$90:$C$91,C90)&gt;1,NOT(ISBLANK(C90)))</formula>
    </cfRule>
  </conditionalFormatting>
  <conditionalFormatting sqref="C149">
    <cfRule type="duplicateValues" priority="45" dxfId="174">
      <formula>AND(COUNTIF($C$149:$C$149,C149)&gt;1,NOT(ISBLANK(C149)))</formula>
    </cfRule>
  </conditionalFormatting>
  <conditionalFormatting sqref="C149">
    <cfRule type="duplicateValues" priority="46" dxfId="174">
      <formula>AND(COUNTIF($C$149:$C$149,C149)&gt;1,NOT(ISBLANK(C149)))</formula>
    </cfRule>
  </conditionalFormatting>
  <conditionalFormatting sqref="C187">
    <cfRule type="duplicateValues" priority="44" dxfId="174">
      <formula>AND(COUNTIF($C$187:$C$187,C187)&gt;1,NOT(ISBLANK(C187)))</formula>
    </cfRule>
  </conditionalFormatting>
  <conditionalFormatting sqref="C239">
    <cfRule type="duplicateValues" priority="43" dxfId="174">
      <formula>AND(COUNTIF($C$239:$C$239,C239)&gt;1,NOT(ISBLANK(C239)))</formula>
    </cfRule>
  </conditionalFormatting>
  <conditionalFormatting sqref="C240:C242">
    <cfRule type="duplicateValues" priority="42" dxfId="174">
      <formula>AND(COUNTIF($C$240:$C$242,C240)&gt;1,NOT(ISBLANK(C240)))</formula>
    </cfRule>
  </conditionalFormatting>
  <conditionalFormatting sqref="C188">
    <cfRule type="duplicateValues" priority="41" dxfId="174">
      <formula>AND(COUNTIF($C$188:$C$188,C188)&gt;1,NOT(ISBLANK(C188)))</formula>
    </cfRule>
  </conditionalFormatting>
  <conditionalFormatting sqref="C336">
    <cfRule type="duplicateValues" priority="40" dxfId="174">
      <formula>AND(COUNTIF($C$336:$C$336,C336)&gt;1,NOT(ISBLANK(C336)))</formula>
    </cfRule>
  </conditionalFormatting>
  <conditionalFormatting sqref="C152">
    <cfRule type="duplicateValues" priority="39" dxfId="174">
      <formula>AND(COUNTIF($C$152:$C$152,C152)&gt;1,NOT(ISBLANK(C152)))</formula>
    </cfRule>
  </conditionalFormatting>
  <conditionalFormatting sqref="C217">
    <cfRule type="duplicateValues" priority="38" dxfId="174">
      <formula>AND(COUNTIF($C$217:$C$217,C217)&gt;1,NOT(ISBLANK(C217)))</formula>
    </cfRule>
  </conditionalFormatting>
  <conditionalFormatting sqref="C325">
    <cfRule type="duplicateValues" priority="36" dxfId="174">
      <formula>AND(COUNTIF($C$325:$C$325,C325)&gt;1,NOT(ISBLANK(C325)))</formula>
    </cfRule>
  </conditionalFormatting>
  <conditionalFormatting sqref="C325">
    <cfRule type="duplicateValues" priority="37" dxfId="174">
      <formula>AND(COUNTIF($C$325:$C$325,C325)&gt;1,NOT(ISBLANK(C325)))</formula>
    </cfRule>
  </conditionalFormatting>
  <conditionalFormatting sqref="C264">
    <cfRule type="duplicateValues" priority="35" dxfId="174">
      <formula>AND(COUNTIF($C$264:$C$264,C264)&gt;1,NOT(ISBLANK(C264)))</formula>
    </cfRule>
  </conditionalFormatting>
  <conditionalFormatting sqref="C218">
    <cfRule type="duplicateValues" priority="34" dxfId="174">
      <formula>AND(COUNTIF($C$218:$C$218,C218)&gt;1,NOT(ISBLANK(C218)))</formula>
    </cfRule>
  </conditionalFormatting>
  <conditionalFormatting sqref="C191">
    <cfRule type="duplicateValues" priority="33" dxfId="174">
      <formula>AND(COUNTIF($C$191:$C$191,C191)&gt;1,NOT(ISBLANK(C191)))</formula>
    </cfRule>
  </conditionalFormatting>
  <conditionalFormatting sqref="C155">
    <cfRule type="duplicateValues" priority="32" dxfId="174">
      <formula>AND(COUNTIF($C$155:$C$155,C155)&gt;1,NOT(ISBLANK(C155)))</formula>
    </cfRule>
  </conditionalFormatting>
  <conditionalFormatting sqref="C322">
    <cfRule type="duplicateValues" priority="31" dxfId="174">
      <formula>AND(COUNTIF($C$322:$C$322,C322)&gt;1,NOT(ISBLANK(C322)))</formula>
    </cfRule>
  </conditionalFormatting>
  <conditionalFormatting sqref="C219">
    <cfRule type="duplicateValues" priority="30" dxfId="174">
      <formula>AND(COUNTIF($C$219:$C$219,C219)&gt;1,NOT(ISBLANK(C219)))</formula>
    </cfRule>
  </conditionalFormatting>
  <conditionalFormatting sqref="C221">
    <cfRule type="duplicateValues" priority="29" dxfId="174">
      <formula>AND(COUNTIF($C$221:$C$221,C221)&gt;1,NOT(ISBLANK(C221)))</formula>
    </cfRule>
  </conditionalFormatting>
  <conditionalFormatting sqref="C337">
    <cfRule type="duplicateValues" priority="28" dxfId="174">
      <formula>AND(COUNTIF($C$337:$C$337,C337)&gt;1,NOT(ISBLANK(C337)))</formula>
    </cfRule>
  </conditionalFormatting>
  <conditionalFormatting sqref="C287">
    <cfRule type="duplicateValues" priority="26" dxfId="174">
      <formula>AND(COUNTIF($C$287:$C$287,C287)&gt;1,NOT(ISBLANK(C287)))</formula>
    </cfRule>
  </conditionalFormatting>
  <conditionalFormatting sqref="C287">
    <cfRule type="duplicateValues" priority="27" dxfId="174">
      <formula>AND(COUNTIF($C$287:$C$287,C287)&gt;1,NOT(ISBLANK(C287)))</formula>
    </cfRule>
  </conditionalFormatting>
  <conditionalFormatting sqref="C279">
    <cfRule type="duplicateValues" priority="24" dxfId="174">
      <formula>AND(COUNTIF($C$279:$C$279,C279)&gt;1,NOT(ISBLANK(C279)))</formula>
    </cfRule>
  </conditionalFormatting>
  <conditionalFormatting sqref="C279">
    <cfRule type="duplicateValues" priority="25" dxfId="174">
      <formula>AND(COUNTIF($C$279:$C$279,C279)&gt;1,NOT(ISBLANK(C279)))</formula>
    </cfRule>
  </conditionalFormatting>
  <conditionalFormatting sqref="C274">
    <cfRule type="duplicateValues" priority="22" dxfId="174">
      <formula>AND(COUNTIF($C$274:$C$274,C274)&gt;1,NOT(ISBLANK(C274)))</formula>
    </cfRule>
  </conditionalFormatting>
  <conditionalFormatting sqref="C274">
    <cfRule type="duplicateValues" priority="23" dxfId="174">
      <formula>AND(COUNTIF($C$274:$C$274,C274)&gt;1,NOT(ISBLANK(C274)))</formula>
    </cfRule>
  </conditionalFormatting>
  <conditionalFormatting sqref="C200:C216 C220">
    <cfRule type="duplicateValues" priority="88" dxfId="174">
      <formula>AND(COUNTIF($C$200:$C$216,C200)+COUNTIF($C$220:$C$220,C200)&gt;1,NOT(ISBLANK(C200)))</formula>
    </cfRule>
  </conditionalFormatting>
  <conditionalFormatting sqref="C92:C97 C23:C27 C49:C86 C29:C47">
    <cfRule type="duplicateValues" priority="89" dxfId="174">
      <formula>AND(COUNTIF($C$92:$C$97,C23)+COUNTIF($C$23:$C$27,C23)+COUNTIF($C$49:$C$86,C23)+COUNTIF($C$29:$C$47,C23)&gt;1,NOT(ISBLANK(C23)))</formula>
    </cfRule>
  </conditionalFormatting>
  <conditionalFormatting sqref="C135:C140 C142:C148 C150:C151 C153:C154 C156:C161">
    <cfRule type="duplicateValues" priority="90" dxfId="174">
      <formula>AND(COUNTIF($C$135:$C$140,C135)+COUNTIF($C$142:$C$148,C135)+COUNTIF($C$150:$C$151,C135)+COUNTIF($C$153:$C$154,C135)+COUNTIF($C$156:$C$161,C135)&gt;1,NOT(ISBLANK(C135)))</formula>
    </cfRule>
  </conditionalFormatting>
  <conditionalFormatting sqref="C197">
    <cfRule type="duplicateValues" priority="91" dxfId="174">
      <formula>AND(COUNTIF($C$197:$C$197,C197)&gt;1,NOT(ISBLANK(C197)))</formula>
    </cfRule>
  </conditionalFormatting>
  <conditionalFormatting sqref="C224">
    <cfRule type="duplicateValues" priority="92" dxfId="174">
      <formula>AND(COUNTIF($C$224:$C$224,C224)&gt;1,NOT(ISBLANK(C224)))</formula>
    </cfRule>
  </conditionalFormatting>
  <conditionalFormatting sqref="C225:C230">
    <cfRule type="duplicateValues" priority="93" dxfId="174">
      <formula>AND(COUNTIF($C$225:$C$230,C225)&gt;1,NOT(ISBLANK(C225)))</formula>
    </cfRule>
  </conditionalFormatting>
  <conditionalFormatting sqref="C254:C255">
    <cfRule type="duplicateValues" priority="94" dxfId="174">
      <formula>AND(COUNTIF($C$254:$C$255,C254)&gt;1,NOT(ISBLANK(C254)))</formula>
    </cfRule>
  </conditionalFormatting>
  <conditionalFormatting sqref="C254:C255">
    <cfRule type="duplicateValues" priority="95" dxfId="174">
      <formula>AND(COUNTIF($C$254:$C$255,C254)&gt;1,NOT(ISBLANK(C254)))</formula>
    </cfRule>
  </conditionalFormatting>
  <conditionalFormatting sqref="C257:C258">
    <cfRule type="duplicateValues" priority="96" dxfId="174">
      <formula>AND(COUNTIF($C$257:$C$258,C257)&gt;1,NOT(ISBLANK(C257)))</formula>
    </cfRule>
  </conditionalFormatting>
  <conditionalFormatting sqref="C302 C265:C266 C263">
    <cfRule type="duplicateValues" priority="97" dxfId="174">
      <formula>AND(COUNTIF($C$302:$C$302,C263)+COUNTIF($C$265:$C$266,C263)+COUNTIF($C$263:$C$263,C263)&gt;1,NOT(ISBLANK(C263)))</formula>
    </cfRule>
  </conditionalFormatting>
  <conditionalFormatting sqref="C270:C273">
    <cfRule type="duplicateValues" priority="98" dxfId="174">
      <formula>AND(COUNTIF($C$270:$C$273,C270)&gt;1,NOT(ISBLANK(C270)))</formula>
    </cfRule>
  </conditionalFormatting>
  <conditionalFormatting sqref="C280 C277:C278">
    <cfRule type="duplicateValues" priority="99" dxfId="174">
      <formula>AND(COUNTIF($C$280:$C$280,C277)+COUNTIF($C$277:$C$278,C277)&gt;1,NOT(ISBLANK(C277)))</formula>
    </cfRule>
  </conditionalFormatting>
  <conditionalFormatting sqref="C284:C286 C277:C278 C288 C280">
    <cfRule type="duplicateValues" priority="100" dxfId="174">
      <formula>AND(COUNTIF($C$284:$C$286,C277)+COUNTIF($C$277:$C$278,C277)+COUNTIF($C$288:$C$288,C277)+COUNTIF($C$280:$C$280,C277)&gt;1,NOT(ISBLANK(C277)))</formula>
    </cfRule>
  </conditionalFormatting>
  <conditionalFormatting sqref="C290">
    <cfRule type="duplicateValues" priority="101" dxfId="174">
      <formula>AND(COUNTIF($C$290:$C$290,C290)&gt;1,NOT(ISBLANK(C290)))</formula>
    </cfRule>
  </conditionalFormatting>
  <conditionalFormatting sqref="C294">
    <cfRule type="duplicateValues" priority="102" dxfId="174">
      <formula>AND(COUNTIF($C$294:$C$294,C294)&gt;1,NOT(ISBLANK(C294)))</formula>
    </cfRule>
  </conditionalFormatting>
  <conditionalFormatting sqref="C308 C298">
    <cfRule type="duplicateValues" priority="103" dxfId="174">
      <formula>AND(COUNTIF($C$308:$C$308,C298)+COUNTIF($C$298:$C$298,C298)&gt;1,NOT(ISBLANK(C298)))</formula>
    </cfRule>
  </conditionalFormatting>
  <conditionalFormatting sqref="C315">
    <cfRule type="duplicateValues" priority="104" dxfId="174">
      <formula>AND(COUNTIF($C$315:$C$315,C315)&gt;1,NOT(ISBLANK(C315)))</formula>
    </cfRule>
  </conditionalFormatting>
  <conditionalFormatting sqref="C331 C326 C323">
    <cfRule type="duplicateValues" priority="105" dxfId="174">
      <formula>AND(COUNTIF($C$331:$C$331,C323)+COUNTIF($C$326:$C$326,C323)+COUNTIF($C$323:$C$323,C323)&gt;1,NOT(ISBLANK(C323)))</formula>
    </cfRule>
  </conditionalFormatting>
  <conditionalFormatting sqref="C345 C341:C342">
    <cfRule type="duplicateValues" priority="106" dxfId="174">
      <formula>AND(COUNTIF($C$345:$C$345,C341)+COUNTIF($C$341:$C$342,C341)&gt;1,NOT(ISBLANK(C341)))</formula>
    </cfRule>
  </conditionalFormatting>
  <conditionalFormatting sqref="C344">
    <cfRule type="duplicateValues" priority="107" dxfId="174">
      <formula>AND(COUNTIF($C$344:$C$344,C344)&gt;1,NOT(ISBLANK(C344)))</formula>
    </cfRule>
  </conditionalFormatting>
  <conditionalFormatting sqref="C348 C341:C342 C345">
    <cfRule type="duplicateValues" priority="108" dxfId="174">
      <formula>AND(COUNTIF($C$348:$C$348,C341)+COUNTIF($C$341:$C$342,C341)+COUNTIF($C$345:$C$345,C341)&gt;1,NOT(ISBLANK(C341)))</formula>
    </cfRule>
  </conditionalFormatting>
  <conditionalFormatting sqref="C355 C331 C326 C323">
    <cfRule type="duplicateValues" priority="109" dxfId="174">
      <formula>AND(COUNTIF($C$355:$C$355,C323)+COUNTIF($C$331:$C$331,C323)+COUNTIF($C$326:$C$326,C323)+COUNTIF($C$323:$C$323,C323)&gt;1,NOT(ISBLANK(C323)))</formula>
    </cfRule>
  </conditionalFormatting>
  <conditionalFormatting sqref="C358:C362">
    <cfRule type="duplicateValues" priority="110" dxfId="174">
      <formula>AND(COUNTIF($C$358:$C$362,C358)&gt;1,NOT(ISBLANK(C358)))</formula>
    </cfRule>
  </conditionalFormatting>
  <conditionalFormatting sqref="C365 C367">
    <cfRule type="duplicateValues" priority="111" dxfId="174">
      <formula>AND(COUNTIF($C$365:$C$365,C365)+COUNTIF($C$367:$C$367,C365)&gt;1,NOT(ISBLANK(C365)))</formula>
    </cfRule>
  </conditionalFormatting>
  <conditionalFormatting sqref="C370:C371">
    <cfRule type="duplicateValues" priority="112" dxfId="174">
      <formula>AND(COUNTIF($C$370:$C$371,C370)&gt;1,NOT(ISBLANK(C370)))</formula>
    </cfRule>
  </conditionalFormatting>
  <conditionalFormatting sqref="C373:C374">
    <cfRule type="duplicateValues" priority="113" dxfId="174">
      <formula>AND(COUNTIF($C$373:$C$374,C373)&gt;1,NOT(ISBLANK(C373)))</formula>
    </cfRule>
  </conditionalFormatting>
  <conditionalFormatting sqref="C377:C378">
    <cfRule type="duplicateValues" priority="114" dxfId="174">
      <formula>AND(COUNTIF($C$377:$C$378,C377)&gt;1,NOT(ISBLANK(C377)))</formula>
    </cfRule>
  </conditionalFormatting>
  <conditionalFormatting sqref="C314">
    <cfRule type="duplicateValues" priority="21" dxfId="174">
      <formula>AND(COUNTIF($C$314:$C$314,C314)&gt;1,NOT(ISBLANK(C314)))</formula>
    </cfRule>
  </conditionalFormatting>
  <conditionalFormatting sqref="C282">
    <cfRule type="duplicateValues" priority="19" dxfId="174">
      <formula>AND(COUNTIF($C$282:$C$282,C282)&gt;1,NOT(ISBLANK(C282)))</formula>
    </cfRule>
  </conditionalFormatting>
  <conditionalFormatting sqref="C282">
    <cfRule type="duplicateValues" priority="20" dxfId="174">
      <formula>AND(COUNTIF($C$282:$C$282,C282)&gt;1,NOT(ISBLANK(C282)))</formula>
    </cfRule>
  </conditionalFormatting>
  <conditionalFormatting sqref="C305">
    <cfRule type="duplicateValues" priority="17" dxfId="174">
      <formula>AND(COUNTIF($C$305:$C$305,C305)&gt;1,NOT(ISBLANK(C305)))</formula>
    </cfRule>
  </conditionalFormatting>
  <conditionalFormatting sqref="C305">
    <cfRule type="duplicateValues" priority="18" dxfId="174">
      <formula>AND(COUNTIF($C$305:$C$305,C305)&gt;1,NOT(ISBLANK(C305)))</formula>
    </cfRule>
  </conditionalFormatting>
  <conditionalFormatting sqref="C312">
    <cfRule type="duplicateValues" priority="16" dxfId="174">
      <formula>AND(COUNTIF($C$312:$C$312,C312)&gt;1,NOT(ISBLANK(C312)))</formula>
    </cfRule>
  </conditionalFormatting>
  <conditionalFormatting sqref="C313">
    <cfRule type="duplicateValues" priority="15" dxfId="174">
      <formula>AND(COUNTIF($C$313:$C$313,C313)&gt;1,NOT(ISBLANK(C313)))</formula>
    </cfRule>
  </conditionalFormatting>
  <conditionalFormatting sqref="C28">
    <cfRule type="duplicateValues" priority="14" dxfId="174">
      <formula>AND(COUNTIF($C$28:$C$28,C28)&gt;1,NOT(ISBLANK(C28)))</formula>
    </cfRule>
  </conditionalFormatting>
  <conditionalFormatting sqref="C15">
    <cfRule type="duplicateValues" priority="12" dxfId="174">
      <formula>AND(COUNTIF($C$15:$C$15,C15)&gt;1,NOT(ISBLANK(C15)))</formula>
    </cfRule>
  </conditionalFormatting>
  <conditionalFormatting sqref="C15">
    <cfRule type="duplicateValues" priority="13" dxfId="174">
      <formula>AND(COUNTIF($C$15:$C$15,C15)&gt;1,NOT(ISBLANK(C15)))</formula>
    </cfRule>
  </conditionalFormatting>
  <conditionalFormatting sqref="C318">
    <cfRule type="duplicateValues" priority="11" dxfId="174">
      <formula>AND(COUNTIF($C$318:$C$318,C318)&gt;1,NOT(ISBLANK(C318)))</formula>
    </cfRule>
  </conditionalFormatting>
  <conditionalFormatting sqref="C179">
    <cfRule type="duplicateValues" priority="10" dxfId="174">
      <formula>AND(COUNTIF($C$179:$C$179,C179)&gt;1,NOT(ISBLANK(C179)))</formula>
    </cfRule>
  </conditionalFormatting>
  <conditionalFormatting sqref="C88">
    <cfRule type="duplicateValues" priority="9" dxfId="174">
      <formula>AND(COUNTIF($C$88:$C$88,C88)&gt;1,NOT(ISBLANK(C88)))</formula>
    </cfRule>
  </conditionalFormatting>
  <conditionalFormatting sqref="C89">
    <cfRule type="duplicateValues" priority="7" dxfId="174">
      <formula>AND(COUNTIF($C$89:$C$89,C89)&gt;1,NOT(ISBLANK(C89)))</formula>
    </cfRule>
  </conditionalFormatting>
  <conditionalFormatting sqref="C89">
    <cfRule type="duplicateValues" priority="8" dxfId="174">
      <formula>AND(COUNTIF($C$89:$C$89,C89)&gt;1,NOT(ISBLANK(C89)))</formula>
    </cfRule>
  </conditionalFormatting>
  <conditionalFormatting sqref="C307">
    <cfRule type="duplicateValues" priority="5" dxfId="174">
      <formula>AND(COUNTIF($C$307:$C$307,C307)&gt;1,NOT(ISBLANK(C307)))</formula>
    </cfRule>
  </conditionalFormatting>
  <conditionalFormatting sqref="C307">
    <cfRule type="duplicateValues" priority="6" dxfId="174">
      <formula>AND(COUNTIF($C$307:$C$307,C307)&gt;1,NOT(ISBLANK(C307)))</formula>
    </cfRule>
  </conditionalFormatting>
  <conditionalFormatting sqref="C301 C303">
    <cfRule type="duplicateValues" priority="4" dxfId="174">
      <formula>AND(COUNTIF($C$301:$C$301,C301)+COUNTIF($C$303:$C$303,C301)&gt;1,NOT(ISBLANK(C301)))</formula>
    </cfRule>
  </conditionalFormatting>
  <conditionalFormatting sqref="C302 C263">
    <cfRule type="duplicateValues" priority="115" dxfId="174">
      <formula>AND(COUNTIF($C$302:$C$302,C263)+COUNTIF($C$263:$C$263,C263)&gt;1,NOT(ISBLANK(C263)))</formula>
    </cfRule>
  </conditionalFormatting>
  <conditionalFormatting sqref="C176">
    <cfRule type="duplicateValues" priority="3" dxfId="174">
      <formula>AND(COUNTIF($C$176:$C$176,C176)&gt;1,NOT(ISBLANK(C176)))</formula>
    </cfRule>
  </conditionalFormatting>
  <conditionalFormatting sqref="C366 C347">
    <cfRule type="duplicateValues" priority="116" dxfId="174">
      <formula>AND(COUNTIF($C$366:$C$366,C347)+COUNTIF($C$347:$C$347,C347)&gt;1,NOT(ISBLANK(C347)))</formula>
    </cfRule>
  </conditionalFormatting>
  <conditionalFormatting sqref="C243">
    <cfRule type="duplicateValues" priority="117" dxfId="174">
      <formula>AND(COUNTIF($C$243:$C$243,C243)&gt;1,NOT(ISBLANK(C243)))</formula>
    </cfRule>
  </conditionalFormatting>
  <conditionalFormatting sqref="C99:C116 C118:C133">
    <cfRule type="duplicateValues" priority="118" dxfId="174">
      <formula>AND(COUNTIF($C$99:$C$116,C99)+COUNTIF($C$118:$C$133,C99)&gt;1,NOT(ISBLANK(C99)))</formula>
    </cfRule>
  </conditionalFormatting>
  <conditionalFormatting sqref="C306">
    <cfRule type="duplicateValues" priority="1" dxfId="174">
      <formula>AND(COUNTIF($C$306:$C$306,C306)&gt;1,NOT(ISBLANK(C306)))</formula>
    </cfRule>
  </conditionalFormatting>
  <conditionalFormatting sqref="C306">
    <cfRule type="duplicateValues" priority="2" dxfId="174">
      <formula>AND(COUNTIF($C$306:$C$306,C306)&gt;1,NOT(ISBLANK(C306)))</formula>
    </cfRule>
  </conditionalFormatting>
  <conditionalFormatting sqref="C283">
    <cfRule type="duplicateValues" priority="119" dxfId="174">
      <formula>AND(COUNTIF($C$283:$C$283,C283)&gt;1,NOT(ISBLANK(C283)))</formula>
    </cfRule>
  </conditionalFormatting>
  <dataValidations count="2">
    <dataValidation type="list" allowBlank="1" showInputMessage="1" showErrorMessage="1" sqref="D311:D313">
      <formula1>ур_напр1</formula1>
    </dataValidation>
    <dataValidation type="list" allowBlank="1" showInputMessage="1" showErrorMessage="1" sqref="R199:S207 AK17:AL17 R23:S49 R317:S317 R277:S277 AK88:AL91 BD71:BE85 BD119:BE132 AK143:AL149 BD317:BE318 BD150:BE160 BD188:BE196 BD216:BE221 R232:S232 R254:S254 BD263:BE265 BD273:BE274 BD354:BE354 R358:S361 R373:S373 AK50:AL70 BD18:BE20 R99:S105 BD92:BE96 R135:S142 AK180:AL187 AK208:AL215 BD322:BE322 AK233:AL239 AK229:AL229 R268:S268 AK269:AL272 R301:S303 BD278:BE279 BD287:BE287 AK294:AL294 BD367:BE367 R12:S16 AK328:AL330 BD336:BE337 AK333:AL333 AK341:AL341 AK344:AL344 AK353:AL353 R370:S370 AK377:AL377 AK311:AL314 R224:S228 AK307:AL307 R353:S353 AK106:AL118 R164:S179 AK286:AL286 BD250:BE250 BD344:BE344 BD349:BE349 R377:S377 R311:S313 R365:S365 AK366:AL366 AK347:AL349 BD240:BE243 R261:S262 R282:S286 R305:S306">
      <formula1>способ</formula1>
    </dataValidation>
  </dataValidations>
  <printOptions/>
  <pageMargins left="0" right="0" top="0" bottom="0" header="0.31496062992125984" footer="0.31496062992125984"/>
  <pageSetup orientation="landscape" paperSize="9" scale="43" r:id="rId1"/>
  <colBreaks count="2" manualBreakCount="2">
    <brk id="23" max="65535" man="1"/>
    <brk id="4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51"/>
  <sheetViews>
    <sheetView view="pageBreakPreview" zoomScale="70" zoomScaleSheetLayoutView="70" zoomScalePageLayoutView="0" workbookViewId="0" topLeftCell="A89">
      <pane xSplit="4" topLeftCell="E1" activePane="topRight" state="frozen"/>
      <selection pane="topLeft" activeCell="A1" sqref="A1"/>
      <selection pane="topRight" activeCell="AP113" sqref="AP113"/>
    </sheetView>
  </sheetViews>
  <sheetFormatPr defaultColWidth="9.125" defaultRowHeight="12.75" outlineLevelCol="3"/>
  <cols>
    <col min="1" max="1" width="9.375" style="78" customWidth="1"/>
    <col min="2" max="2" width="35.75390625" style="79" customWidth="1"/>
    <col min="3" max="3" width="15.50390625" style="79" customWidth="1"/>
    <col min="4" max="4" width="8.875" style="81" customWidth="1"/>
    <col min="5" max="5" width="9.125" style="392" customWidth="1" outlineLevel="3"/>
    <col min="6" max="7" width="9.125" style="0" customWidth="1" outlineLevel="3"/>
    <col min="8" max="8" width="14.75390625" style="393" customWidth="1" outlineLevel="3"/>
    <col min="9" max="17" width="13.75390625" style="393" customWidth="1" outlineLevel="3"/>
    <col min="18" max="20" width="9.75390625" style="0" customWidth="1" outlineLevel="3"/>
    <col min="21" max="21" width="9.75390625" style="394" customWidth="1" outlineLevel="3"/>
    <col min="22" max="22" width="10.75390625" style="395" customWidth="1" outlineLevel="3"/>
    <col min="23" max="23" width="9.75390625" style="395" customWidth="1" outlineLevel="3"/>
    <col min="24" max="26" width="9.125" style="0" customWidth="1" outlineLevel="2"/>
    <col min="27" max="27" width="14.75390625" style="0" customWidth="1" outlineLevel="2"/>
    <col min="28" max="36" width="13.75390625" style="0" customWidth="1" outlineLevel="2"/>
    <col min="37" max="39" width="9.75390625" style="0" customWidth="1" outlineLevel="2"/>
    <col min="40" max="40" width="9.75390625" style="394" customWidth="1" outlineLevel="2"/>
    <col min="41" max="41" width="10.75390625" style="396" customWidth="1" outlineLevel="2"/>
    <col min="42" max="42" width="9.75390625" style="396" customWidth="1" outlineLevel="2"/>
    <col min="43" max="43" width="9.125" style="392" customWidth="1" outlineLevel="1"/>
    <col min="44" max="45" width="9.125" style="0" customWidth="1" outlineLevel="1"/>
    <col min="46" max="46" width="14.75390625" style="0" customWidth="1" outlineLevel="1"/>
    <col min="47" max="55" width="13.75390625" style="0" customWidth="1" outlineLevel="1"/>
    <col min="56" max="58" width="9.75390625" style="0" customWidth="1" outlineLevel="1"/>
    <col min="59" max="59" width="9.75390625" style="394" customWidth="1" outlineLevel="1"/>
    <col min="60" max="60" width="10.75390625" style="396" customWidth="1" outlineLevel="1"/>
    <col min="61" max="61" width="9.75390625" style="396" customWidth="1" outlineLevel="1"/>
    <col min="62" max="108" width="9.125" style="92" customWidth="1"/>
  </cols>
  <sheetData>
    <row r="1" spans="1:59" s="92" customFormat="1" ht="14.25">
      <c r="A1" s="78"/>
      <c r="B1" s="79"/>
      <c r="C1" s="79"/>
      <c r="D1" s="81"/>
      <c r="E1" s="297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9"/>
      <c r="S1" s="299"/>
      <c r="T1" s="299"/>
      <c r="U1" s="299"/>
      <c r="V1" s="300"/>
      <c r="W1" s="300"/>
      <c r="AN1" s="299"/>
      <c r="AQ1" s="297"/>
      <c r="BG1" s="299"/>
    </row>
    <row r="2" spans="1:61" s="92" customFormat="1" ht="19.5" customHeight="1">
      <c r="A2" s="78"/>
      <c r="B2" s="79"/>
      <c r="C2" s="79"/>
      <c r="D2" s="81"/>
      <c r="E2" s="93" t="s">
        <v>86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</row>
    <row r="3" spans="1:61" s="92" customFormat="1" ht="19.5" customHeight="1">
      <c r="A3" s="78"/>
      <c r="B3" s="79"/>
      <c r="C3" s="79"/>
      <c r="D3" s="81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</row>
    <row r="4" spans="1:51" s="92" customFormat="1" ht="18.75" customHeight="1">
      <c r="A4" s="78"/>
      <c r="B4" s="398" t="s">
        <v>806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</row>
    <row r="5" spans="1:51" s="92" customFormat="1" ht="18.75" customHeight="1">
      <c r="A5" s="78"/>
      <c r="B5" s="399" t="s">
        <v>60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</row>
    <row r="6" spans="1:59" s="92" customFormat="1" ht="14.25">
      <c r="A6" s="78"/>
      <c r="B6" s="79"/>
      <c r="C6" s="79"/>
      <c r="D6" s="81"/>
      <c r="E6" s="297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9"/>
      <c r="S6" s="299"/>
      <c r="T6" s="299"/>
      <c r="U6" s="299"/>
      <c r="V6" s="300"/>
      <c r="W6" s="300"/>
      <c r="AN6" s="299"/>
      <c r="AQ6" s="297"/>
      <c r="BG6" s="299"/>
    </row>
    <row r="7" spans="1:108" s="305" customFormat="1" ht="15.75" customHeight="1" thickBot="1">
      <c r="A7" s="78"/>
      <c r="B7" s="79"/>
      <c r="C7" s="79"/>
      <c r="D7" s="81"/>
      <c r="E7" s="301">
        <v>2016</v>
      </c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3">
        <v>2017</v>
      </c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4">
        <v>2018</v>
      </c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411" t="s">
        <v>814</v>
      </c>
      <c r="BK7" s="411"/>
      <c r="BL7" s="411"/>
      <c r="BM7" s="411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</row>
    <row r="8" spans="1:65" s="92" customFormat="1" ht="132">
      <c r="A8" s="100" t="s">
        <v>85</v>
      </c>
      <c r="B8" s="101" t="s">
        <v>87</v>
      </c>
      <c r="C8" s="102" t="s">
        <v>88</v>
      </c>
      <c r="D8" s="102" t="s">
        <v>89</v>
      </c>
      <c r="E8" s="306" t="s">
        <v>90</v>
      </c>
      <c r="F8" s="307" t="s">
        <v>91</v>
      </c>
      <c r="G8" s="307" t="s">
        <v>92</v>
      </c>
      <c r="H8" s="308" t="s">
        <v>93</v>
      </c>
      <c r="I8" s="309" t="s">
        <v>94</v>
      </c>
      <c r="J8" s="309" t="s">
        <v>95</v>
      </c>
      <c r="K8" s="309" t="s">
        <v>96</v>
      </c>
      <c r="L8" s="309" t="s">
        <v>97</v>
      </c>
      <c r="M8" s="309" t="s">
        <v>98</v>
      </c>
      <c r="N8" s="309" t="s">
        <v>99</v>
      </c>
      <c r="O8" s="309" t="s">
        <v>100</v>
      </c>
      <c r="P8" s="308" t="s">
        <v>101</v>
      </c>
      <c r="Q8" s="308" t="s">
        <v>102</v>
      </c>
      <c r="R8" s="307" t="s">
        <v>103</v>
      </c>
      <c r="S8" s="307" t="s">
        <v>104</v>
      </c>
      <c r="T8" s="307" t="s">
        <v>105</v>
      </c>
      <c r="U8" s="307" t="s">
        <v>106</v>
      </c>
      <c r="V8" s="310" t="s">
        <v>107</v>
      </c>
      <c r="W8" s="310" t="s">
        <v>108</v>
      </c>
      <c r="X8" s="311" t="s">
        <v>90</v>
      </c>
      <c r="Y8" s="307" t="s">
        <v>91</v>
      </c>
      <c r="Z8" s="307" t="s">
        <v>109</v>
      </c>
      <c r="AA8" s="307" t="s">
        <v>93</v>
      </c>
      <c r="AB8" s="312" t="s">
        <v>94</v>
      </c>
      <c r="AC8" s="307" t="s">
        <v>95</v>
      </c>
      <c r="AD8" s="307" t="s">
        <v>96</v>
      </c>
      <c r="AE8" s="312" t="s">
        <v>97</v>
      </c>
      <c r="AF8" s="312" t="s">
        <v>98</v>
      </c>
      <c r="AG8" s="312" t="s">
        <v>110</v>
      </c>
      <c r="AH8" s="312" t="s">
        <v>100</v>
      </c>
      <c r="AI8" s="307" t="s">
        <v>101</v>
      </c>
      <c r="AJ8" s="307" t="s">
        <v>102</v>
      </c>
      <c r="AK8" s="307" t="s">
        <v>111</v>
      </c>
      <c r="AL8" s="307" t="s">
        <v>104</v>
      </c>
      <c r="AM8" s="307" t="s">
        <v>105</v>
      </c>
      <c r="AN8" s="307" t="s">
        <v>106</v>
      </c>
      <c r="AO8" s="313" t="s">
        <v>107</v>
      </c>
      <c r="AP8" s="313" t="s">
        <v>108</v>
      </c>
      <c r="AQ8" s="306" t="s">
        <v>90</v>
      </c>
      <c r="AR8" s="307" t="s">
        <v>91</v>
      </c>
      <c r="AS8" s="307" t="s">
        <v>109</v>
      </c>
      <c r="AT8" s="307" t="s">
        <v>93</v>
      </c>
      <c r="AU8" s="312" t="s">
        <v>94</v>
      </c>
      <c r="AV8" s="314" t="s">
        <v>95</v>
      </c>
      <c r="AW8" s="314" t="s">
        <v>96</v>
      </c>
      <c r="AX8" s="312" t="s">
        <v>97</v>
      </c>
      <c r="AY8" s="312" t="s">
        <v>98</v>
      </c>
      <c r="AZ8" s="312" t="s">
        <v>110</v>
      </c>
      <c r="BA8" s="307" t="s">
        <v>100</v>
      </c>
      <c r="BB8" s="307" t="s">
        <v>101</v>
      </c>
      <c r="BC8" s="307" t="s">
        <v>102</v>
      </c>
      <c r="BD8" s="307" t="s">
        <v>111</v>
      </c>
      <c r="BE8" s="307" t="s">
        <v>104</v>
      </c>
      <c r="BF8" s="307" t="s">
        <v>105</v>
      </c>
      <c r="BG8" s="307" t="s">
        <v>106</v>
      </c>
      <c r="BH8" s="313" t="s">
        <v>107</v>
      </c>
      <c r="BI8" s="313" t="s">
        <v>108</v>
      </c>
      <c r="BJ8" s="412" t="s">
        <v>90</v>
      </c>
      <c r="BK8" s="413" t="s">
        <v>91</v>
      </c>
      <c r="BL8" s="413" t="s">
        <v>109</v>
      </c>
      <c r="BM8" s="413" t="s">
        <v>93</v>
      </c>
    </row>
    <row r="9" spans="1:65" s="118" customFormat="1" ht="14.25">
      <c r="A9" s="113">
        <v>1</v>
      </c>
      <c r="B9" s="114">
        <v>2</v>
      </c>
      <c r="C9" s="315"/>
      <c r="D9" s="113">
        <v>3</v>
      </c>
      <c r="E9" s="316">
        <v>4</v>
      </c>
      <c r="F9" s="114">
        <v>5</v>
      </c>
      <c r="G9" s="113">
        <v>6</v>
      </c>
      <c r="H9" s="113">
        <v>7</v>
      </c>
      <c r="I9" s="114">
        <v>8</v>
      </c>
      <c r="J9" s="113">
        <v>9</v>
      </c>
      <c r="K9" s="113">
        <v>10</v>
      </c>
      <c r="L9" s="114">
        <v>11</v>
      </c>
      <c r="M9" s="113">
        <v>12</v>
      </c>
      <c r="N9" s="113">
        <v>13</v>
      </c>
      <c r="O9" s="114">
        <v>14</v>
      </c>
      <c r="P9" s="113">
        <v>15</v>
      </c>
      <c r="Q9" s="113">
        <v>16</v>
      </c>
      <c r="R9" s="114">
        <v>17</v>
      </c>
      <c r="S9" s="113">
        <v>18</v>
      </c>
      <c r="T9" s="113">
        <v>19</v>
      </c>
      <c r="U9" s="114">
        <v>20</v>
      </c>
      <c r="V9" s="113">
        <v>21</v>
      </c>
      <c r="W9" s="113">
        <v>22</v>
      </c>
      <c r="X9" s="114">
        <v>23</v>
      </c>
      <c r="Y9" s="113">
        <v>24</v>
      </c>
      <c r="Z9" s="113">
        <v>25</v>
      </c>
      <c r="AA9" s="114">
        <v>26</v>
      </c>
      <c r="AB9" s="113">
        <v>27</v>
      </c>
      <c r="AC9" s="113">
        <v>28</v>
      </c>
      <c r="AD9" s="114">
        <v>29</v>
      </c>
      <c r="AE9" s="113">
        <v>30</v>
      </c>
      <c r="AF9" s="113">
        <v>31</v>
      </c>
      <c r="AG9" s="114">
        <v>32</v>
      </c>
      <c r="AH9" s="113">
        <v>33</v>
      </c>
      <c r="AI9" s="113">
        <v>34</v>
      </c>
      <c r="AJ9" s="114">
        <v>35</v>
      </c>
      <c r="AK9" s="113">
        <v>36</v>
      </c>
      <c r="AL9" s="113">
        <v>37</v>
      </c>
      <c r="AM9" s="114">
        <v>38</v>
      </c>
      <c r="AN9" s="113">
        <v>39</v>
      </c>
      <c r="AO9" s="113">
        <v>40</v>
      </c>
      <c r="AP9" s="114">
        <v>41</v>
      </c>
      <c r="AQ9" s="316">
        <v>42</v>
      </c>
      <c r="AR9" s="113">
        <v>43</v>
      </c>
      <c r="AS9" s="114">
        <v>44</v>
      </c>
      <c r="AT9" s="113">
        <v>45</v>
      </c>
      <c r="AU9" s="113">
        <v>46</v>
      </c>
      <c r="AV9" s="114">
        <v>47</v>
      </c>
      <c r="AW9" s="113">
        <v>48</v>
      </c>
      <c r="AX9" s="113">
        <v>49</v>
      </c>
      <c r="AY9" s="114">
        <v>50</v>
      </c>
      <c r="AZ9" s="113">
        <v>51</v>
      </c>
      <c r="BA9" s="113">
        <v>52</v>
      </c>
      <c r="BB9" s="114">
        <v>53</v>
      </c>
      <c r="BC9" s="113">
        <v>54</v>
      </c>
      <c r="BD9" s="113">
        <v>55</v>
      </c>
      <c r="BE9" s="114">
        <v>56</v>
      </c>
      <c r="BF9" s="113">
        <v>57</v>
      </c>
      <c r="BG9" s="113">
        <v>58</v>
      </c>
      <c r="BH9" s="114">
        <v>59</v>
      </c>
      <c r="BI9" s="113">
        <v>60</v>
      </c>
      <c r="BJ9" s="414"/>
      <c r="BK9" s="414"/>
      <c r="BL9" s="414"/>
      <c r="BM9" s="414"/>
    </row>
    <row r="10" spans="1:65" s="129" customFormat="1" ht="75.75" customHeight="1">
      <c r="A10" s="119" t="s">
        <v>112</v>
      </c>
      <c r="B10" s="317" t="s">
        <v>113</v>
      </c>
      <c r="C10" s="317"/>
      <c r="D10" s="122"/>
      <c r="E10" s="318">
        <f>E11+E14+E26+E29</f>
        <v>325</v>
      </c>
      <c r="F10" s="318">
        <f>F11+F14+F26+F29</f>
        <v>60</v>
      </c>
      <c r="G10" s="318">
        <f>G11+G14+G26+G29</f>
        <v>60</v>
      </c>
      <c r="H10" s="319">
        <f>H11+H14+H26+H29</f>
        <v>153.25672</v>
      </c>
      <c r="I10" s="319">
        <f aca="true" t="shared" si="0" ref="I10:Q10">I11+I14+I26+I29</f>
        <v>108.47824</v>
      </c>
      <c r="J10" s="319">
        <f t="shared" si="0"/>
        <v>16.977</v>
      </c>
      <c r="K10" s="319">
        <f t="shared" si="0"/>
        <v>76.27219</v>
      </c>
      <c r="L10" s="319">
        <f t="shared" si="0"/>
        <v>22.77294</v>
      </c>
      <c r="M10" s="319">
        <f t="shared" si="0"/>
        <v>0</v>
      </c>
      <c r="N10" s="319">
        <f t="shared" si="0"/>
        <v>0</v>
      </c>
      <c r="O10" s="319">
        <f t="shared" si="0"/>
        <v>9.73388</v>
      </c>
      <c r="P10" s="319">
        <f t="shared" si="0"/>
        <v>207.73999999999998</v>
      </c>
      <c r="Q10" s="319">
        <f t="shared" si="0"/>
        <v>33.72099</v>
      </c>
      <c r="R10" s="320"/>
      <c r="S10" s="320"/>
      <c r="T10" s="320"/>
      <c r="U10" s="321"/>
      <c r="V10" s="322">
        <f aca="true" t="shared" si="1" ref="V10:V73">H10/E10*1000</f>
        <v>471.55913846153845</v>
      </c>
      <c r="W10" s="322">
        <f aca="true" t="shared" si="2" ref="W10:W73">H10/F10</f>
        <v>2.554278666666667</v>
      </c>
      <c r="X10" s="318">
        <f>X11+X14+X26+X29</f>
        <v>468</v>
      </c>
      <c r="Y10" s="318">
        <f>Y11+Y14+Y26+Y29</f>
        <v>75</v>
      </c>
      <c r="Z10" s="318">
        <f>Z11+Z14+Z26+Z29</f>
        <v>75</v>
      </c>
      <c r="AA10" s="319">
        <f>AA11+AA14+AA26+AA29</f>
        <v>195.17349000000002</v>
      </c>
      <c r="AB10" s="319">
        <f aca="true" t="shared" si="3" ref="AB10:AJ10">AB11+AB14+AB26+AB29</f>
        <v>140.71173000000002</v>
      </c>
      <c r="AC10" s="319">
        <f t="shared" si="3"/>
        <v>41.89857</v>
      </c>
      <c r="AD10" s="319">
        <f t="shared" si="3"/>
        <v>83.09178</v>
      </c>
      <c r="AE10" s="319">
        <f t="shared" si="3"/>
        <v>26.72068</v>
      </c>
      <c r="AF10" s="319">
        <f t="shared" si="3"/>
        <v>0</v>
      </c>
      <c r="AG10" s="319">
        <f t="shared" si="3"/>
        <v>0</v>
      </c>
      <c r="AH10" s="319">
        <f t="shared" si="3"/>
        <v>12.279530000000001</v>
      </c>
      <c r="AI10" s="319">
        <f t="shared" si="3"/>
        <v>346.96000000000004</v>
      </c>
      <c r="AJ10" s="319">
        <f t="shared" si="3"/>
        <v>47.77335</v>
      </c>
      <c r="AK10" s="320"/>
      <c r="AL10" s="320"/>
      <c r="AM10" s="320"/>
      <c r="AN10" s="321"/>
      <c r="AO10" s="322">
        <f>AA10/X10*1000</f>
        <v>417.03737179487183</v>
      </c>
      <c r="AP10" s="322">
        <f>AA10/Y10</f>
        <v>2.6023132</v>
      </c>
      <c r="AQ10" s="323">
        <f>AQ11+AQ14+AQ26+AQ29</f>
        <v>142</v>
      </c>
      <c r="AR10" s="318">
        <f>AR11+AR14+AR26+AR29</f>
        <v>30</v>
      </c>
      <c r="AS10" s="318">
        <f>AS11+AS14+AS26+AS29</f>
        <v>30</v>
      </c>
      <c r="AT10" s="319">
        <f>AT11+AT14+AT26+AT29</f>
        <v>43.06473</v>
      </c>
      <c r="AU10" s="319">
        <f aca="true" t="shared" si="4" ref="AU10:BC10">AU11+AU14+AU26+AU29</f>
        <v>28.24321</v>
      </c>
      <c r="AV10" s="319">
        <f t="shared" si="4"/>
        <v>8.3158</v>
      </c>
      <c r="AW10" s="319">
        <f t="shared" si="4"/>
        <v>18.49807</v>
      </c>
      <c r="AX10" s="319">
        <f t="shared" si="4"/>
        <v>6.94263</v>
      </c>
      <c r="AY10" s="319">
        <f t="shared" si="4"/>
        <v>0</v>
      </c>
      <c r="AZ10" s="319">
        <f t="shared" si="4"/>
        <v>0</v>
      </c>
      <c r="BA10" s="319">
        <f t="shared" si="4"/>
        <v>3.5208399999999997</v>
      </c>
      <c r="BB10" s="319">
        <f t="shared" si="4"/>
        <v>115.24000000000001</v>
      </c>
      <c r="BC10" s="319">
        <f t="shared" si="4"/>
        <v>18.49807</v>
      </c>
      <c r="BD10" s="320"/>
      <c r="BE10" s="320"/>
      <c r="BF10" s="320"/>
      <c r="BG10" s="321"/>
      <c r="BH10" s="322">
        <f>AT10/AQ10*1000</f>
        <v>303.2727464788732</v>
      </c>
      <c r="BI10" s="322">
        <f>AT10/AR10</f>
        <v>1.4354909999999999</v>
      </c>
      <c r="BJ10" s="416">
        <f>E10+X10+AQ10</f>
        <v>935</v>
      </c>
      <c r="BK10" s="416">
        <f>F10+Y10+AR10</f>
        <v>165</v>
      </c>
      <c r="BL10" s="416">
        <f>G10+Z10+AS10</f>
        <v>165</v>
      </c>
      <c r="BM10" s="416">
        <f>H10+AA10+AT10</f>
        <v>391.49494</v>
      </c>
    </row>
    <row r="11" spans="1:65" s="129" customFormat="1" ht="24.75" customHeight="1">
      <c r="A11" s="130" t="s">
        <v>114</v>
      </c>
      <c r="B11" s="131" t="s">
        <v>115</v>
      </c>
      <c r="C11" s="131"/>
      <c r="D11" s="133">
        <v>0.4</v>
      </c>
      <c r="E11" s="324">
        <f aca="true" t="shared" si="5" ref="E11:Q11">SUM(E12:E13)</f>
        <v>0</v>
      </c>
      <c r="F11" s="325">
        <f t="shared" si="5"/>
        <v>0</v>
      </c>
      <c r="G11" s="325">
        <f t="shared" si="5"/>
        <v>0</v>
      </c>
      <c r="H11" s="326">
        <f t="shared" si="5"/>
        <v>0</v>
      </c>
      <c r="I11" s="326">
        <f t="shared" si="5"/>
        <v>0</v>
      </c>
      <c r="J11" s="326">
        <f t="shared" si="5"/>
        <v>0</v>
      </c>
      <c r="K11" s="326">
        <f t="shared" si="5"/>
        <v>0</v>
      </c>
      <c r="L11" s="326">
        <f t="shared" si="5"/>
        <v>0</v>
      </c>
      <c r="M11" s="326">
        <f t="shared" si="5"/>
        <v>0</v>
      </c>
      <c r="N11" s="326">
        <f t="shared" si="5"/>
        <v>0</v>
      </c>
      <c r="O11" s="326">
        <f t="shared" si="5"/>
        <v>0</v>
      </c>
      <c r="P11" s="326">
        <f t="shared" si="5"/>
        <v>0</v>
      </c>
      <c r="Q11" s="326">
        <f t="shared" si="5"/>
        <v>0</v>
      </c>
      <c r="R11" s="327"/>
      <c r="S11" s="327"/>
      <c r="T11" s="327"/>
      <c r="U11" s="328"/>
      <c r="V11" s="329" t="e">
        <f t="shared" si="1"/>
        <v>#DIV/0!</v>
      </c>
      <c r="W11" s="329" t="e">
        <f t="shared" si="2"/>
        <v>#DIV/0!</v>
      </c>
      <c r="X11" s="325">
        <f aca="true" t="shared" si="6" ref="X11:AJ11">SUM(X12:X13)</f>
        <v>0</v>
      </c>
      <c r="Y11" s="325">
        <f t="shared" si="6"/>
        <v>0</v>
      </c>
      <c r="Z11" s="325">
        <f t="shared" si="6"/>
        <v>0</v>
      </c>
      <c r="AA11" s="326">
        <f t="shared" si="6"/>
        <v>0</v>
      </c>
      <c r="AB11" s="326">
        <f t="shared" si="6"/>
        <v>0</v>
      </c>
      <c r="AC11" s="326">
        <f t="shared" si="6"/>
        <v>0</v>
      </c>
      <c r="AD11" s="326">
        <f t="shared" si="6"/>
        <v>0</v>
      </c>
      <c r="AE11" s="326">
        <f t="shared" si="6"/>
        <v>0</v>
      </c>
      <c r="AF11" s="326">
        <f t="shared" si="6"/>
        <v>0</v>
      </c>
      <c r="AG11" s="326">
        <f t="shared" si="6"/>
        <v>0</v>
      </c>
      <c r="AH11" s="326">
        <f t="shared" si="6"/>
        <v>0</v>
      </c>
      <c r="AI11" s="326">
        <f t="shared" si="6"/>
        <v>0</v>
      </c>
      <c r="AJ11" s="326">
        <f t="shared" si="6"/>
        <v>0</v>
      </c>
      <c r="AK11" s="327"/>
      <c r="AL11" s="327"/>
      <c r="AM11" s="327"/>
      <c r="AN11" s="328"/>
      <c r="AO11" s="329" t="e">
        <f>AA11/X11*1000</f>
        <v>#DIV/0!</v>
      </c>
      <c r="AP11" s="329" t="e">
        <f>AA11/Y11</f>
        <v>#DIV/0!</v>
      </c>
      <c r="AQ11" s="324">
        <f aca="true" t="shared" si="7" ref="AQ11:BC11">SUM(AQ12:AQ13)</f>
        <v>0</v>
      </c>
      <c r="AR11" s="325">
        <f t="shared" si="7"/>
        <v>0</v>
      </c>
      <c r="AS11" s="325">
        <f t="shared" si="7"/>
        <v>0</v>
      </c>
      <c r="AT11" s="326">
        <f t="shared" si="7"/>
        <v>0</v>
      </c>
      <c r="AU11" s="326">
        <f t="shared" si="7"/>
        <v>0</v>
      </c>
      <c r="AV11" s="326">
        <f t="shared" si="7"/>
        <v>0</v>
      </c>
      <c r="AW11" s="326">
        <f t="shared" si="7"/>
        <v>0</v>
      </c>
      <c r="AX11" s="326">
        <f t="shared" si="7"/>
        <v>0</v>
      </c>
      <c r="AY11" s="326">
        <f t="shared" si="7"/>
        <v>0</v>
      </c>
      <c r="AZ11" s="326">
        <f t="shared" si="7"/>
        <v>0</v>
      </c>
      <c r="BA11" s="326">
        <f t="shared" si="7"/>
        <v>0</v>
      </c>
      <c r="BB11" s="326">
        <f t="shared" si="7"/>
        <v>0</v>
      </c>
      <c r="BC11" s="326">
        <f t="shared" si="7"/>
        <v>0</v>
      </c>
      <c r="BD11" s="327"/>
      <c r="BE11" s="327"/>
      <c r="BF11" s="327"/>
      <c r="BG11" s="328"/>
      <c r="BH11" s="329" t="e">
        <f>AT11/AQ11*1000</f>
        <v>#DIV/0!</v>
      </c>
      <c r="BI11" s="329" t="e">
        <f>AT11/AR11</f>
        <v>#DIV/0!</v>
      </c>
      <c r="BJ11" s="415">
        <f aca="true" t="shared" si="8" ref="BJ11:BJ74">E11+X11+AQ11</f>
        <v>0</v>
      </c>
      <c r="BK11" s="415">
        <f aca="true" t="shared" si="9" ref="BK11:BK74">F11+Y11+AR11</f>
        <v>0</v>
      </c>
      <c r="BL11" s="415">
        <f aca="true" t="shared" si="10" ref="BL11:BL74">G11+Z11+AS11</f>
        <v>0</v>
      </c>
      <c r="BM11" s="415">
        <f aca="true" t="shared" si="11" ref="BM11:BM74">H11+AA11+AT11</f>
        <v>0</v>
      </c>
    </row>
    <row r="12" spans="1:65" s="129" customFormat="1" ht="14.25">
      <c r="A12" s="141" t="s">
        <v>116</v>
      </c>
      <c r="B12" s="170"/>
      <c r="C12" s="170"/>
      <c r="D12" s="144"/>
      <c r="E12" s="330"/>
      <c r="F12" s="331"/>
      <c r="G12" s="332"/>
      <c r="H12" s="333"/>
      <c r="I12" s="334"/>
      <c r="J12" s="334"/>
      <c r="K12" s="334"/>
      <c r="L12" s="334"/>
      <c r="M12" s="334"/>
      <c r="N12" s="334"/>
      <c r="O12" s="334"/>
      <c r="P12" s="334"/>
      <c r="Q12" s="334"/>
      <c r="R12" s="332"/>
      <c r="S12" s="332"/>
      <c r="T12" s="332"/>
      <c r="U12" s="335"/>
      <c r="V12" s="334" t="e">
        <v>#DIV/0!</v>
      </c>
      <c r="W12" s="334" t="e">
        <v>#DIV/0!</v>
      </c>
      <c r="X12" s="336"/>
      <c r="Y12" s="331"/>
      <c r="Z12" s="332"/>
      <c r="AA12" s="333"/>
      <c r="AB12" s="334"/>
      <c r="AC12" s="334"/>
      <c r="AD12" s="334"/>
      <c r="AE12" s="334"/>
      <c r="AF12" s="334"/>
      <c r="AG12" s="334"/>
      <c r="AH12" s="334"/>
      <c r="AI12" s="334"/>
      <c r="AJ12" s="334"/>
      <c r="AK12" s="332"/>
      <c r="AL12" s="332"/>
      <c r="AM12" s="332"/>
      <c r="AN12" s="335"/>
      <c r="AO12" s="334"/>
      <c r="AP12" s="334"/>
      <c r="AQ12" s="330"/>
      <c r="AR12" s="331"/>
      <c r="AS12" s="332"/>
      <c r="AT12" s="333"/>
      <c r="AU12" s="334"/>
      <c r="AV12" s="334"/>
      <c r="AW12" s="334"/>
      <c r="AX12" s="334"/>
      <c r="AY12" s="334"/>
      <c r="AZ12" s="334"/>
      <c r="BA12" s="334"/>
      <c r="BB12" s="334"/>
      <c r="BC12" s="334"/>
      <c r="BD12" s="332"/>
      <c r="BE12" s="332"/>
      <c r="BF12" s="332"/>
      <c r="BG12" s="335"/>
      <c r="BH12" s="334"/>
      <c r="BI12" s="334"/>
      <c r="BJ12" s="415">
        <f t="shared" si="8"/>
        <v>0</v>
      </c>
      <c r="BK12" s="415">
        <f t="shared" si="9"/>
        <v>0</v>
      </c>
      <c r="BL12" s="415">
        <f t="shared" si="10"/>
        <v>0</v>
      </c>
      <c r="BM12" s="415">
        <f t="shared" si="11"/>
        <v>0</v>
      </c>
    </row>
    <row r="13" spans="1:65" s="129" customFormat="1" ht="14.25">
      <c r="A13" s="141"/>
      <c r="B13" s="170"/>
      <c r="C13" s="170"/>
      <c r="D13" s="144"/>
      <c r="E13" s="330"/>
      <c r="F13" s="331"/>
      <c r="G13" s="332"/>
      <c r="H13" s="333"/>
      <c r="I13" s="334"/>
      <c r="J13" s="334"/>
      <c r="K13" s="334"/>
      <c r="L13" s="334"/>
      <c r="M13" s="334"/>
      <c r="N13" s="334"/>
      <c r="O13" s="334"/>
      <c r="P13" s="334"/>
      <c r="Q13" s="334"/>
      <c r="R13" s="332"/>
      <c r="S13" s="332"/>
      <c r="T13" s="332"/>
      <c r="U13" s="335"/>
      <c r="V13" s="334" t="e">
        <v>#DIV/0!</v>
      </c>
      <c r="W13" s="334" t="e">
        <v>#DIV/0!</v>
      </c>
      <c r="X13" s="336"/>
      <c r="Y13" s="331"/>
      <c r="Z13" s="332"/>
      <c r="AA13" s="333"/>
      <c r="AB13" s="334"/>
      <c r="AC13" s="334"/>
      <c r="AD13" s="334"/>
      <c r="AE13" s="334"/>
      <c r="AF13" s="334"/>
      <c r="AG13" s="334"/>
      <c r="AH13" s="334"/>
      <c r="AI13" s="334"/>
      <c r="AJ13" s="334"/>
      <c r="AK13" s="332"/>
      <c r="AL13" s="332"/>
      <c r="AM13" s="332"/>
      <c r="AN13" s="335"/>
      <c r="AO13" s="334"/>
      <c r="AP13" s="334"/>
      <c r="AQ13" s="330"/>
      <c r="AR13" s="331"/>
      <c r="AS13" s="332"/>
      <c r="AT13" s="333"/>
      <c r="AU13" s="334"/>
      <c r="AV13" s="334"/>
      <c r="AW13" s="334"/>
      <c r="AX13" s="334"/>
      <c r="AY13" s="334"/>
      <c r="AZ13" s="334"/>
      <c r="BA13" s="334"/>
      <c r="BB13" s="334"/>
      <c r="BC13" s="334"/>
      <c r="BD13" s="332"/>
      <c r="BE13" s="332"/>
      <c r="BF13" s="332"/>
      <c r="BG13" s="335"/>
      <c r="BH13" s="334"/>
      <c r="BI13" s="334"/>
      <c r="BJ13" s="415">
        <f t="shared" si="8"/>
        <v>0</v>
      </c>
      <c r="BK13" s="415">
        <f t="shared" si="9"/>
        <v>0</v>
      </c>
      <c r="BL13" s="415">
        <f t="shared" si="10"/>
        <v>0</v>
      </c>
      <c r="BM13" s="415">
        <f t="shared" si="11"/>
        <v>0</v>
      </c>
    </row>
    <row r="14" spans="1:65" s="129" customFormat="1" ht="24.75" customHeight="1">
      <c r="A14" s="130" t="s">
        <v>144</v>
      </c>
      <c r="B14" s="131" t="s">
        <v>145</v>
      </c>
      <c r="C14" s="131"/>
      <c r="D14" s="133">
        <v>0.4</v>
      </c>
      <c r="E14" s="324">
        <f aca="true" t="shared" si="12" ref="E14:Q14">SUM(E15:E25)</f>
        <v>325</v>
      </c>
      <c r="F14" s="325">
        <f t="shared" si="12"/>
        <v>60</v>
      </c>
      <c r="G14" s="325">
        <f t="shared" si="12"/>
        <v>60</v>
      </c>
      <c r="H14" s="326">
        <f t="shared" si="12"/>
        <v>153.25672</v>
      </c>
      <c r="I14" s="326">
        <f t="shared" si="12"/>
        <v>108.47824</v>
      </c>
      <c r="J14" s="326">
        <f t="shared" si="12"/>
        <v>16.977</v>
      </c>
      <c r="K14" s="326">
        <f t="shared" si="12"/>
        <v>76.27219</v>
      </c>
      <c r="L14" s="326">
        <f t="shared" si="12"/>
        <v>22.77294</v>
      </c>
      <c r="M14" s="326">
        <f t="shared" si="12"/>
        <v>0</v>
      </c>
      <c r="N14" s="326">
        <f t="shared" si="12"/>
        <v>0</v>
      </c>
      <c r="O14" s="326">
        <f t="shared" si="12"/>
        <v>9.73388</v>
      </c>
      <c r="P14" s="326">
        <f t="shared" si="12"/>
        <v>207.73999999999998</v>
      </c>
      <c r="Q14" s="326">
        <f t="shared" si="12"/>
        <v>33.72099</v>
      </c>
      <c r="R14" s="327"/>
      <c r="S14" s="327"/>
      <c r="T14" s="327"/>
      <c r="U14" s="328"/>
      <c r="V14" s="329">
        <f t="shared" si="1"/>
        <v>471.55913846153845</v>
      </c>
      <c r="W14" s="329">
        <f t="shared" si="2"/>
        <v>2.554278666666667</v>
      </c>
      <c r="X14" s="325">
        <f aca="true" t="shared" si="13" ref="X14:AJ14">SUM(X15:X25)</f>
        <v>248</v>
      </c>
      <c r="Y14" s="325">
        <f t="shared" si="13"/>
        <v>60</v>
      </c>
      <c r="Z14" s="325">
        <f t="shared" si="13"/>
        <v>60</v>
      </c>
      <c r="AA14" s="326">
        <f t="shared" si="13"/>
        <v>123.00229</v>
      </c>
      <c r="AB14" s="326">
        <f t="shared" si="13"/>
        <v>86.83205000000001</v>
      </c>
      <c r="AC14" s="326">
        <f t="shared" si="13"/>
        <v>12.88497</v>
      </c>
      <c r="AD14" s="326">
        <f t="shared" si="13"/>
        <v>64.4252</v>
      </c>
      <c r="AE14" s="326">
        <f t="shared" si="13"/>
        <v>18.014120000000002</v>
      </c>
      <c r="AF14" s="326">
        <f t="shared" si="13"/>
        <v>0</v>
      </c>
      <c r="AG14" s="326">
        <f t="shared" si="13"/>
        <v>0</v>
      </c>
      <c r="AH14" s="326">
        <f t="shared" si="13"/>
        <v>7.98418</v>
      </c>
      <c r="AI14" s="326">
        <f t="shared" si="13"/>
        <v>215.08</v>
      </c>
      <c r="AJ14" s="326">
        <f t="shared" si="13"/>
        <v>38.44006</v>
      </c>
      <c r="AK14" s="327"/>
      <c r="AL14" s="327"/>
      <c r="AM14" s="327"/>
      <c r="AN14" s="328"/>
      <c r="AO14" s="329">
        <f aca="true" t="shared" si="14" ref="AO14:AO77">AA14/X14*1000</f>
        <v>495.9769758064516</v>
      </c>
      <c r="AP14" s="329">
        <f aca="true" t="shared" si="15" ref="AP14:AP77">AA14/Y14</f>
        <v>2.0500381666666665</v>
      </c>
      <c r="AQ14" s="324">
        <f aca="true" t="shared" si="16" ref="AQ14:BC14">SUM(AQ15:AQ25)</f>
        <v>142</v>
      </c>
      <c r="AR14" s="325">
        <f t="shared" si="16"/>
        <v>30</v>
      </c>
      <c r="AS14" s="325">
        <f t="shared" si="16"/>
        <v>30</v>
      </c>
      <c r="AT14" s="326">
        <f t="shared" si="16"/>
        <v>43.06473</v>
      </c>
      <c r="AU14" s="326">
        <f t="shared" si="16"/>
        <v>28.24321</v>
      </c>
      <c r="AV14" s="326">
        <f t="shared" si="16"/>
        <v>8.3158</v>
      </c>
      <c r="AW14" s="326">
        <f t="shared" si="16"/>
        <v>18.49807</v>
      </c>
      <c r="AX14" s="326">
        <f t="shared" si="16"/>
        <v>6.94263</v>
      </c>
      <c r="AY14" s="326">
        <f t="shared" si="16"/>
        <v>0</v>
      </c>
      <c r="AZ14" s="326">
        <f t="shared" si="16"/>
        <v>0</v>
      </c>
      <c r="BA14" s="326">
        <f t="shared" si="16"/>
        <v>3.5208399999999997</v>
      </c>
      <c r="BB14" s="326">
        <f t="shared" si="16"/>
        <v>115.24000000000001</v>
      </c>
      <c r="BC14" s="326">
        <f t="shared" si="16"/>
        <v>18.49807</v>
      </c>
      <c r="BD14" s="327"/>
      <c r="BE14" s="327"/>
      <c r="BF14" s="327"/>
      <c r="BG14" s="328"/>
      <c r="BH14" s="329">
        <f aca="true" t="shared" si="17" ref="BH14:BH77">AT14/AQ14*1000</f>
        <v>303.2727464788732</v>
      </c>
      <c r="BI14" s="329">
        <f aca="true" t="shared" si="18" ref="BI14:BI77">AT14/AR14</f>
        <v>1.4354909999999999</v>
      </c>
      <c r="BJ14" s="415">
        <f t="shared" si="8"/>
        <v>715</v>
      </c>
      <c r="BK14" s="415">
        <f t="shared" si="9"/>
        <v>150</v>
      </c>
      <c r="BL14" s="415">
        <f t="shared" si="10"/>
        <v>150</v>
      </c>
      <c r="BM14" s="415">
        <f t="shared" si="11"/>
        <v>319.32374</v>
      </c>
    </row>
    <row r="15" spans="1:65" s="129" customFormat="1" ht="18.75">
      <c r="A15" s="141" t="s">
        <v>146</v>
      </c>
      <c r="B15" s="337" t="s">
        <v>150</v>
      </c>
      <c r="C15" s="338" t="s">
        <v>151</v>
      </c>
      <c r="D15" s="144">
        <v>0.4</v>
      </c>
      <c r="E15" s="330">
        <v>50</v>
      </c>
      <c r="F15" s="331">
        <v>15</v>
      </c>
      <c r="G15" s="335">
        <v>15</v>
      </c>
      <c r="H15" s="339">
        <v>18.49685</v>
      </c>
      <c r="I15" s="334">
        <v>13.08905</v>
      </c>
      <c r="J15" s="334">
        <v>2.479</v>
      </c>
      <c r="K15" s="334">
        <v>7.52034</v>
      </c>
      <c r="L15" s="334">
        <v>2.73245</v>
      </c>
      <c r="M15" s="334">
        <v>0</v>
      </c>
      <c r="N15" s="334">
        <v>0</v>
      </c>
      <c r="O15" s="334">
        <v>1.18847</v>
      </c>
      <c r="P15" s="334">
        <v>49.58</v>
      </c>
      <c r="Q15" s="334">
        <v>7.52034</v>
      </c>
      <c r="R15" s="150" t="s">
        <v>119</v>
      </c>
      <c r="S15" s="151" t="s">
        <v>120</v>
      </c>
      <c r="T15" s="332"/>
      <c r="U15" s="335"/>
      <c r="V15" s="334">
        <f t="shared" si="1"/>
        <v>369.93699999999995</v>
      </c>
      <c r="W15" s="334">
        <f t="shared" si="2"/>
        <v>1.2331233333333331</v>
      </c>
      <c r="X15" s="336"/>
      <c r="Y15" s="331"/>
      <c r="Z15" s="335"/>
      <c r="AA15" s="339"/>
      <c r="AB15" s="334"/>
      <c r="AC15" s="334"/>
      <c r="AD15" s="334"/>
      <c r="AE15" s="334"/>
      <c r="AF15" s="334"/>
      <c r="AG15" s="334"/>
      <c r="AH15" s="334"/>
      <c r="AI15" s="334"/>
      <c r="AJ15" s="334"/>
      <c r="AK15" s="150"/>
      <c r="AL15" s="150"/>
      <c r="AM15" s="332"/>
      <c r="AN15" s="335"/>
      <c r="AO15" s="334" t="e">
        <f t="shared" si="14"/>
        <v>#DIV/0!</v>
      </c>
      <c r="AP15" s="334" t="e">
        <f t="shared" si="15"/>
        <v>#DIV/0!</v>
      </c>
      <c r="AQ15" s="330"/>
      <c r="AR15" s="331"/>
      <c r="AS15" s="335"/>
      <c r="AT15" s="339"/>
      <c r="AU15" s="334"/>
      <c r="AV15" s="334"/>
      <c r="AW15" s="334"/>
      <c r="AX15" s="334"/>
      <c r="AY15" s="334"/>
      <c r="AZ15" s="334"/>
      <c r="BA15" s="334"/>
      <c r="BB15" s="334"/>
      <c r="BC15" s="334"/>
      <c r="BD15" s="150"/>
      <c r="BE15" s="150"/>
      <c r="BF15" s="332"/>
      <c r="BG15" s="335"/>
      <c r="BH15" s="334" t="e">
        <f t="shared" si="17"/>
        <v>#DIV/0!</v>
      </c>
      <c r="BI15" s="334" t="e">
        <f t="shared" si="18"/>
        <v>#DIV/0!</v>
      </c>
      <c r="BJ15" s="415">
        <f t="shared" si="8"/>
        <v>50</v>
      </c>
      <c r="BK15" s="415">
        <f t="shared" si="9"/>
        <v>15</v>
      </c>
      <c r="BL15" s="415">
        <f t="shared" si="10"/>
        <v>15</v>
      </c>
      <c r="BM15" s="415">
        <f t="shared" si="11"/>
        <v>18.49685</v>
      </c>
    </row>
    <row r="16" spans="1:65" s="129" customFormat="1" ht="18.75">
      <c r="A16" s="141" t="s">
        <v>149</v>
      </c>
      <c r="B16" s="340" t="s">
        <v>775</v>
      </c>
      <c r="C16" s="341" t="s">
        <v>776</v>
      </c>
      <c r="D16" s="144">
        <v>0.4</v>
      </c>
      <c r="E16" s="330">
        <v>175</v>
      </c>
      <c r="F16" s="331">
        <v>15</v>
      </c>
      <c r="G16" s="335">
        <v>15</v>
      </c>
      <c r="H16" s="339">
        <v>95.4056</v>
      </c>
      <c r="I16" s="334">
        <v>67.00874</v>
      </c>
      <c r="J16" s="334">
        <v>9.226</v>
      </c>
      <c r="K16" s="334">
        <f>17.02048+34.04096</f>
        <v>51.06144</v>
      </c>
      <c r="L16" s="334">
        <v>14.55623</v>
      </c>
      <c r="M16" s="334">
        <v>0</v>
      </c>
      <c r="N16" s="334">
        <v>0</v>
      </c>
      <c r="O16" s="334">
        <v>6.11117</v>
      </c>
      <c r="P16" s="334">
        <v>52.72</v>
      </c>
      <c r="Q16" s="334">
        <v>8.51024</v>
      </c>
      <c r="R16" s="150" t="s">
        <v>119</v>
      </c>
      <c r="S16" s="151" t="s">
        <v>120</v>
      </c>
      <c r="T16" s="332"/>
      <c r="U16" s="335">
        <v>229</v>
      </c>
      <c r="V16" s="334">
        <f t="shared" si="1"/>
        <v>545.1748571428571</v>
      </c>
      <c r="W16" s="334">
        <f t="shared" si="2"/>
        <v>6.360373333333333</v>
      </c>
      <c r="X16" s="336"/>
      <c r="Y16" s="331"/>
      <c r="Z16" s="335"/>
      <c r="AA16" s="339"/>
      <c r="AB16" s="334"/>
      <c r="AC16" s="334"/>
      <c r="AD16" s="334"/>
      <c r="AE16" s="334"/>
      <c r="AF16" s="334"/>
      <c r="AG16" s="334"/>
      <c r="AH16" s="334"/>
      <c r="AI16" s="334"/>
      <c r="AJ16" s="334"/>
      <c r="AK16" s="150"/>
      <c r="AL16" s="150"/>
      <c r="AM16" s="332"/>
      <c r="AN16" s="335"/>
      <c r="AO16" s="334" t="e">
        <f t="shared" si="14"/>
        <v>#DIV/0!</v>
      </c>
      <c r="AP16" s="334" t="e">
        <f t="shared" si="15"/>
        <v>#DIV/0!</v>
      </c>
      <c r="AQ16" s="330"/>
      <c r="AR16" s="331"/>
      <c r="AS16" s="335"/>
      <c r="AT16" s="339"/>
      <c r="AU16" s="334"/>
      <c r="AV16" s="334"/>
      <c r="AW16" s="334"/>
      <c r="AX16" s="334"/>
      <c r="AY16" s="334"/>
      <c r="AZ16" s="334"/>
      <c r="BA16" s="334"/>
      <c r="BB16" s="334"/>
      <c r="BC16" s="334"/>
      <c r="BD16" s="150"/>
      <c r="BE16" s="150"/>
      <c r="BF16" s="332"/>
      <c r="BG16" s="335"/>
      <c r="BH16" s="334" t="e">
        <f t="shared" si="17"/>
        <v>#DIV/0!</v>
      </c>
      <c r="BI16" s="334" t="e">
        <f t="shared" si="18"/>
        <v>#DIV/0!</v>
      </c>
      <c r="BJ16" s="415">
        <f t="shared" si="8"/>
        <v>175</v>
      </c>
      <c r="BK16" s="415">
        <f t="shared" si="9"/>
        <v>15</v>
      </c>
      <c r="BL16" s="415">
        <f t="shared" si="10"/>
        <v>15</v>
      </c>
      <c r="BM16" s="415">
        <f t="shared" si="11"/>
        <v>95.4056</v>
      </c>
    </row>
    <row r="17" spans="1:65" s="129" customFormat="1" ht="18.75">
      <c r="A17" s="141" t="s">
        <v>152</v>
      </c>
      <c r="B17" s="340" t="s">
        <v>777</v>
      </c>
      <c r="C17" s="341" t="s">
        <v>778</v>
      </c>
      <c r="D17" s="144">
        <v>0.4</v>
      </c>
      <c r="E17" s="330">
        <v>50</v>
      </c>
      <c r="F17" s="331">
        <v>15</v>
      </c>
      <c r="G17" s="335">
        <v>15</v>
      </c>
      <c r="H17" s="339">
        <v>18.23771</v>
      </c>
      <c r="I17" s="334">
        <v>12.7508</v>
      </c>
      <c r="J17" s="334">
        <v>2.636</v>
      </c>
      <c r="K17" s="334">
        <v>9.03311</v>
      </c>
      <c r="L17" s="334">
        <v>2.74213</v>
      </c>
      <c r="M17" s="334">
        <v>0</v>
      </c>
      <c r="N17" s="334">
        <v>0</v>
      </c>
      <c r="O17" s="334">
        <v>1.21712</v>
      </c>
      <c r="P17" s="334">
        <v>52.72</v>
      </c>
      <c r="Q17" s="334">
        <v>9.03311</v>
      </c>
      <c r="R17" s="150" t="s">
        <v>119</v>
      </c>
      <c r="S17" s="151" t="s">
        <v>120</v>
      </c>
      <c r="T17" s="332"/>
      <c r="U17" s="335">
        <v>260</v>
      </c>
      <c r="V17" s="334">
        <f t="shared" si="1"/>
        <v>364.75419999999997</v>
      </c>
      <c r="W17" s="334">
        <f t="shared" si="2"/>
        <v>1.2158473333333333</v>
      </c>
      <c r="X17" s="336"/>
      <c r="Y17" s="331"/>
      <c r="Z17" s="335"/>
      <c r="AA17" s="339"/>
      <c r="AB17" s="334"/>
      <c r="AC17" s="334"/>
      <c r="AD17" s="334"/>
      <c r="AE17" s="334"/>
      <c r="AF17" s="334"/>
      <c r="AG17" s="334"/>
      <c r="AH17" s="334"/>
      <c r="AI17" s="334"/>
      <c r="AJ17" s="334"/>
      <c r="AK17" s="150"/>
      <c r="AL17" s="150"/>
      <c r="AM17" s="332"/>
      <c r="AN17" s="335"/>
      <c r="AO17" s="334" t="e">
        <f t="shared" si="14"/>
        <v>#DIV/0!</v>
      </c>
      <c r="AP17" s="334" t="e">
        <f t="shared" si="15"/>
        <v>#DIV/0!</v>
      </c>
      <c r="AQ17" s="330"/>
      <c r="AR17" s="331"/>
      <c r="AS17" s="335"/>
      <c r="AT17" s="339"/>
      <c r="AU17" s="334"/>
      <c r="AV17" s="334"/>
      <c r="AW17" s="334"/>
      <c r="AX17" s="334"/>
      <c r="AY17" s="334"/>
      <c r="AZ17" s="334"/>
      <c r="BA17" s="334"/>
      <c r="BB17" s="334"/>
      <c r="BC17" s="334"/>
      <c r="BD17" s="150"/>
      <c r="BE17" s="150"/>
      <c r="BF17" s="332"/>
      <c r="BG17" s="335"/>
      <c r="BH17" s="334" t="e">
        <f t="shared" si="17"/>
        <v>#DIV/0!</v>
      </c>
      <c r="BI17" s="334" t="e">
        <f t="shared" si="18"/>
        <v>#DIV/0!</v>
      </c>
      <c r="BJ17" s="415">
        <f t="shared" si="8"/>
        <v>50</v>
      </c>
      <c r="BK17" s="415">
        <f t="shared" si="9"/>
        <v>15</v>
      </c>
      <c r="BL17" s="415">
        <f t="shared" si="10"/>
        <v>15</v>
      </c>
      <c r="BM17" s="415">
        <f t="shared" si="11"/>
        <v>18.23771</v>
      </c>
    </row>
    <row r="18" spans="1:65" s="129" customFormat="1" ht="18.75">
      <c r="A18" s="141" t="s">
        <v>155</v>
      </c>
      <c r="B18" s="340" t="s">
        <v>779</v>
      </c>
      <c r="C18" s="341" t="s">
        <v>780</v>
      </c>
      <c r="D18" s="144">
        <v>0.4</v>
      </c>
      <c r="E18" s="330">
        <v>50</v>
      </c>
      <c r="F18" s="331">
        <v>15</v>
      </c>
      <c r="G18" s="335">
        <v>15</v>
      </c>
      <c r="H18" s="339">
        <v>21.11656</v>
      </c>
      <c r="I18" s="334">
        <v>15.62965</v>
      </c>
      <c r="J18" s="334">
        <v>2.636</v>
      </c>
      <c r="K18" s="334">
        <v>8.6573</v>
      </c>
      <c r="L18" s="334">
        <v>2.74213</v>
      </c>
      <c r="M18" s="334">
        <v>0</v>
      </c>
      <c r="N18" s="334">
        <v>0</v>
      </c>
      <c r="O18" s="334">
        <v>1.21712</v>
      </c>
      <c r="P18" s="334">
        <v>52.72</v>
      </c>
      <c r="Q18" s="334">
        <v>8.6573</v>
      </c>
      <c r="R18" s="150" t="s">
        <v>119</v>
      </c>
      <c r="S18" s="151" t="s">
        <v>120</v>
      </c>
      <c r="T18" s="332"/>
      <c r="U18" s="335">
        <v>340</v>
      </c>
      <c r="V18" s="334">
        <f t="shared" si="1"/>
        <v>422.3312</v>
      </c>
      <c r="W18" s="334">
        <f t="shared" si="2"/>
        <v>1.4077706666666667</v>
      </c>
      <c r="X18" s="336"/>
      <c r="Y18" s="331"/>
      <c r="Z18" s="335"/>
      <c r="AA18" s="339"/>
      <c r="AB18" s="334"/>
      <c r="AC18" s="334"/>
      <c r="AD18" s="334"/>
      <c r="AE18" s="334"/>
      <c r="AF18" s="334"/>
      <c r="AG18" s="334"/>
      <c r="AH18" s="334"/>
      <c r="AI18" s="334"/>
      <c r="AJ18" s="334"/>
      <c r="AK18" s="150"/>
      <c r="AL18" s="150"/>
      <c r="AM18" s="332"/>
      <c r="AN18" s="335"/>
      <c r="AO18" s="334" t="e">
        <f t="shared" si="14"/>
        <v>#DIV/0!</v>
      </c>
      <c r="AP18" s="334" t="e">
        <f t="shared" si="15"/>
        <v>#DIV/0!</v>
      </c>
      <c r="AQ18" s="330"/>
      <c r="AR18" s="331"/>
      <c r="AS18" s="335"/>
      <c r="AT18" s="339"/>
      <c r="AU18" s="334"/>
      <c r="AV18" s="334"/>
      <c r="AW18" s="334"/>
      <c r="AX18" s="334"/>
      <c r="AY18" s="334"/>
      <c r="AZ18" s="334"/>
      <c r="BA18" s="334"/>
      <c r="BB18" s="334"/>
      <c r="BC18" s="334"/>
      <c r="BD18" s="150"/>
      <c r="BE18" s="150"/>
      <c r="BF18" s="332"/>
      <c r="BG18" s="335"/>
      <c r="BH18" s="334" t="e">
        <f t="shared" si="17"/>
        <v>#DIV/0!</v>
      </c>
      <c r="BI18" s="334" t="e">
        <f t="shared" si="18"/>
        <v>#DIV/0!</v>
      </c>
      <c r="BJ18" s="415">
        <f t="shared" si="8"/>
        <v>50</v>
      </c>
      <c r="BK18" s="415">
        <f t="shared" si="9"/>
        <v>15</v>
      </c>
      <c r="BL18" s="415">
        <f t="shared" si="10"/>
        <v>15</v>
      </c>
      <c r="BM18" s="415">
        <f t="shared" si="11"/>
        <v>21.11656</v>
      </c>
    </row>
    <row r="19" spans="1:65" s="129" customFormat="1" ht="27">
      <c r="A19" s="141" t="s">
        <v>158</v>
      </c>
      <c r="B19" s="173" t="s">
        <v>781</v>
      </c>
      <c r="C19" s="341" t="s">
        <v>782</v>
      </c>
      <c r="D19" s="144">
        <v>0.4</v>
      </c>
      <c r="E19" s="330"/>
      <c r="F19" s="331"/>
      <c r="G19" s="331"/>
      <c r="H19" s="342"/>
      <c r="I19" s="334"/>
      <c r="J19" s="334"/>
      <c r="K19" s="334"/>
      <c r="L19" s="334"/>
      <c r="M19" s="334"/>
      <c r="N19" s="334"/>
      <c r="O19" s="334"/>
      <c r="P19" s="334"/>
      <c r="Q19" s="334"/>
      <c r="R19" s="332"/>
      <c r="S19" s="332"/>
      <c r="T19" s="332"/>
      <c r="U19" s="335"/>
      <c r="V19" s="334" t="e">
        <f t="shared" si="1"/>
        <v>#DIV/0!</v>
      </c>
      <c r="W19" s="334" t="e">
        <f t="shared" si="2"/>
        <v>#DIV/0!</v>
      </c>
      <c r="X19" s="343">
        <v>125</v>
      </c>
      <c r="Y19" s="331">
        <v>15</v>
      </c>
      <c r="Z19" s="331">
        <v>15</v>
      </c>
      <c r="AA19" s="342">
        <v>67.33987</v>
      </c>
      <c r="AB19" s="334">
        <v>47.4992</v>
      </c>
      <c r="AC19" s="334">
        <v>6.27125</v>
      </c>
      <c r="AD19" s="334">
        <v>34.8156</v>
      </c>
      <c r="AE19" s="334">
        <v>10.31919</v>
      </c>
      <c r="AF19" s="334">
        <v>0</v>
      </c>
      <c r="AG19" s="334">
        <v>0</v>
      </c>
      <c r="AH19" s="334">
        <v>4.22463</v>
      </c>
      <c r="AI19" s="334">
        <v>53.77</v>
      </c>
      <c r="AJ19" s="334">
        <v>8.7039</v>
      </c>
      <c r="AK19" s="150" t="s">
        <v>119</v>
      </c>
      <c r="AL19" s="151" t="s">
        <v>120</v>
      </c>
      <c r="AM19" s="332"/>
      <c r="AN19" s="335">
        <v>12</v>
      </c>
      <c r="AO19" s="334">
        <f t="shared" si="14"/>
        <v>538.71896</v>
      </c>
      <c r="AP19" s="334">
        <f t="shared" si="15"/>
        <v>4.489324666666667</v>
      </c>
      <c r="AQ19" s="330"/>
      <c r="AR19" s="331"/>
      <c r="AS19" s="331"/>
      <c r="AT19" s="342"/>
      <c r="AU19" s="334"/>
      <c r="AV19" s="334"/>
      <c r="AW19" s="334"/>
      <c r="AX19" s="334"/>
      <c r="AY19" s="334"/>
      <c r="AZ19" s="334"/>
      <c r="BA19" s="334"/>
      <c r="BB19" s="334"/>
      <c r="BC19" s="334"/>
      <c r="BD19" s="332"/>
      <c r="BE19" s="332"/>
      <c r="BF19" s="332"/>
      <c r="BG19" s="335"/>
      <c r="BH19" s="334" t="e">
        <f t="shared" si="17"/>
        <v>#DIV/0!</v>
      </c>
      <c r="BI19" s="334" t="e">
        <f t="shared" si="18"/>
        <v>#DIV/0!</v>
      </c>
      <c r="BJ19" s="415">
        <f t="shared" si="8"/>
        <v>125</v>
      </c>
      <c r="BK19" s="415">
        <f t="shared" si="9"/>
        <v>15</v>
      </c>
      <c r="BL19" s="415">
        <f t="shared" si="10"/>
        <v>15</v>
      </c>
      <c r="BM19" s="415">
        <f t="shared" si="11"/>
        <v>67.33987</v>
      </c>
    </row>
    <row r="20" spans="1:65" s="129" customFormat="1" ht="18.75">
      <c r="A20" s="141" t="s">
        <v>161</v>
      </c>
      <c r="B20" s="173" t="s">
        <v>783</v>
      </c>
      <c r="C20" s="341" t="s">
        <v>784</v>
      </c>
      <c r="D20" s="144">
        <v>0.4</v>
      </c>
      <c r="E20" s="330"/>
      <c r="F20" s="344"/>
      <c r="G20" s="344"/>
      <c r="H20" s="342"/>
      <c r="I20" s="334"/>
      <c r="J20" s="334"/>
      <c r="K20" s="334"/>
      <c r="L20" s="334"/>
      <c r="M20" s="334"/>
      <c r="N20" s="334"/>
      <c r="O20" s="334"/>
      <c r="P20" s="334"/>
      <c r="Q20" s="334"/>
      <c r="R20" s="332"/>
      <c r="S20" s="332"/>
      <c r="T20" s="332"/>
      <c r="U20" s="335"/>
      <c r="V20" s="334" t="e">
        <f t="shared" si="1"/>
        <v>#DIV/0!</v>
      </c>
      <c r="W20" s="334" t="e">
        <f t="shared" si="2"/>
        <v>#DIV/0!</v>
      </c>
      <c r="X20" s="343">
        <v>36</v>
      </c>
      <c r="Y20" s="344">
        <v>15</v>
      </c>
      <c r="Z20" s="344">
        <v>15</v>
      </c>
      <c r="AA20" s="342">
        <v>32.0232</v>
      </c>
      <c r="AB20" s="334">
        <v>23.64846</v>
      </c>
      <c r="AC20" s="334">
        <v>1.93572</v>
      </c>
      <c r="AD20" s="334">
        <v>19.65536</v>
      </c>
      <c r="AE20" s="334">
        <v>3.92711</v>
      </c>
      <c r="AF20" s="334">
        <v>0</v>
      </c>
      <c r="AG20" s="334">
        <v>0</v>
      </c>
      <c r="AH20" s="334">
        <v>1.89127</v>
      </c>
      <c r="AI20" s="334">
        <v>53.77</v>
      </c>
      <c r="AJ20" s="334">
        <v>9.82768</v>
      </c>
      <c r="AK20" s="150" t="s">
        <v>119</v>
      </c>
      <c r="AL20" s="151" t="s">
        <v>120</v>
      </c>
      <c r="AM20" s="332"/>
      <c r="AN20" s="335">
        <v>186</v>
      </c>
      <c r="AO20" s="334">
        <f t="shared" si="14"/>
        <v>889.5333333333334</v>
      </c>
      <c r="AP20" s="334">
        <f t="shared" si="15"/>
        <v>2.1348800000000003</v>
      </c>
      <c r="AQ20" s="330"/>
      <c r="AR20" s="344"/>
      <c r="AS20" s="344"/>
      <c r="AT20" s="342"/>
      <c r="AU20" s="334"/>
      <c r="AV20" s="334"/>
      <c r="AW20" s="334"/>
      <c r="AX20" s="334"/>
      <c r="AY20" s="334"/>
      <c r="AZ20" s="334"/>
      <c r="BA20" s="334"/>
      <c r="BB20" s="334"/>
      <c r="BC20" s="334"/>
      <c r="BD20" s="332"/>
      <c r="BE20" s="332"/>
      <c r="BF20" s="332"/>
      <c r="BG20" s="335"/>
      <c r="BH20" s="334" t="e">
        <f t="shared" si="17"/>
        <v>#DIV/0!</v>
      </c>
      <c r="BI20" s="334" t="e">
        <f t="shared" si="18"/>
        <v>#DIV/0!</v>
      </c>
      <c r="BJ20" s="415">
        <f t="shared" si="8"/>
        <v>36</v>
      </c>
      <c r="BK20" s="415">
        <f t="shared" si="9"/>
        <v>15</v>
      </c>
      <c r="BL20" s="415">
        <f t="shared" si="10"/>
        <v>15</v>
      </c>
      <c r="BM20" s="415">
        <f t="shared" si="11"/>
        <v>32.0232</v>
      </c>
    </row>
    <row r="21" spans="1:65" s="129" customFormat="1" ht="18.75">
      <c r="A21" s="141" t="s">
        <v>164</v>
      </c>
      <c r="B21" s="173" t="s">
        <v>785</v>
      </c>
      <c r="C21" s="341" t="s">
        <v>786</v>
      </c>
      <c r="D21" s="144">
        <v>0.4</v>
      </c>
      <c r="E21" s="345"/>
      <c r="F21" s="245"/>
      <c r="G21" s="245"/>
      <c r="H21" s="342"/>
      <c r="I21" s="334"/>
      <c r="J21" s="334"/>
      <c r="K21" s="334"/>
      <c r="L21" s="334"/>
      <c r="M21" s="334"/>
      <c r="N21" s="334"/>
      <c r="O21" s="334"/>
      <c r="P21" s="334"/>
      <c r="Q21" s="334"/>
      <c r="R21" s="332"/>
      <c r="S21" s="332"/>
      <c r="T21" s="332"/>
      <c r="U21" s="335"/>
      <c r="V21" s="334" t="e">
        <f t="shared" si="1"/>
        <v>#DIV/0!</v>
      </c>
      <c r="W21" s="334" t="e">
        <f t="shared" si="2"/>
        <v>#DIV/0!</v>
      </c>
      <c r="X21" s="346">
        <v>52</v>
      </c>
      <c r="Y21" s="245">
        <v>15</v>
      </c>
      <c r="Z21" s="245">
        <v>15</v>
      </c>
      <c r="AA21" s="342">
        <v>20.04222</v>
      </c>
      <c r="AB21" s="334">
        <v>13.80239</v>
      </c>
      <c r="AC21" s="334">
        <v>2.79604</v>
      </c>
      <c r="AD21" s="334">
        <v>9.95424</v>
      </c>
      <c r="AE21" s="334">
        <v>2.97382</v>
      </c>
      <c r="AF21" s="334">
        <v>0</v>
      </c>
      <c r="AG21" s="334">
        <v>0</v>
      </c>
      <c r="AH21" s="334">
        <v>1.44228</v>
      </c>
      <c r="AI21" s="334">
        <v>53.77</v>
      </c>
      <c r="AJ21" s="334">
        <v>9.95424</v>
      </c>
      <c r="AK21" s="150" t="s">
        <v>119</v>
      </c>
      <c r="AL21" s="151" t="s">
        <v>120</v>
      </c>
      <c r="AM21" s="332"/>
      <c r="AN21" s="335">
        <v>204</v>
      </c>
      <c r="AO21" s="334">
        <f t="shared" si="14"/>
        <v>385.4273076923077</v>
      </c>
      <c r="AP21" s="334">
        <f t="shared" si="15"/>
        <v>1.3361480000000001</v>
      </c>
      <c r="AQ21" s="345"/>
      <c r="AR21" s="245"/>
      <c r="AS21" s="245"/>
      <c r="AT21" s="342"/>
      <c r="AU21" s="334"/>
      <c r="AV21" s="334"/>
      <c r="AW21" s="334"/>
      <c r="AX21" s="334"/>
      <c r="AY21" s="334"/>
      <c r="AZ21" s="334"/>
      <c r="BA21" s="334"/>
      <c r="BB21" s="334"/>
      <c r="BC21" s="334"/>
      <c r="BD21" s="332"/>
      <c r="BE21" s="332"/>
      <c r="BF21" s="332"/>
      <c r="BG21" s="335"/>
      <c r="BH21" s="334" t="e">
        <f t="shared" si="17"/>
        <v>#DIV/0!</v>
      </c>
      <c r="BI21" s="334" t="e">
        <f t="shared" si="18"/>
        <v>#DIV/0!</v>
      </c>
      <c r="BJ21" s="415">
        <f t="shared" si="8"/>
        <v>52</v>
      </c>
      <c r="BK21" s="415">
        <f t="shared" si="9"/>
        <v>15</v>
      </c>
      <c r="BL21" s="415">
        <f t="shared" si="10"/>
        <v>15</v>
      </c>
      <c r="BM21" s="415">
        <f t="shared" si="11"/>
        <v>20.04222</v>
      </c>
    </row>
    <row r="22" spans="1:65" s="129" customFormat="1" ht="18.75">
      <c r="A22" s="141" t="s">
        <v>167</v>
      </c>
      <c r="B22" s="347" t="s">
        <v>787</v>
      </c>
      <c r="C22" s="341" t="s">
        <v>788</v>
      </c>
      <c r="D22" s="144">
        <v>0.4</v>
      </c>
      <c r="E22" s="330"/>
      <c r="F22" s="245"/>
      <c r="G22" s="245"/>
      <c r="H22" s="342"/>
      <c r="I22" s="334"/>
      <c r="J22" s="334"/>
      <c r="K22" s="334"/>
      <c r="L22" s="334"/>
      <c r="M22" s="334"/>
      <c r="N22" s="334"/>
      <c r="O22" s="334"/>
      <c r="P22" s="334"/>
      <c r="Q22" s="334"/>
      <c r="R22" s="332"/>
      <c r="S22" s="332"/>
      <c r="T22" s="332"/>
      <c r="U22" s="335"/>
      <c r="V22" s="334" t="e">
        <f t="shared" si="1"/>
        <v>#DIV/0!</v>
      </c>
      <c r="W22" s="334" t="e">
        <f t="shared" si="2"/>
        <v>#DIV/0!</v>
      </c>
      <c r="X22" s="343">
        <v>35</v>
      </c>
      <c r="Y22" s="245">
        <v>15</v>
      </c>
      <c r="Z22" s="245">
        <v>15</v>
      </c>
      <c r="AA22" s="342">
        <v>3.597</v>
      </c>
      <c r="AB22" s="334">
        <v>1.882</v>
      </c>
      <c r="AC22" s="334">
        <v>1.88196</v>
      </c>
      <c r="AD22" s="334">
        <v>0</v>
      </c>
      <c r="AE22" s="334">
        <v>0.794</v>
      </c>
      <c r="AF22" s="334">
        <v>0</v>
      </c>
      <c r="AG22" s="334">
        <v>0</v>
      </c>
      <c r="AH22" s="334">
        <v>0.426</v>
      </c>
      <c r="AI22" s="334">
        <v>53.77</v>
      </c>
      <c r="AJ22" s="334">
        <v>9.95424</v>
      </c>
      <c r="AK22" s="150" t="s">
        <v>119</v>
      </c>
      <c r="AL22" s="151" t="s">
        <v>120</v>
      </c>
      <c r="AM22" s="332"/>
      <c r="AN22" s="335">
        <v>213</v>
      </c>
      <c r="AO22" s="334">
        <f t="shared" si="14"/>
        <v>102.77142857142857</v>
      </c>
      <c r="AP22" s="334">
        <f t="shared" si="15"/>
        <v>0.23979999999999999</v>
      </c>
      <c r="AQ22" s="330"/>
      <c r="AR22" s="245"/>
      <c r="AS22" s="245"/>
      <c r="AT22" s="342"/>
      <c r="AU22" s="334"/>
      <c r="AV22" s="334"/>
      <c r="AW22" s="334"/>
      <c r="AX22" s="334"/>
      <c r="AY22" s="334"/>
      <c r="AZ22" s="334"/>
      <c r="BA22" s="334"/>
      <c r="BB22" s="334"/>
      <c r="BC22" s="334"/>
      <c r="BD22" s="332"/>
      <c r="BE22" s="332"/>
      <c r="BF22" s="332"/>
      <c r="BG22" s="335"/>
      <c r="BH22" s="334" t="e">
        <f t="shared" si="17"/>
        <v>#DIV/0!</v>
      </c>
      <c r="BI22" s="334" t="e">
        <f t="shared" si="18"/>
        <v>#DIV/0!</v>
      </c>
      <c r="BJ22" s="415">
        <f t="shared" si="8"/>
        <v>35</v>
      </c>
      <c r="BK22" s="415">
        <f t="shared" si="9"/>
        <v>15</v>
      </c>
      <c r="BL22" s="415">
        <f t="shared" si="10"/>
        <v>15</v>
      </c>
      <c r="BM22" s="415">
        <f t="shared" si="11"/>
        <v>3.597</v>
      </c>
    </row>
    <row r="23" spans="1:65" s="129" customFormat="1" ht="18.75">
      <c r="A23" s="141" t="s">
        <v>170</v>
      </c>
      <c r="B23" s="348" t="s">
        <v>789</v>
      </c>
      <c r="C23" s="341" t="s">
        <v>790</v>
      </c>
      <c r="D23" s="144">
        <v>0.4</v>
      </c>
      <c r="E23" s="330"/>
      <c r="F23" s="245"/>
      <c r="G23" s="245"/>
      <c r="H23" s="349"/>
      <c r="I23" s="334"/>
      <c r="J23" s="334"/>
      <c r="K23" s="334"/>
      <c r="L23" s="334"/>
      <c r="M23" s="334"/>
      <c r="N23" s="334"/>
      <c r="O23" s="334"/>
      <c r="P23" s="334"/>
      <c r="Q23" s="334"/>
      <c r="R23" s="332"/>
      <c r="S23" s="332"/>
      <c r="T23" s="332"/>
      <c r="U23" s="335"/>
      <c r="V23" s="334" t="e">
        <f t="shared" si="1"/>
        <v>#DIV/0!</v>
      </c>
      <c r="W23" s="334" t="e">
        <f t="shared" si="2"/>
        <v>#DIV/0!</v>
      </c>
      <c r="X23" s="336"/>
      <c r="Y23" s="245"/>
      <c r="Z23" s="245"/>
      <c r="AA23" s="349"/>
      <c r="AB23" s="334"/>
      <c r="AC23" s="334"/>
      <c r="AD23" s="334"/>
      <c r="AE23" s="334"/>
      <c r="AF23" s="334"/>
      <c r="AG23" s="334"/>
      <c r="AH23" s="334"/>
      <c r="AI23" s="334"/>
      <c r="AJ23" s="334"/>
      <c r="AK23" s="150"/>
      <c r="AL23" s="150"/>
      <c r="AM23" s="332"/>
      <c r="AN23" s="335"/>
      <c r="AO23" s="334" t="e">
        <f t="shared" si="14"/>
        <v>#DIV/0!</v>
      </c>
      <c r="AP23" s="334" t="e">
        <f t="shared" si="15"/>
        <v>#DIV/0!</v>
      </c>
      <c r="AQ23" s="330">
        <v>90</v>
      </c>
      <c r="AR23" s="245">
        <v>15</v>
      </c>
      <c r="AS23" s="245">
        <v>15</v>
      </c>
      <c r="AT23" s="349">
        <v>24.06816</v>
      </c>
      <c r="AU23" s="334">
        <v>15.90886</v>
      </c>
      <c r="AV23" s="334">
        <v>5.5026</v>
      </c>
      <c r="AW23" s="334">
        <v>9.51864</v>
      </c>
      <c r="AX23" s="334">
        <v>3.89318</v>
      </c>
      <c r="AY23" s="334">
        <v>0</v>
      </c>
      <c r="AZ23" s="334">
        <v>0</v>
      </c>
      <c r="BA23" s="334">
        <v>1.90444</v>
      </c>
      <c r="BB23" s="334">
        <v>61.14</v>
      </c>
      <c r="BC23" s="334">
        <v>9.51864</v>
      </c>
      <c r="BD23" s="150" t="s">
        <v>119</v>
      </c>
      <c r="BE23" s="151" t="s">
        <v>120</v>
      </c>
      <c r="BF23" s="332"/>
      <c r="BG23" s="335">
        <v>184</v>
      </c>
      <c r="BH23" s="334">
        <f t="shared" si="17"/>
        <v>267.424</v>
      </c>
      <c r="BI23" s="334">
        <f t="shared" si="18"/>
        <v>1.604544</v>
      </c>
      <c r="BJ23" s="415">
        <f t="shared" si="8"/>
        <v>90</v>
      </c>
      <c r="BK23" s="415">
        <f t="shared" si="9"/>
        <v>15</v>
      </c>
      <c r="BL23" s="415">
        <f t="shared" si="10"/>
        <v>15</v>
      </c>
      <c r="BM23" s="415">
        <f t="shared" si="11"/>
        <v>24.06816</v>
      </c>
    </row>
    <row r="24" spans="1:65" s="129" customFormat="1" ht="18.75">
      <c r="A24" s="141" t="s">
        <v>173</v>
      </c>
      <c r="B24" s="177" t="s">
        <v>791</v>
      </c>
      <c r="C24" s="350" t="s">
        <v>792</v>
      </c>
      <c r="D24" s="144">
        <v>0.4</v>
      </c>
      <c r="E24" s="330"/>
      <c r="F24" s="245"/>
      <c r="G24" s="245"/>
      <c r="H24" s="349"/>
      <c r="I24" s="334"/>
      <c r="J24" s="334"/>
      <c r="K24" s="334"/>
      <c r="L24" s="334"/>
      <c r="M24" s="334"/>
      <c r="N24" s="334"/>
      <c r="O24" s="334"/>
      <c r="P24" s="334"/>
      <c r="Q24" s="334"/>
      <c r="R24" s="332"/>
      <c r="S24" s="332"/>
      <c r="T24" s="332"/>
      <c r="U24" s="335"/>
      <c r="V24" s="334" t="e">
        <f t="shared" si="1"/>
        <v>#DIV/0!</v>
      </c>
      <c r="W24" s="334" t="e">
        <f t="shared" si="2"/>
        <v>#DIV/0!</v>
      </c>
      <c r="X24" s="336"/>
      <c r="Y24" s="245"/>
      <c r="Z24" s="245"/>
      <c r="AA24" s="349"/>
      <c r="AB24" s="334"/>
      <c r="AC24" s="334"/>
      <c r="AD24" s="334"/>
      <c r="AE24" s="334"/>
      <c r="AF24" s="334"/>
      <c r="AG24" s="334"/>
      <c r="AH24" s="334"/>
      <c r="AI24" s="334"/>
      <c r="AJ24" s="334"/>
      <c r="AK24" s="150"/>
      <c r="AL24" s="150"/>
      <c r="AM24" s="332"/>
      <c r="AN24" s="335"/>
      <c r="AO24" s="334" t="e">
        <f t="shared" si="14"/>
        <v>#DIV/0!</v>
      </c>
      <c r="AP24" s="334" t="e">
        <f t="shared" si="15"/>
        <v>#DIV/0!</v>
      </c>
      <c r="AQ24" s="330">
        <v>52</v>
      </c>
      <c r="AR24" s="245">
        <v>15</v>
      </c>
      <c r="AS24" s="245">
        <v>15</v>
      </c>
      <c r="AT24" s="349">
        <v>18.99657</v>
      </c>
      <c r="AU24" s="334">
        <v>12.33435</v>
      </c>
      <c r="AV24" s="334">
        <v>2.8132</v>
      </c>
      <c r="AW24" s="334">
        <v>8.97943</v>
      </c>
      <c r="AX24" s="334">
        <v>3.04945</v>
      </c>
      <c r="AY24" s="334">
        <v>0</v>
      </c>
      <c r="AZ24" s="334">
        <v>0</v>
      </c>
      <c r="BA24" s="334">
        <v>1.6164</v>
      </c>
      <c r="BB24" s="334">
        <v>54.1</v>
      </c>
      <c r="BC24" s="334">
        <v>8.97943</v>
      </c>
      <c r="BD24" s="150" t="s">
        <v>119</v>
      </c>
      <c r="BE24" s="151" t="s">
        <v>120</v>
      </c>
      <c r="BF24" s="332"/>
      <c r="BG24" s="335">
        <v>247</v>
      </c>
      <c r="BH24" s="334">
        <f t="shared" si="17"/>
        <v>365.3186538461538</v>
      </c>
      <c r="BI24" s="334">
        <f t="shared" si="18"/>
        <v>1.266438</v>
      </c>
      <c r="BJ24" s="415">
        <f t="shared" si="8"/>
        <v>52</v>
      </c>
      <c r="BK24" s="415">
        <f t="shared" si="9"/>
        <v>15</v>
      </c>
      <c r="BL24" s="415">
        <f t="shared" si="10"/>
        <v>15</v>
      </c>
      <c r="BM24" s="415">
        <f t="shared" si="11"/>
        <v>18.99657</v>
      </c>
    </row>
    <row r="25" spans="1:65" s="129" customFormat="1" ht="14.25">
      <c r="A25" s="141"/>
      <c r="B25" s="351"/>
      <c r="C25" s="341"/>
      <c r="D25" s="144"/>
      <c r="E25" s="330"/>
      <c r="F25" s="331"/>
      <c r="G25" s="332"/>
      <c r="H25" s="333"/>
      <c r="I25" s="334"/>
      <c r="J25" s="334"/>
      <c r="K25" s="334"/>
      <c r="L25" s="334"/>
      <c r="M25" s="334"/>
      <c r="N25" s="334"/>
      <c r="O25" s="334"/>
      <c r="P25" s="334"/>
      <c r="Q25" s="334"/>
      <c r="R25" s="332"/>
      <c r="S25" s="332"/>
      <c r="T25" s="332"/>
      <c r="U25" s="335"/>
      <c r="V25" s="334" t="e">
        <f t="shared" si="1"/>
        <v>#DIV/0!</v>
      </c>
      <c r="W25" s="334" t="e">
        <f t="shared" si="2"/>
        <v>#DIV/0!</v>
      </c>
      <c r="X25" s="336"/>
      <c r="Y25" s="331"/>
      <c r="Z25" s="332"/>
      <c r="AA25" s="333"/>
      <c r="AB25" s="334"/>
      <c r="AC25" s="334"/>
      <c r="AD25" s="334"/>
      <c r="AE25" s="334"/>
      <c r="AF25" s="334"/>
      <c r="AG25" s="334"/>
      <c r="AH25" s="334"/>
      <c r="AI25" s="334"/>
      <c r="AJ25" s="334"/>
      <c r="AK25" s="332"/>
      <c r="AL25" s="332"/>
      <c r="AM25" s="332"/>
      <c r="AN25" s="335"/>
      <c r="AO25" s="334" t="e">
        <f t="shared" si="14"/>
        <v>#DIV/0!</v>
      </c>
      <c r="AP25" s="334" t="e">
        <f t="shared" si="15"/>
        <v>#DIV/0!</v>
      </c>
      <c r="AQ25" s="330"/>
      <c r="AR25" s="331"/>
      <c r="AS25" s="332"/>
      <c r="AT25" s="333"/>
      <c r="AU25" s="334"/>
      <c r="AV25" s="334"/>
      <c r="AW25" s="334"/>
      <c r="AX25" s="334"/>
      <c r="AY25" s="334"/>
      <c r="AZ25" s="334"/>
      <c r="BA25" s="334"/>
      <c r="BB25" s="334"/>
      <c r="BC25" s="334"/>
      <c r="BD25" s="332"/>
      <c r="BE25" s="332"/>
      <c r="BF25" s="332"/>
      <c r="BG25" s="335"/>
      <c r="BH25" s="334" t="e">
        <f t="shared" si="17"/>
        <v>#DIV/0!</v>
      </c>
      <c r="BI25" s="334" t="e">
        <f t="shared" si="18"/>
        <v>#DIV/0!</v>
      </c>
      <c r="BJ25" s="415">
        <f t="shared" si="8"/>
        <v>0</v>
      </c>
      <c r="BK25" s="415">
        <f t="shared" si="9"/>
        <v>0</v>
      </c>
      <c r="BL25" s="415">
        <f t="shared" si="10"/>
        <v>0</v>
      </c>
      <c r="BM25" s="415">
        <f t="shared" si="11"/>
        <v>0</v>
      </c>
    </row>
    <row r="26" spans="1:65" s="129" customFormat="1" ht="24.75" customHeight="1">
      <c r="A26" s="130" t="s">
        <v>335</v>
      </c>
      <c r="B26" s="131" t="s">
        <v>365</v>
      </c>
      <c r="C26" s="131"/>
      <c r="D26" s="133">
        <v>0.4</v>
      </c>
      <c r="E26" s="324">
        <f aca="true" t="shared" si="19" ref="E26:Q26">SUM(E27:E28)</f>
        <v>0</v>
      </c>
      <c r="F26" s="325">
        <f t="shared" si="19"/>
        <v>0</v>
      </c>
      <c r="G26" s="325">
        <f t="shared" si="19"/>
        <v>0</v>
      </c>
      <c r="H26" s="326">
        <f t="shared" si="19"/>
        <v>0</v>
      </c>
      <c r="I26" s="326">
        <f t="shared" si="19"/>
        <v>0</v>
      </c>
      <c r="J26" s="326">
        <f t="shared" si="19"/>
        <v>0</v>
      </c>
      <c r="K26" s="326">
        <f t="shared" si="19"/>
        <v>0</v>
      </c>
      <c r="L26" s="326">
        <f t="shared" si="19"/>
        <v>0</v>
      </c>
      <c r="M26" s="326">
        <f t="shared" si="19"/>
        <v>0</v>
      </c>
      <c r="N26" s="326">
        <f t="shared" si="19"/>
        <v>0</v>
      </c>
      <c r="O26" s="326">
        <f t="shared" si="19"/>
        <v>0</v>
      </c>
      <c r="P26" s="326">
        <f t="shared" si="19"/>
        <v>0</v>
      </c>
      <c r="Q26" s="326">
        <f t="shared" si="19"/>
        <v>0</v>
      </c>
      <c r="R26" s="327"/>
      <c r="S26" s="327"/>
      <c r="T26" s="327"/>
      <c r="U26" s="328"/>
      <c r="V26" s="329" t="e">
        <f t="shared" si="1"/>
        <v>#DIV/0!</v>
      </c>
      <c r="W26" s="329" t="e">
        <f t="shared" si="2"/>
        <v>#DIV/0!</v>
      </c>
      <c r="X26" s="325">
        <f aca="true" t="shared" si="20" ref="X26:AJ26">SUM(X27:X28)</f>
        <v>0</v>
      </c>
      <c r="Y26" s="325">
        <f t="shared" si="20"/>
        <v>0</v>
      </c>
      <c r="Z26" s="325">
        <f t="shared" si="20"/>
        <v>0</v>
      </c>
      <c r="AA26" s="326">
        <f t="shared" si="20"/>
        <v>0</v>
      </c>
      <c r="AB26" s="326">
        <f t="shared" si="20"/>
        <v>0</v>
      </c>
      <c r="AC26" s="326">
        <f t="shared" si="20"/>
        <v>0</v>
      </c>
      <c r="AD26" s="326">
        <f t="shared" si="20"/>
        <v>0</v>
      </c>
      <c r="AE26" s="326">
        <f t="shared" si="20"/>
        <v>0</v>
      </c>
      <c r="AF26" s="326">
        <f t="shared" si="20"/>
        <v>0</v>
      </c>
      <c r="AG26" s="326">
        <f t="shared" si="20"/>
        <v>0</v>
      </c>
      <c r="AH26" s="326">
        <f t="shared" si="20"/>
        <v>0</v>
      </c>
      <c r="AI26" s="326">
        <f t="shared" si="20"/>
        <v>0</v>
      </c>
      <c r="AJ26" s="326">
        <f t="shared" si="20"/>
        <v>0</v>
      </c>
      <c r="AK26" s="327"/>
      <c r="AL26" s="327"/>
      <c r="AM26" s="327"/>
      <c r="AN26" s="328"/>
      <c r="AO26" s="329" t="e">
        <f t="shared" si="14"/>
        <v>#DIV/0!</v>
      </c>
      <c r="AP26" s="329" t="e">
        <f t="shared" si="15"/>
        <v>#DIV/0!</v>
      </c>
      <c r="AQ26" s="324">
        <f aca="true" t="shared" si="21" ref="AQ26:BC26">SUM(AQ27:AQ28)</f>
        <v>0</v>
      </c>
      <c r="AR26" s="325">
        <f t="shared" si="21"/>
        <v>0</v>
      </c>
      <c r="AS26" s="325">
        <f t="shared" si="21"/>
        <v>0</v>
      </c>
      <c r="AT26" s="326">
        <f t="shared" si="21"/>
        <v>0</v>
      </c>
      <c r="AU26" s="326">
        <f t="shared" si="21"/>
        <v>0</v>
      </c>
      <c r="AV26" s="326">
        <f t="shared" si="21"/>
        <v>0</v>
      </c>
      <c r="AW26" s="326">
        <f t="shared" si="21"/>
        <v>0</v>
      </c>
      <c r="AX26" s="326">
        <f t="shared" si="21"/>
        <v>0</v>
      </c>
      <c r="AY26" s="326">
        <f t="shared" si="21"/>
        <v>0</v>
      </c>
      <c r="AZ26" s="326">
        <f t="shared" si="21"/>
        <v>0</v>
      </c>
      <c r="BA26" s="326">
        <f t="shared" si="21"/>
        <v>0</v>
      </c>
      <c r="BB26" s="326">
        <f t="shared" si="21"/>
        <v>0</v>
      </c>
      <c r="BC26" s="326">
        <f t="shared" si="21"/>
        <v>0</v>
      </c>
      <c r="BD26" s="327"/>
      <c r="BE26" s="327"/>
      <c r="BF26" s="327"/>
      <c r="BG26" s="328"/>
      <c r="BH26" s="329" t="e">
        <f t="shared" si="17"/>
        <v>#DIV/0!</v>
      </c>
      <c r="BI26" s="329" t="e">
        <f t="shared" si="18"/>
        <v>#DIV/0!</v>
      </c>
      <c r="BJ26" s="415">
        <f t="shared" si="8"/>
        <v>0</v>
      </c>
      <c r="BK26" s="415">
        <f t="shared" si="9"/>
        <v>0</v>
      </c>
      <c r="BL26" s="415">
        <f t="shared" si="10"/>
        <v>0</v>
      </c>
      <c r="BM26" s="415">
        <f t="shared" si="11"/>
        <v>0</v>
      </c>
    </row>
    <row r="27" spans="1:65" s="129" customFormat="1" ht="14.25">
      <c r="A27" s="141" t="s">
        <v>337</v>
      </c>
      <c r="B27" s="351"/>
      <c r="C27" s="332"/>
      <c r="D27" s="144"/>
      <c r="E27" s="330"/>
      <c r="F27" s="331"/>
      <c r="G27" s="331"/>
      <c r="H27" s="333"/>
      <c r="I27" s="334"/>
      <c r="J27" s="334"/>
      <c r="K27" s="334"/>
      <c r="L27" s="334"/>
      <c r="M27" s="334"/>
      <c r="N27" s="334"/>
      <c r="O27" s="334"/>
      <c r="P27" s="334"/>
      <c r="Q27" s="334"/>
      <c r="R27" s="332"/>
      <c r="S27" s="332"/>
      <c r="T27" s="332"/>
      <c r="U27" s="335"/>
      <c r="V27" s="334" t="e">
        <f t="shared" si="1"/>
        <v>#DIV/0!</v>
      </c>
      <c r="W27" s="334" t="e">
        <f t="shared" si="2"/>
        <v>#DIV/0!</v>
      </c>
      <c r="X27" s="336"/>
      <c r="Y27" s="331"/>
      <c r="Z27" s="331"/>
      <c r="AA27" s="333"/>
      <c r="AB27" s="334"/>
      <c r="AC27" s="334"/>
      <c r="AD27" s="334"/>
      <c r="AE27" s="334"/>
      <c r="AF27" s="334"/>
      <c r="AG27" s="334"/>
      <c r="AH27" s="334"/>
      <c r="AI27" s="334"/>
      <c r="AJ27" s="334"/>
      <c r="AK27" s="332"/>
      <c r="AL27" s="332"/>
      <c r="AM27" s="332"/>
      <c r="AN27" s="335"/>
      <c r="AO27" s="334" t="e">
        <f t="shared" si="14"/>
        <v>#DIV/0!</v>
      </c>
      <c r="AP27" s="334" t="e">
        <f t="shared" si="15"/>
        <v>#DIV/0!</v>
      </c>
      <c r="AQ27" s="330"/>
      <c r="AR27" s="331"/>
      <c r="AS27" s="331"/>
      <c r="AT27" s="333"/>
      <c r="AU27" s="334"/>
      <c r="AV27" s="334"/>
      <c r="AW27" s="334"/>
      <c r="AX27" s="334"/>
      <c r="AY27" s="334"/>
      <c r="AZ27" s="334"/>
      <c r="BA27" s="334"/>
      <c r="BB27" s="334"/>
      <c r="BC27" s="334"/>
      <c r="BD27" s="332"/>
      <c r="BE27" s="332"/>
      <c r="BF27" s="332"/>
      <c r="BG27" s="335"/>
      <c r="BH27" s="334" t="e">
        <f t="shared" si="17"/>
        <v>#DIV/0!</v>
      </c>
      <c r="BI27" s="334" t="e">
        <f t="shared" si="18"/>
        <v>#DIV/0!</v>
      </c>
      <c r="BJ27" s="415">
        <f t="shared" si="8"/>
        <v>0</v>
      </c>
      <c r="BK27" s="415">
        <f t="shared" si="9"/>
        <v>0</v>
      </c>
      <c r="BL27" s="415">
        <f t="shared" si="10"/>
        <v>0</v>
      </c>
      <c r="BM27" s="415">
        <f t="shared" si="11"/>
        <v>0</v>
      </c>
    </row>
    <row r="28" spans="1:65" s="129" customFormat="1" ht="14.25">
      <c r="A28" s="141"/>
      <c r="B28" s="351"/>
      <c r="C28" s="332"/>
      <c r="D28" s="144"/>
      <c r="E28" s="330"/>
      <c r="F28" s="331"/>
      <c r="G28" s="332"/>
      <c r="H28" s="333"/>
      <c r="I28" s="334"/>
      <c r="J28" s="334"/>
      <c r="K28" s="334"/>
      <c r="L28" s="334"/>
      <c r="M28" s="334"/>
      <c r="N28" s="334"/>
      <c r="O28" s="334"/>
      <c r="P28" s="334"/>
      <c r="Q28" s="334"/>
      <c r="R28" s="332"/>
      <c r="S28" s="332"/>
      <c r="T28" s="332"/>
      <c r="U28" s="335"/>
      <c r="V28" s="334" t="e">
        <f t="shared" si="1"/>
        <v>#DIV/0!</v>
      </c>
      <c r="W28" s="334" t="e">
        <f t="shared" si="2"/>
        <v>#DIV/0!</v>
      </c>
      <c r="X28" s="336"/>
      <c r="Y28" s="331"/>
      <c r="Z28" s="332"/>
      <c r="AA28" s="333"/>
      <c r="AB28" s="334"/>
      <c r="AC28" s="334"/>
      <c r="AD28" s="334"/>
      <c r="AE28" s="334"/>
      <c r="AF28" s="334"/>
      <c r="AG28" s="334"/>
      <c r="AH28" s="334"/>
      <c r="AI28" s="334"/>
      <c r="AJ28" s="334"/>
      <c r="AK28" s="332"/>
      <c r="AL28" s="332"/>
      <c r="AM28" s="332"/>
      <c r="AN28" s="335"/>
      <c r="AO28" s="334" t="e">
        <f t="shared" si="14"/>
        <v>#DIV/0!</v>
      </c>
      <c r="AP28" s="334" t="e">
        <f t="shared" si="15"/>
        <v>#DIV/0!</v>
      </c>
      <c r="AQ28" s="330"/>
      <c r="AR28" s="331"/>
      <c r="AS28" s="332"/>
      <c r="AT28" s="333"/>
      <c r="AU28" s="334"/>
      <c r="AV28" s="334"/>
      <c r="AW28" s="334"/>
      <c r="AX28" s="334"/>
      <c r="AY28" s="334"/>
      <c r="AZ28" s="334"/>
      <c r="BA28" s="334"/>
      <c r="BB28" s="334"/>
      <c r="BC28" s="334"/>
      <c r="BD28" s="332"/>
      <c r="BE28" s="332"/>
      <c r="BF28" s="332"/>
      <c r="BG28" s="335"/>
      <c r="BH28" s="334" t="e">
        <f t="shared" si="17"/>
        <v>#DIV/0!</v>
      </c>
      <c r="BI28" s="334" t="e">
        <f t="shared" si="18"/>
        <v>#DIV/0!</v>
      </c>
      <c r="BJ28" s="415">
        <f t="shared" si="8"/>
        <v>0</v>
      </c>
      <c r="BK28" s="415">
        <f t="shared" si="9"/>
        <v>0</v>
      </c>
      <c r="BL28" s="415">
        <f t="shared" si="10"/>
        <v>0</v>
      </c>
      <c r="BM28" s="415">
        <f t="shared" si="11"/>
        <v>0</v>
      </c>
    </row>
    <row r="29" spans="1:65" s="129" customFormat="1" ht="24.75" customHeight="1">
      <c r="A29" s="130" t="s">
        <v>364</v>
      </c>
      <c r="B29" s="131" t="s">
        <v>469</v>
      </c>
      <c r="C29" s="131"/>
      <c r="D29" s="133">
        <v>0.4</v>
      </c>
      <c r="E29" s="324">
        <f aca="true" t="shared" si="22" ref="E29:Q29">SUM(E30:E31)</f>
        <v>0</v>
      </c>
      <c r="F29" s="325">
        <f t="shared" si="22"/>
        <v>0</v>
      </c>
      <c r="G29" s="325">
        <f t="shared" si="22"/>
        <v>0</v>
      </c>
      <c r="H29" s="326">
        <f t="shared" si="22"/>
        <v>0</v>
      </c>
      <c r="I29" s="326">
        <f t="shared" si="22"/>
        <v>0</v>
      </c>
      <c r="J29" s="326">
        <f t="shared" si="22"/>
        <v>0</v>
      </c>
      <c r="K29" s="326">
        <f t="shared" si="22"/>
        <v>0</v>
      </c>
      <c r="L29" s="326">
        <f t="shared" si="22"/>
        <v>0</v>
      </c>
      <c r="M29" s="326">
        <f t="shared" si="22"/>
        <v>0</v>
      </c>
      <c r="N29" s="326">
        <f t="shared" si="22"/>
        <v>0</v>
      </c>
      <c r="O29" s="326">
        <f t="shared" si="22"/>
        <v>0</v>
      </c>
      <c r="P29" s="326">
        <f t="shared" si="22"/>
        <v>0</v>
      </c>
      <c r="Q29" s="326">
        <f t="shared" si="22"/>
        <v>0</v>
      </c>
      <c r="R29" s="327"/>
      <c r="S29" s="327"/>
      <c r="T29" s="327"/>
      <c r="U29" s="328"/>
      <c r="V29" s="329" t="e">
        <f t="shared" si="1"/>
        <v>#DIV/0!</v>
      </c>
      <c r="W29" s="329" t="e">
        <f t="shared" si="2"/>
        <v>#DIV/0!</v>
      </c>
      <c r="X29" s="325">
        <f aca="true" t="shared" si="23" ref="X29:AJ29">SUM(X30:X31)</f>
        <v>220</v>
      </c>
      <c r="Y29" s="325">
        <f t="shared" si="23"/>
        <v>15</v>
      </c>
      <c r="Z29" s="325">
        <f t="shared" si="23"/>
        <v>15</v>
      </c>
      <c r="AA29" s="326">
        <f t="shared" si="23"/>
        <v>72.1712</v>
      </c>
      <c r="AB29" s="326">
        <f t="shared" si="23"/>
        <v>53.87968</v>
      </c>
      <c r="AC29" s="326">
        <f t="shared" si="23"/>
        <v>29.0136</v>
      </c>
      <c r="AD29" s="326">
        <f t="shared" si="23"/>
        <v>18.66658</v>
      </c>
      <c r="AE29" s="326">
        <f t="shared" si="23"/>
        <v>8.70656</v>
      </c>
      <c r="AF29" s="326">
        <f t="shared" si="23"/>
        <v>0</v>
      </c>
      <c r="AG29" s="326">
        <f t="shared" si="23"/>
        <v>0</v>
      </c>
      <c r="AH29" s="326">
        <f t="shared" si="23"/>
        <v>4.29535</v>
      </c>
      <c r="AI29" s="326">
        <f t="shared" si="23"/>
        <v>131.88</v>
      </c>
      <c r="AJ29" s="326">
        <f t="shared" si="23"/>
        <v>9.33329</v>
      </c>
      <c r="AK29" s="327"/>
      <c r="AL29" s="327"/>
      <c r="AM29" s="327"/>
      <c r="AN29" s="328"/>
      <c r="AO29" s="329">
        <f t="shared" si="14"/>
        <v>328.05090909090904</v>
      </c>
      <c r="AP29" s="329">
        <f t="shared" si="15"/>
        <v>4.811413333333333</v>
      </c>
      <c r="AQ29" s="324">
        <f aca="true" t="shared" si="24" ref="AQ29:BC29">SUM(AQ30:AQ31)</f>
        <v>0</v>
      </c>
      <c r="AR29" s="325">
        <f t="shared" si="24"/>
        <v>0</v>
      </c>
      <c r="AS29" s="325">
        <f t="shared" si="24"/>
        <v>0</v>
      </c>
      <c r="AT29" s="326">
        <f t="shared" si="24"/>
        <v>0</v>
      </c>
      <c r="AU29" s="326">
        <f t="shared" si="24"/>
        <v>0</v>
      </c>
      <c r="AV29" s="326">
        <f t="shared" si="24"/>
        <v>0</v>
      </c>
      <c r="AW29" s="326">
        <f t="shared" si="24"/>
        <v>0</v>
      </c>
      <c r="AX29" s="326">
        <f t="shared" si="24"/>
        <v>0</v>
      </c>
      <c r="AY29" s="326">
        <f t="shared" si="24"/>
        <v>0</v>
      </c>
      <c r="AZ29" s="326">
        <f t="shared" si="24"/>
        <v>0</v>
      </c>
      <c r="BA29" s="326">
        <f t="shared" si="24"/>
        <v>0</v>
      </c>
      <c r="BB29" s="326">
        <f t="shared" si="24"/>
        <v>0</v>
      </c>
      <c r="BC29" s="326">
        <f t="shared" si="24"/>
        <v>0</v>
      </c>
      <c r="BD29" s="327"/>
      <c r="BE29" s="327"/>
      <c r="BF29" s="327"/>
      <c r="BG29" s="328"/>
      <c r="BH29" s="329" t="e">
        <f t="shared" si="17"/>
        <v>#DIV/0!</v>
      </c>
      <c r="BI29" s="329" t="e">
        <f t="shared" si="18"/>
        <v>#DIV/0!</v>
      </c>
      <c r="BJ29" s="415">
        <f t="shared" si="8"/>
        <v>220</v>
      </c>
      <c r="BK29" s="415">
        <f t="shared" si="9"/>
        <v>15</v>
      </c>
      <c r="BL29" s="415">
        <f t="shared" si="10"/>
        <v>15</v>
      </c>
      <c r="BM29" s="415">
        <f t="shared" si="11"/>
        <v>72.1712</v>
      </c>
    </row>
    <row r="30" spans="1:65" s="129" customFormat="1" ht="18.75">
      <c r="A30" s="141" t="s">
        <v>366</v>
      </c>
      <c r="B30" s="173" t="s">
        <v>793</v>
      </c>
      <c r="C30" s="341" t="s">
        <v>794</v>
      </c>
      <c r="D30" s="144">
        <v>0.4</v>
      </c>
      <c r="E30" s="345"/>
      <c r="F30" s="245"/>
      <c r="G30" s="245"/>
      <c r="H30" s="342"/>
      <c r="I30" s="334"/>
      <c r="J30" s="334"/>
      <c r="K30" s="334"/>
      <c r="L30" s="334"/>
      <c r="M30" s="334"/>
      <c r="N30" s="334"/>
      <c r="O30" s="334"/>
      <c r="P30" s="334"/>
      <c r="Q30" s="334"/>
      <c r="R30" s="332"/>
      <c r="S30" s="332"/>
      <c r="T30" s="332"/>
      <c r="U30" s="335"/>
      <c r="V30" s="334" t="e">
        <f t="shared" si="1"/>
        <v>#DIV/0!</v>
      </c>
      <c r="W30" s="334" t="e">
        <f t="shared" si="2"/>
        <v>#DIV/0!</v>
      </c>
      <c r="X30" s="245">
        <v>220</v>
      </c>
      <c r="Y30" s="245">
        <v>15</v>
      </c>
      <c r="Z30" s="245">
        <v>15</v>
      </c>
      <c r="AA30" s="342">
        <v>72.1712</v>
      </c>
      <c r="AB30" s="334">
        <v>53.87968</v>
      </c>
      <c r="AC30" s="334">
        <v>29.0136</v>
      </c>
      <c r="AD30" s="334">
        <v>18.66658</v>
      </c>
      <c r="AE30" s="334">
        <v>8.70656</v>
      </c>
      <c r="AF30" s="334">
        <v>0</v>
      </c>
      <c r="AG30" s="334">
        <v>0</v>
      </c>
      <c r="AH30" s="334">
        <v>4.29535</v>
      </c>
      <c r="AI30" s="334">
        <v>131.88</v>
      </c>
      <c r="AJ30" s="334">
        <v>9.33329</v>
      </c>
      <c r="AK30" s="150" t="s">
        <v>119</v>
      </c>
      <c r="AL30" s="151" t="s">
        <v>120</v>
      </c>
      <c r="AM30" s="332"/>
      <c r="AN30" s="335">
        <v>158</v>
      </c>
      <c r="AO30" s="334">
        <f t="shared" si="14"/>
        <v>328.05090909090904</v>
      </c>
      <c r="AP30" s="334">
        <f t="shared" si="15"/>
        <v>4.811413333333333</v>
      </c>
      <c r="AQ30" s="345"/>
      <c r="AR30" s="245"/>
      <c r="AS30" s="245"/>
      <c r="AT30" s="342"/>
      <c r="AU30" s="334"/>
      <c r="AV30" s="334"/>
      <c r="AW30" s="334"/>
      <c r="AX30" s="334"/>
      <c r="AY30" s="334"/>
      <c r="AZ30" s="334"/>
      <c r="BA30" s="334"/>
      <c r="BB30" s="334"/>
      <c r="BC30" s="334"/>
      <c r="BD30" s="332"/>
      <c r="BE30" s="332"/>
      <c r="BF30" s="332"/>
      <c r="BG30" s="335"/>
      <c r="BH30" s="334" t="e">
        <f t="shared" si="17"/>
        <v>#DIV/0!</v>
      </c>
      <c r="BI30" s="334" t="e">
        <f t="shared" si="18"/>
        <v>#DIV/0!</v>
      </c>
      <c r="BJ30" s="415">
        <f t="shared" si="8"/>
        <v>220</v>
      </c>
      <c r="BK30" s="415">
        <f t="shared" si="9"/>
        <v>15</v>
      </c>
      <c r="BL30" s="415">
        <f t="shared" si="10"/>
        <v>15</v>
      </c>
      <c r="BM30" s="415">
        <f t="shared" si="11"/>
        <v>72.1712</v>
      </c>
    </row>
    <row r="31" spans="1:65" s="129" customFormat="1" ht="14.25">
      <c r="A31" s="141"/>
      <c r="B31" s="351"/>
      <c r="C31" s="341"/>
      <c r="D31" s="144"/>
      <c r="E31" s="330"/>
      <c r="F31" s="331"/>
      <c r="G31" s="332"/>
      <c r="H31" s="333"/>
      <c r="I31" s="334"/>
      <c r="J31" s="334"/>
      <c r="K31" s="334"/>
      <c r="L31" s="334"/>
      <c r="M31" s="334"/>
      <c r="N31" s="334"/>
      <c r="O31" s="334"/>
      <c r="P31" s="334"/>
      <c r="Q31" s="334"/>
      <c r="R31" s="332"/>
      <c r="S31" s="332"/>
      <c r="T31" s="332"/>
      <c r="U31" s="335"/>
      <c r="V31" s="334" t="e">
        <f t="shared" si="1"/>
        <v>#DIV/0!</v>
      </c>
      <c r="W31" s="334" t="e">
        <f t="shared" si="2"/>
        <v>#DIV/0!</v>
      </c>
      <c r="X31" s="336"/>
      <c r="Y31" s="331"/>
      <c r="Z31" s="332"/>
      <c r="AA31" s="333"/>
      <c r="AB31" s="334"/>
      <c r="AC31" s="334"/>
      <c r="AD31" s="334"/>
      <c r="AE31" s="334"/>
      <c r="AF31" s="334"/>
      <c r="AG31" s="334"/>
      <c r="AH31" s="334"/>
      <c r="AI31" s="334"/>
      <c r="AJ31" s="334"/>
      <c r="AK31" s="332"/>
      <c r="AL31" s="332"/>
      <c r="AM31" s="332"/>
      <c r="AN31" s="335"/>
      <c r="AO31" s="334" t="e">
        <f t="shared" si="14"/>
        <v>#DIV/0!</v>
      </c>
      <c r="AP31" s="334" t="e">
        <f t="shared" si="15"/>
        <v>#DIV/0!</v>
      </c>
      <c r="AQ31" s="330"/>
      <c r="AR31" s="331"/>
      <c r="AS31" s="332"/>
      <c r="AT31" s="333"/>
      <c r="AU31" s="334"/>
      <c r="AV31" s="334"/>
      <c r="AW31" s="334"/>
      <c r="AX31" s="334"/>
      <c r="AY31" s="334"/>
      <c r="AZ31" s="334"/>
      <c r="BA31" s="334"/>
      <c r="BB31" s="334"/>
      <c r="BC31" s="334"/>
      <c r="BD31" s="332"/>
      <c r="BE31" s="332"/>
      <c r="BF31" s="332"/>
      <c r="BG31" s="335"/>
      <c r="BH31" s="334" t="e">
        <f t="shared" si="17"/>
        <v>#DIV/0!</v>
      </c>
      <c r="BI31" s="334" t="e">
        <f t="shared" si="18"/>
        <v>#DIV/0!</v>
      </c>
      <c r="BJ31" s="415">
        <f t="shared" si="8"/>
        <v>0</v>
      </c>
      <c r="BK31" s="415">
        <f t="shared" si="9"/>
        <v>0</v>
      </c>
      <c r="BL31" s="415">
        <f t="shared" si="10"/>
        <v>0</v>
      </c>
      <c r="BM31" s="415">
        <f t="shared" si="11"/>
        <v>0</v>
      </c>
    </row>
    <row r="32" spans="1:65" s="129" customFormat="1" ht="90.75" customHeight="1">
      <c r="A32" s="119" t="s">
        <v>543</v>
      </c>
      <c r="B32" s="317" t="s">
        <v>544</v>
      </c>
      <c r="C32" s="317"/>
      <c r="D32" s="122" t="s">
        <v>795</v>
      </c>
      <c r="E32" s="323">
        <f aca="true" t="shared" si="25" ref="E32:Q32">E33+E36+E42+E45</f>
        <v>0</v>
      </c>
      <c r="F32" s="318">
        <f t="shared" si="25"/>
        <v>0</v>
      </c>
      <c r="G32" s="318">
        <f t="shared" si="25"/>
        <v>0</v>
      </c>
      <c r="H32" s="319">
        <f t="shared" si="25"/>
        <v>0</v>
      </c>
      <c r="I32" s="319">
        <f t="shared" si="25"/>
        <v>0</v>
      </c>
      <c r="J32" s="319">
        <f t="shared" si="25"/>
        <v>0</v>
      </c>
      <c r="K32" s="319">
        <f t="shared" si="25"/>
        <v>0</v>
      </c>
      <c r="L32" s="319">
        <f t="shared" si="25"/>
        <v>0</v>
      </c>
      <c r="M32" s="319">
        <f t="shared" si="25"/>
        <v>0</v>
      </c>
      <c r="N32" s="319">
        <f t="shared" si="25"/>
        <v>0</v>
      </c>
      <c r="O32" s="319">
        <f t="shared" si="25"/>
        <v>0</v>
      </c>
      <c r="P32" s="319">
        <f t="shared" si="25"/>
        <v>0</v>
      </c>
      <c r="Q32" s="319">
        <f t="shared" si="25"/>
        <v>0</v>
      </c>
      <c r="R32" s="320"/>
      <c r="S32" s="320"/>
      <c r="T32" s="320"/>
      <c r="U32" s="321"/>
      <c r="V32" s="322" t="e">
        <f t="shared" si="1"/>
        <v>#DIV/0!</v>
      </c>
      <c r="W32" s="322" t="e">
        <f t="shared" si="2"/>
        <v>#DIV/0!</v>
      </c>
      <c r="X32" s="318">
        <f aca="true" t="shared" si="26" ref="X32:AJ32">X33+X36+X42+X45</f>
        <v>1107</v>
      </c>
      <c r="Y32" s="318">
        <f t="shared" si="26"/>
        <v>45</v>
      </c>
      <c r="Z32" s="318">
        <f t="shared" si="26"/>
        <v>45</v>
      </c>
      <c r="AA32" s="319">
        <f t="shared" si="26"/>
        <v>821.5894400000001</v>
      </c>
      <c r="AB32" s="319">
        <f t="shared" si="26"/>
        <v>614.3887500000001</v>
      </c>
      <c r="AC32" s="319">
        <f t="shared" si="26"/>
        <v>175.58127</v>
      </c>
      <c r="AD32" s="319">
        <f t="shared" si="26"/>
        <v>284.9663</v>
      </c>
      <c r="AE32" s="319">
        <f t="shared" si="26"/>
        <v>101.37299</v>
      </c>
      <c r="AF32" s="319">
        <f t="shared" si="26"/>
        <v>0</v>
      </c>
      <c r="AG32" s="319">
        <f t="shared" si="26"/>
        <v>0</v>
      </c>
      <c r="AH32" s="319">
        <f t="shared" si="26"/>
        <v>46.31154</v>
      </c>
      <c r="AI32" s="319">
        <f t="shared" si="26"/>
        <v>475.83000000000004</v>
      </c>
      <c r="AJ32" s="319">
        <f t="shared" si="26"/>
        <v>28.620820000000002</v>
      </c>
      <c r="AK32" s="320"/>
      <c r="AL32" s="320"/>
      <c r="AM32" s="320"/>
      <c r="AN32" s="321"/>
      <c r="AO32" s="322">
        <f t="shared" si="14"/>
        <v>742.176549232159</v>
      </c>
      <c r="AP32" s="322">
        <f t="shared" si="15"/>
        <v>18.25754311111111</v>
      </c>
      <c r="AQ32" s="323">
        <f aca="true" t="shared" si="27" ref="AQ32:BC32">AQ33+AQ36+AQ42+AQ45</f>
        <v>476</v>
      </c>
      <c r="AR32" s="318">
        <f t="shared" si="27"/>
        <v>98</v>
      </c>
      <c r="AS32" s="318">
        <f t="shared" si="27"/>
        <v>98</v>
      </c>
      <c r="AT32" s="319">
        <f t="shared" si="27"/>
        <v>381.1716</v>
      </c>
      <c r="AU32" s="319">
        <f t="shared" si="27"/>
        <v>281.15686</v>
      </c>
      <c r="AV32" s="319">
        <f t="shared" si="27"/>
        <v>66.6186</v>
      </c>
      <c r="AW32" s="319">
        <f t="shared" si="27"/>
        <v>179.18600999999998</v>
      </c>
      <c r="AX32" s="319">
        <f t="shared" si="27"/>
        <v>47.07175</v>
      </c>
      <c r="AY32" s="319">
        <f t="shared" si="27"/>
        <v>0</v>
      </c>
      <c r="AZ32" s="319">
        <f t="shared" si="27"/>
        <v>0</v>
      </c>
      <c r="BA32" s="319">
        <f t="shared" si="27"/>
        <v>22.77792</v>
      </c>
      <c r="BB32" s="319">
        <f t="shared" si="27"/>
        <v>276.11</v>
      </c>
      <c r="BC32" s="319">
        <f t="shared" si="27"/>
        <v>18.85193</v>
      </c>
      <c r="BD32" s="320"/>
      <c r="BE32" s="320"/>
      <c r="BF32" s="320"/>
      <c r="BG32" s="321"/>
      <c r="BH32" s="322">
        <f t="shared" si="17"/>
        <v>800.7806722689076</v>
      </c>
      <c r="BI32" s="322">
        <f t="shared" si="18"/>
        <v>3.8895061224489798</v>
      </c>
      <c r="BJ32" s="415">
        <f t="shared" si="8"/>
        <v>1583</v>
      </c>
      <c r="BK32" s="415">
        <f t="shared" si="9"/>
        <v>143</v>
      </c>
      <c r="BL32" s="415">
        <f t="shared" si="10"/>
        <v>143</v>
      </c>
      <c r="BM32" s="415">
        <f t="shared" si="11"/>
        <v>1202.76104</v>
      </c>
    </row>
    <row r="33" spans="1:65" s="129" customFormat="1" ht="24.75" customHeight="1">
      <c r="A33" s="130" t="s">
        <v>114</v>
      </c>
      <c r="B33" s="131" t="s">
        <v>545</v>
      </c>
      <c r="C33" s="131"/>
      <c r="D33" s="133">
        <v>0.4</v>
      </c>
      <c r="E33" s="324">
        <f aca="true" t="shared" si="28" ref="E33:Q33">SUM(E34:E35)</f>
        <v>0</v>
      </c>
      <c r="F33" s="325">
        <f t="shared" si="28"/>
        <v>0</v>
      </c>
      <c r="G33" s="325">
        <f t="shared" si="28"/>
        <v>0</v>
      </c>
      <c r="H33" s="326">
        <f t="shared" si="28"/>
        <v>0</v>
      </c>
      <c r="I33" s="326">
        <f t="shared" si="28"/>
        <v>0</v>
      </c>
      <c r="J33" s="326">
        <f t="shared" si="28"/>
        <v>0</v>
      </c>
      <c r="K33" s="326">
        <f t="shared" si="28"/>
        <v>0</v>
      </c>
      <c r="L33" s="326">
        <f t="shared" si="28"/>
        <v>0</v>
      </c>
      <c r="M33" s="326">
        <f t="shared" si="28"/>
        <v>0</v>
      </c>
      <c r="N33" s="326">
        <f t="shared" si="28"/>
        <v>0</v>
      </c>
      <c r="O33" s="326">
        <f t="shared" si="28"/>
        <v>0</v>
      </c>
      <c r="P33" s="326">
        <f t="shared" si="28"/>
        <v>0</v>
      </c>
      <c r="Q33" s="326">
        <f t="shared" si="28"/>
        <v>0</v>
      </c>
      <c r="R33" s="327"/>
      <c r="S33" s="327"/>
      <c r="T33" s="327"/>
      <c r="U33" s="328"/>
      <c r="V33" s="329" t="e">
        <f t="shared" si="1"/>
        <v>#DIV/0!</v>
      </c>
      <c r="W33" s="329" t="e">
        <f t="shared" si="2"/>
        <v>#DIV/0!</v>
      </c>
      <c r="X33" s="325">
        <f aca="true" t="shared" si="29" ref="X33:AJ33">SUM(X34:X35)</f>
        <v>0</v>
      </c>
      <c r="Y33" s="325">
        <f t="shared" si="29"/>
        <v>0</v>
      </c>
      <c r="Z33" s="325">
        <f t="shared" si="29"/>
        <v>0</v>
      </c>
      <c r="AA33" s="326">
        <f t="shared" si="29"/>
        <v>0</v>
      </c>
      <c r="AB33" s="326">
        <f t="shared" si="29"/>
        <v>0</v>
      </c>
      <c r="AC33" s="326">
        <f t="shared" si="29"/>
        <v>0</v>
      </c>
      <c r="AD33" s="326">
        <f t="shared" si="29"/>
        <v>0</v>
      </c>
      <c r="AE33" s="326">
        <f t="shared" si="29"/>
        <v>0</v>
      </c>
      <c r="AF33" s="326">
        <f t="shared" si="29"/>
        <v>0</v>
      </c>
      <c r="AG33" s="326">
        <f t="shared" si="29"/>
        <v>0</v>
      </c>
      <c r="AH33" s="326">
        <f t="shared" si="29"/>
        <v>0</v>
      </c>
      <c r="AI33" s="326">
        <f t="shared" si="29"/>
        <v>0</v>
      </c>
      <c r="AJ33" s="326">
        <f t="shared" si="29"/>
        <v>0</v>
      </c>
      <c r="AK33" s="327"/>
      <c r="AL33" s="327"/>
      <c r="AM33" s="327"/>
      <c r="AN33" s="328"/>
      <c r="AO33" s="329" t="e">
        <f t="shared" si="14"/>
        <v>#DIV/0!</v>
      </c>
      <c r="AP33" s="329" t="e">
        <f t="shared" si="15"/>
        <v>#DIV/0!</v>
      </c>
      <c r="AQ33" s="324">
        <f aca="true" t="shared" si="30" ref="AQ33:BC33">SUM(AQ34:AQ35)</f>
        <v>216</v>
      </c>
      <c r="AR33" s="325">
        <f t="shared" si="30"/>
        <v>15</v>
      </c>
      <c r="AS33" s="325">
        <f t="shared" si="30"/>
        <v>15</v>
      </c>
      <c r="AT33" s="326">
        <f t="shared" si="30"/>
        <v>172.1895</v>
      </c>
      <c r="AU33" s="326">
        <f t="shared" si="30"/>
        <v>125.25152</v>
      </c>
      <c r="AV33" s="326">
        <f t="shared" si="30"/>
        <v>25.38</v>
      </c>
      <c r="AW33" s="326">
        <f t="shared" si="30"/>
        <v>83.99960999999999</v>
      </c>
      <c r="AX33" s="326">
        <f t="shared" si="30"/>
        <v>22.1184</v>
      </c>
      <c r="AY33" s="326">
        <f t="shared" si="30"/>
        <v>0</v>
      </c>
      <c r="AZ33" s="326">
        <f t="shared" si="30"/>
        <v>0</v>
      </c>
      <c r="BA33" s="326">
        <f t="shared" si="30"/>
        <v>10.67324</v>
      </c>
      <c r="BB33" s="326">
        <f t="shared" si="30"/>
        <v>117.5</v>
      </c>
      <c r="BC33" s="326">
        <f t="shared" si="30"/>
        <v>9.33329</v>
      </c>
      <c r="BD33" s="327"/>
      <c r="BE33" s="327"/>
      <c r="BF33" s="327"/>
      <c r="BG33" s="328"/>
      <c r="BH33" s="329">
        <f t="shared" si="17"/>
        <v>797.1736111111112</v>
      </c>
      <c r="BI33" s="329">
        <f t="shared" si="18"/>
        <v>11.4793</v>
      </c>
      <c r="BJ33" s="415">
        <f t="shared" si="8"/>
        <v>216</v>
      </c>
      <c r="BK33" s="415">
        <f t="shared" si="9"/>
        <v>15</v>
      </c>
      <c r="BL33" s="415">
        <f t="shared" si="10"/>
        <v>15</v>
      </c>
      <c r="BM33" s="415">
        <f t="shared" si="11"/>
        <v>172.1895</v>
      </c>
    </row>
    <row r="34" spans="1:65" s="129" customFormat="1" ht="18.75">
      <c r="A34" s="141" t="s">
        <v>470</v>
      </c>
      <c r="B34" s="177" t="s">
        <v>796</v>
      </c>
      <c r="C34" s="350" t="s">
        <v>797</v>
      </c>
      <c r="D34" s="144">
        <v>0.4</v>
      </c>
      <c r="E34" s="352"/>
      <c r="F34" s="353"/>
      <c r="G34" s="332"/>
      <c r="H34" s="349"/>
      <c r="I34" s="334"/>
      <c r="J34" s="334"/>
      <c r="K34" s="334"/>
      <c r="L34" s="334"/>
      <c r="M34" s="334"/>
      <c r="N34" s="334"/>
      <c r="O34" s="334"/>
      <c r="P34" s="334"/>
      <c r="Q34" s="334"/>
      <c r="R34" s="332"/>
      <c r="S34" s="332"/>
      <c r="T34" s="332"/>
      <c r="U34" s="335"/>
      <c r="V34" s="334" t="e">
        <f t="shared" si="1"/>
        <v>#DIV/0!</v>
      </c>
      <c r="W34" s="334" t="e">
        <f t="shared" si="2"/>
        <v>#DIV/0!</v>
      </c>
      <c r="X34" s="354"/>
      <c r="Y34" s="353"/>
      <c r="Z34" s="332"/>
      <c r="AA34" s="349"/>
      <c r="AB34" s="334"/>
      <c r="AC34" s="334"/>
      <c r="AD34" s="334"/>
      <c r="AE34" s="334"/>
      <c r="AF34" s="334"/>
      <c r="AG34" s="334"/>
      <c r="AH34" s="334"/>
      <c r="AI34" s="334"/>
      <c r="AJ34" s="334"/>
      <c r="AK34" s="332"/>
      <c r="AL34" s="332"/>
      <c r="AM34" s="332"/>
      <c r="AN34" s="335"/>
      <c r="AO34" s="334" t="e">
        <f t="shared" si="14"/>
        <v>#DIV/0!</v>
      </c>
      <c r="AP34" s="334" t="e">
        <f t="shared" si="15"/>
        <v>#DIV/0!</v>
      </c>
      <c r="AQ34" s="352">
        <v>216</v>
      </c>
      <c r="AR34" s="353">
        <v>15</v>
      </c>
      <c r="AS34" s="335">
        <v>15</v>
      </c>
      <c r="AT34" s="349">
        <v>172.1895</v>
      </c>
      <c r="AU34" s="334">
        <v>125.25152</v>
      </c>
      <c r="AV34" s="334">
        <v>25.38</v>
      </c>
      <c r="AW34" s="334">
        <v>83.99960999999999</v>
      </c>
      <c r="AX34" s="334">
        <v>22.1184</v>
      </c>
      <c r="AY34" s="334">
        <v>0</v>
      </c>
      <c r="AZ34" s="334">
        <v>0</v>
      </c>
      <c r="BA34" s="334">
        <v>10.67324</v>
      </c>
      <c r="BB34" s="334">
        <v>117.5</v>
      </c>
      <c r="BC34" s="334">
        <v>9.33329</v>
      </c>
      <c r="BD34" s="150" t="s">
        <v>119</v>
      </c>
      <c r="BE34" s="151" t="s">
        <v>120</v>
      </c>
      <c r="BF34" s="332"/>
      <c r="BG34" s="335">
        <v>11</v>
      </c>
      <c r="BH34" s="334">
        <f t="shared" si="17"/>
        <v>797.1736111111112</v>
      </c>
      <c r="BI34" s="334">
        <f t="shared" si="18"/>
        <v>11.4793</v>
      </c>
      <c r="BJ34" s="415">
        <f t="shared" si="8"/>
        <v>216</v>
      </c>
      <c r="BK34" s="415">
        <f t="shared" si="9"/>
        <v>15</v>
      </c>
      <c r="BL34" s="415">
        <f t="shared" si="10"/>
        <v>15</v>
      </c>
      <c r="BM34" s="415">
        <f t="shared" si="11"/>
        <v>172.1895</v>
      </c>
    </row>
    <row r="35" spans="1:65" s="129" customFormat="1" ht="14.25">
      <c r="A35" s="141"/>
      <c r="B35" s="351"/>
      <c r="C35" s="355"/>
      <c r="D35" s="144">
        <v>0.4</v>
      </c>
      <c r="E35" s="330"/>
      <c r="F35" s="331"/>
      <c r="G35" s="332"/>
      <c r="H35" s="333"/>
      <c r="I35" s="334"/>
      <c r="J35" s="334"/>
      <c r="K35" s="334"/>
      <c r="L35" s="334"/>
      <c r="M35" s="334"/>
      <c r="N35" s="334"/>
      <c r="O35" s="334"/>
      <c r="P35" s="334"/>
      <c r="Q35" s="334"/>
      <c r="R35" s="332"/>
      <c r="S35" s="332"/>
      <c r="T35" s="332"/>
      <c r="U35" s="335"/>
      <c r="V35" s="334" t="e">
        <f t="shared" si="1"/>
        <v>#DIV/0!</v>
      </c>
      <c r="W35" s="334" t="e">
        <f t="shared" si="2"/>
        <v>#DIV/0!</v>
      </c>
      <c r="X35" s="336"/>
      <c r="Y35" s="331"/>
      <c r="Z35" s="332"/>
      <c r="AA35" s="333"/>
      <c r="AB35" s="334"/>
      <c r="AC35" s="334"/>
      <c r="AD35" s="334"/>
      <c r="AE35" s="334"/>
      <c r="AF35" s="334"/>
      <c r="AG35" s="334"/>
      <c r="AH35" s="334"/>
      <c r="AI35" s="334"/>
      <c r="AJ35" s="334"/>
      <c r="AK35" s="332"/>
      <c r="AL35" s="332"/>
      <c r="AM35" s="332"/>
      <c r="AN35" s="335"/>
      <c r="AO35" s="334" t="e">
        <f t="shared" si="14"/>
        <v>#DIV/0!</v>
      </c>
      <c r="AP35" s="334" t="e">
        <f t="shared" si="15"/>
        <v>#DIV/0!</v>
      </c>
      <c r="AQ35" s="330"/>
      <c r="AR35" s="331"/>
      <c r="AS35" s="332"/>
      <c r="AT35" s="333"/>
      <c r="AU35" s="334"/>
      <c r="AV35" s="334"/>
      <c r="AW35" s="334"/>
      <c r="AX35" s="334"/>
      <c r="AY35" s="334"/>
      <c r="AZ35" s="334"/>
      <c r="BA35" s="334"/>
      <c r="BB35" s="334"/>
      <c r="BC35" s="334"/>
      <c r="BD35" s="332"/>
      <c r="BE35" s="332"/>
      <c r="BF35" s="332"/>
      <c r="BG35" s="335"/>
      <c r="BH35" s="334" t="e">
        <f t="shared" si="17"/>
        <v>#DIV/0!</v>
      </c>
      <c r="BI35" s="334" t="e">
        <f t="shared" si="18"/>
        <v>#DIV/0!</v>
      </c>
      <c r="BJ35" s="415">
        <f t="shared" si="8"/>
        <v>0</v>
      </c>
      <c r="BK35" s="415">
        <f t="shared" si="9"/>
        <v>0</v>
      </c>
      <c r="BL35" s="415">
        <f t="shared" si="10"/>
        <v>0</v>
      </c>
      <c r="BM35" s="415">
        <f t="shared" si="11"/>
        <v>0</v>
      </c>
    </row>
    <row r="36" spans="1:65" s="129" customFormat="1" ht="24.75" customHeight="1">
      <c r="A36" s="130" t="s">
        <v>144</v>
      </c>
      <c r="B36" s="131" t="s">
        <v>621</v>
      </c>
      <c r="C36" s="131"/>
      <c r="D36" s="133">
        <v>0.4</v>
      </c>
      <c r="E36" s="324">
        <f aca="true" t="shared" si="31" ref="E36:Q36">SUM(E37:E41)</f>
        <v>0</v>
      </c>
      <c r="F36" s="325">
        <f t="shared" si="31"/>
        <v>0</v>
      </c>
      <c r="G36" s="325">
        <f t="shared" si="31"/>
        <v>0</v>
      </c>
      <c r="H36" s="326">
        <f t="shared" si="31"/>
        <v>0</v>
      </c>
      <c r="I36" s="326">
        <f t="shared" si="31"/>
        <v>0</v>
      </c>
      <c r="J36" s="326">
        <f t="shared" si="31"/>
        <v>0</v>
      </c>
      <c r="K36" s="326">
        <f t="shared" si="31"/>
        <v>0</v>
      </c>
      <c r="L36" s="326">
        <f t="shared" si="31"/>
        <v>0</v>
      </c>
      <c r="M36" s="326">
        <f t="shared" si="31"/>
        <v>0</v>
      </c>
      <c r="N36" s="326">
        <f t="shared" si="31"/>
        <v>0</v>
      </c>
      <c r="O36" s="326">
        <f t="shared" si="31"/>
        <v>0</v>
      </c>
      <c r="P36" s="326">
        <f t="shared" si="31"/>
        <v>0</v>
      </c>
      <c r="Q36" s="326">
        <f t="shared" si="31"/>
        <v>0</v>
      </c>
      <c r="R36" s="327"/>
      <c r="S36" s="327"/>
      <c r="T36" s="327"/>
      <c r="U36" s="328"/>
      <c r="V36" s="329" t="e">
        <f t="shared" si="1"/>
        <v>#DIV/0!</v>
      </c>
      <c r="W36" s="329" t="e">
        <f t="shared" si="2"/>
        <v>#DIV/0!</v>
      </c>
      <c r="X36" s="356">
        <f aca="true" t="shared" si="32" ref="X36:AJ36">SUM(X37:X41)</f>
        <v>1107</v>
      </c>
      <c r="Y36" s="325">
        <f t="shared" si="32"/>
        <v>45</v>
      </c>
      <c r="Z36" s="325">
        <f t="shared" si="32"/>
        <v>45</v>
      </c>
      <c r="AA36" s="326">
        <f t="shared" si="32"/>
        <v>821.5894400000001</v>
      </c>
      <c r="AB36" s="326">
        <f t="shared" si="32"/>
        <v>614.3887500000001</v>
      </c>
      <c r="AC36" s="326">
        <f t="shared" si="32"/>
        <v>175.58127</v>
      </c>
      <c r="AD36" s="326">
        <f t="shared" si="32"/>
        <v>284.9663</v>
      </c>
      <c r="AE36" s="326">
        <f t="shared" si="32"/>
        <v>101.37299</v>
      </c>
      <c r="AF36" s="326">
        <f t="shared" si="32"/>
        <v>0</v>
      </c>
      <c r="AG36" s="326">
        <f t="shared" si="32"/>
        <v>0</v>
      </c>
      <c r="AH36" s="326">
        <f t="shared" si="32"/>
        <v>46.31154</v>
      </c>
      <c r="AI36" s="326">
        <f t="shared" si="32"/>
        <v>475.83000000000004</v>
      </c>
      <c r="AJ36" s="326">
        <f t="shared" si="32"/>
        <v>28.620820000000002</v>
      </c>
      <c r="AK36" s="327"/>
      <c r="AL36" s="327"/>
      <c r="AM36" s="327"/>
      <c r="AN36" s="328"/>
      <c r="AO36" s="329">
        <f t="shared" si="14"/>
        <v>742.176549232159</v>
      </c>
      <c r="AP36" s="329">
        <f t="shared" si="15"/>
        <v>18.25754311111111</v>
      </c>
      <c r="AQ36" s="324">
        <f aca="true" t="shared" si="33" ref="AQ36:BC36">SUM(AQ37:AQ41)</f>
        <v>260</v>
      </c>
      <c r="AR36" s="325">
        <f t="shared" si="33"/>
        <v>83</v>
      </c>
      <c r="AS36" s="325">
        <f t="shared" si="33"/>
        <v>83</v>
      </c>
      <c r="AT36" s="326">
        <f t="shared" si="33"/>
        <v>208.9821</v>
      </c>
      <c r="AU36" s="326">
        <f t="shared" si="33"/>
        <v>155.90534</v>
      </c>
      <c r="AV36" s="326">
        <f t="shared" si="33"/>
        <v>41.2386</v>
      </c>
      <c r="AW36" s="326">
        <f t="shared" si="33"/>
        <v>95.18639999999999</v>
      </c>
      <c r="AX36" s="326">
        <f t="shared" si="33"/>
        <v>24.95335</v>
      </c>
      <c r="AY36" s="326">
        <f t="shared" si="33"/>
        <v>0</v>
      </c>
      <c r="AZ36" s="326">
        <f t="shared" si="33"/>
        <v>0</v>
      </c>
      <c r="BA36" s="326">
        <f t="shared" si="33"/>
        <v>12.10468</v>
      </c>
      <c r="BB36" s="326">
        <f t="shared" si="33"/>
        <v>158.61</v>
      </c>
      <c r="BC36" s="326">
        <f t="shared" si="33"/>
        <v>9.51864</v>
      </c>
      <c r="BD36" s="327"/>
      <c r="BE36" s="327"/>
      <c r="BF36" s="327"/>
      <c r="BG36" s="328"/>
      <c r="BH36" s="329">
        <f t="shared" si="17"/>
        <v>803.7773076923077</v>
      </c>
      <c r="BI36" s="329">
        <f t="shared" si="18"/>
        <v>2.517856626506024</v>
      </c>
      <c r="BJ36" s="415">
        <f t="shared" si="8"/>
        <v>1367</v>
      </c>
      <c r="BK36" s="415">
        <f t="shared" si="9"/>
        <v>128</v>
      </c>
      <c r="BL36" s="415">
        <f t="shared" si="10"/>
        <v>128</v>
      </c>
      <c r="BM36" s="415">
        <f t="shared" si="11"/>
        <v>1030.5715400000001</v>
      </c>
    </row>
    <row r="37" spans="1:65" s="129" customFormat="1" ht="18.75">
      <c r="A37" s="141" t="s">
        <v>146</v>
      </c>
      <c r="B37" s="347" t="s">
        <v>787</v>
      </c>
      <c r="C37" s="357" t="s">
        <v>788</v>
      </c>
      <c r="D37" s="144">
        <v>0.4</v>
      </c>
      <c r="E37" s="330"/>
      <c r="F37" s="331"/>
      <c r="G37" s="331"/>
      <c r="H37" s="342"/>
      <c r="I37" s="334"/>
      <c r="J37" s="334"/>
      <c r="K37" s="334"/>
      <c r="L37" s="334"/>
      <c r="M37" s="334"/>
      <c r="N37" s="334"/>
      <c r="O37" s="334"/>
      <c r="P37" s="334"/>
      <c r="Q37" s="334"/>
      <c r="R37" s="332"/>
      <c r="S37" s="332"/>
      <c r="T37" s="332"/>
      <c r="U37" s="335"/>
      <c r="V37" s="334" t="e">
        <f t="shared" si="1"/>
        <v>#DIV/0!</v>
      </c>
      <c r="W37" s="334" t="e">
        <f t="shared" si="2"/>
        <v>#DIV/0!</v>
      </c>
      <c r="X37" s="343">
        <v>582</v>
      </c>
      <c r="Y37" s="331">
        <v>15</v>
      </c>
      <c r="Z37" s="331">
        <v>15</v>
      </c>
      <c r="AA37" s="342">
        <v>395.189</v>
      </c>
      <c r="AB37" s="334">
        <v>302.098</v>
      </c>
      <c r="AC37" s="334">
        <v>92.31102</v>
      </c>
      <c r="AD37" s="334">
        <v>79.63392</v>
      </c>
      <c r="AE37" s="334">
        <v>45.155</v>
      </c>
      <c r="AF37" s="334">
        <v>0</v>
      </c>
      <c r="AG37" s="334">
        <v>0</v>
      </c>
      <c r="AH37" s="334">
        <v>21.054</v>
      </c>
      <c r="AI37" s="334">
        <v>158.61</v>
      </c>
      <c r="AJ37" s="334">
        <v>9.95424</v>
      </c>
      <c r="AK37" s="150" t="s">
        <v>119</v>
      </c>
      <c r="AL37" s="151" t="s">
        <v>120</v>
      </c>
      <c r="AM37" s="332"/>
      <c r="AN37" s="335">
        <v>213</v>
      </c>
      <c r="AO37" s="334">
        <f t="shared" si="14"/>
        <v>679.0189003436426</v>
      </c>
      <c r="AP37" s="334">
        <f t="shared" si="15"/>
        <v>26.345933333333335</v>
      </c>
      <c r="AQ37" s="330"/>
      <c r="AR37" s="331"/>
      <c r="AS37" s="331"/>
      <c r="AT37" s="342"/>
      <c r="AU37" s="334"/>
      <c r="AV37" s="334"/>
      <c r="AW37" s="334"/>
      <c r="AX37" s="334"/>
      <c r="AY37" s="334"/>
      <c r="AZ37" s="334"/>
      <c r="BA37" s="334"/>
      <c r="BB37" s="334"/>
      <c r="BC37" s="334"/>
      <c r="BD37" s="332"/>
      <c r="BE37" s="332"/>
      <c r="BF37" s="332"/>
      <c r="BG37" s="335"/>
      <c r="BH37" s="334" t="e">
        <f t="shared" si="17"/>
        <v>#DIV/0!</v>
      </c>
      <c r="BI37" s="334" t="e">
        <f t="shared" si="18"/>
        <v>#DIV/0!</v>
      </c>
      <c r="BJ37" s="415">
        <f t="shared" si="8"/>
        <v>582</v>
      </c>
      <c r="BK37" s="415">
        <f t="shared" si="9"/>
        <v>15</v>
      </c>
      <c r="BL37" s="415">
        <f t="shared" si="10"/>
        <v>15</v>
      </c>
      <c r="BM37" s="415">
        <f t="shared" si="11"/>
        <v>395.189</v>
      </c>
    </row>
    <row r="38" spans="1:65" s="129" customFormat="1" ht="18.75">
      <c r="A38" s="141" t="s">
        <v>149</v>
      </c>
      <c r="B38" s="173" t="s">
        <v>798</v>
      </c>
      <c r="C38" s="357" t="s">
        <v>799</v>
      </c>
      <c r="D38" s="144">
        <v>0.4</v>
      </c>
      <c r="E38" s="345"/>
      <c r="F38" s="245"/>
      <c r="G38" s="245"/>
      <c r="H38" s="342"/>
      <c r="I38" s="334"/>
      <c r="J38" s="334"/>
      <c r="K38" s="334"/>
      <c r="L38" s="334"/>
      <c r="M38" s="334"/>
      <c r="N38" s="334"/>
      <c r="O38" s="334"/>
      <c r="P38" s="334"/>
      <c r="Q38" s="334"/>
      <c r="R38" s="332"/>
      <c r="S38" s="332"/>
      <c r="T38" s="332"/>
      <c r="U38" s="335"/>
      <c r="V38" s="334" t="e">
        <f t="shared" si="1"/>
        <v>#DIV/0!</v>
      </c>
      <c r="W38" s="334" t="e">
        <f t="shared" si="2"/>
        <v>#DIV/0!</v>
      </c>
      <c r="X38" s="346">
        <v>225</v>
      </c>
      <c r="Y38" s="245">
        <v>15</v>
      </c>
      <c r="Z38" s="245">
        <v>15</v>
      </c>
      <c r="AA38" s="342">
        <v>216.77216</v>
      </c>
      <c r="AB38" s="334">
        <v>156.0503</v>
      </c>
      <c r="AC38" s="334">
        <v>35.68725</v>
      </c>
      <c r="AD38" s="334">
        <f>46.66645+65.33303</f>
        <v>111.99947999999999</v>
      </c>
      <c r="AE38" s="334">
        <v>29.9721</v>
      </c>
      <c r="AF38" s="334">
        <v>0</v>
      </c>
      <c r="AG38" s="334">
        <v>0</v>
      </c>
      <c r="AH38" s="334">
        <v>13.35388</v>
      </c>
      <c r="AI38" s="334">
        <v>158.61</v>
      </c>
      <c r="AJ38" s="334">
        <v>9.33329</v>
      </c>
      <c r="AK38" s="150" t="s">
        <v>119</v>
      </c>
      <c r="AL38" s="151" t="s">
        <v>120</v>
      </c>
      <c r="AM38" s="332"/>
      <c r="AN38" s="335">
        <v>281</v>
      </c>
      <c r="AO38" s="334">
        <f t="shared" si="14"/>
        <v>963.4318222222222</v>
      </c>
      <c r="AP38" s="334">
        <f t="shared" si="15"/>
        <v>14.451477333333335</v>
      </c>
      <c r="AQ38" s="345"/>
      <c r="AR38" s="245"/>
      <c r="AS38" s="245"/>
      <c r="AT38" s="342"/>
      <c r="AU38" s="334"/>
      <c r="AV38" s="334"/>
      <c r="AW38" s="334"/>
      <c r="AX38" s="334"/>
      <c r="AY38" s="334"/>
      <c r="AZ38" s="334"/>
      <c r="BA38" s="334"/>
      <c r="BB38" s="334"/>
      <c r="BC38" s="334"/>
      <c r="BD38" s="332"/>
      <c r="BE38" s="332"/>
      <c r="BF38" s="332"/>
      <c r="BG38" s="335"/>
      <c r="BH38" s="334" t="e">
        <f t="shared" si="17"/>
        <v>#DIV/0!</v>
      </c>
      <c r="BI38" s="334" t="e">
        <f t="shared" si="18"/>
        <v>#DIV/0!</v>
      </c>
      <c r="BJ38" s="415">
        <f t="shared" si="8"/>
        <v>225</v>
      </c>
      <c r="BK38" s="415">
        <f t="shared" si="9"/>
        <v>15</v>
      </c>
      <c r="BL38" s="415">
        <f t="shared" si="10"/>
        <v>15</v>
      </c>
      <c r="BM38" s="415">
        <f t="shared" si="11"/>
        <v>216.77216</v>
      </c>
    </row>
    <row r="39" spans="1:65" s="129" customFormat="1" ht="18.75">
      <c r="A39" s="141" t="s">
        <v>152</v>
      </c>
      <c r="B39" s="173" t="s">
        <v>800</v>
      </c>
      <c r="C39" s="357" t="s">
        <v>801</v>
      </c>
      <c r="D39" s="144">
        <v>0.4</v>
      </c>
      <c r="E39" s="345"/>
      <c r="F39" s="245"/>
      <c r="G39" s="245"/>
      <c r="H39" s="342"/>
      <c r="I39" s="334"/>
      <c r="J39" s="334"/>
      <c r="K39" s="334"/>
      <c r="L39" s="334"/>
      <c r="M39" s="334"/>
      <c r="N39" s="334"/>
      <c r="O39" s="334"/>
      <c r="P39" s="334"/>
      <c r="Q39" s="334"/>
      <c r="R39" s="332"/>
      <c r="S39" s="332"/>
      <c r="T39" s="332"/>
      <c r="U39" s="335"/>
      <c r="V39" s="334" t="e">
        <f t="shared" si="1"/>
        <v>#DIV/0!</v>
      </c>
      <c r="W39" s="334" t="e">
        <f t="shared" si="2"/>
        <v>#DIV/0!</v>
      </c>
      <c r="X39" s="346">
        <v>300</v>
      </c>
      <c r="Y39" s="245">
        <v>15</v>
      </c>
      <c r="Z39" s="245">
        <v>15</v>
      </c>
      <c r="AA39" s="342">
        <v>209.62828</v>
      </c>
      <c r="AB39" s="334">
        <v>156.24045</v>
      </c>
      <c r="AC39" s="334">
        <v>47.583</v>
      </c>
      <c r="AD39" s="334">
        <f>37.33316+55.99974</f>
        <v>93.3329</v>
      </c>
      <c r="AE39" s="334">
        <v>26.24589</v>
      </c>
      <c r="AF39" s="334">
        <v>0</v>
      </c>
      <c r="AG39" s="334">
        <v>0</v>
      </c>
      <c r="AH39" s="334">
        <v>11.90366</v>
      </c>
      <c r="AI39" s="334">
        <v>158.61</v>
      </c>
      <c r="AJ39" s="334">
        <v>9.33329</v>
      </c>
      <c r="AK39" s="150" t="s">
        <v>119</v>
      </c>
      <c r="AL39" s="151" t="s">
        <v>120</v>
      </c>
      <c r="AM39" s="332"/>
      <c r="AN39" s="335">
        <v>285</v>
      </c>
      <c r="AO39" s="334">
        <f t="shared" si="14"/>
        <v>698.7609333333334</v>
      </c>
      <c r="AP39" s="334">
        <f t="shared" si="15"/>
        <v>13.975218666666667</v>
      </c>
      <c r="AQ39" s="345"/>
      <c r="AR39" s="245"/>
      <c r="AS39" s="245"/>
      <c r="AT39" s="342"/>
      <c r="AU39" s="334"/>
      <c r="AV39" s="334"/>
      <c r="AW39" s="334"/>
      <c r="AX39" s="334"/>
      <c r="AY39" s="334"/>
      <c r="AZ39" s="334"/>
      <c r="BA39" s="334"/>
      <c r="BB39" s="334"/>
      <c r="BC39" s="334"/>
      <c r="BD39" s="332"/>
      <c r="BE39" s="332"/>
      <c r="BF39" s="332"/>
      <c r="BG39" s="335"/>
      <c r="BH39" s="334" t="e">
        <f t="shared" si="17"/>
        <v>#DIV/0!</v>
      </c>
      <c r="BI39" s="334" t="e">
        <f t="shared" si="18"/>
        <v>#DIV/0!</v>
      </c>
      <c r="BJ39" s="415">
        <f t="shared" si="8"/>
        <v>300</v>
      </c>
      <c r="BK39" s="415">
        <f t="shared" si="9"/>
        <v>15</v>
      </c>
      <c r="BL39" s="415">
        <f t="shared" si="10"/>
        <v>15</v>
      </c>
      <c r="BM39" s="415">
        <f t="shared" si="11"/>
        <v>209.62828</v>
      </c>
    </row>
    <row r="40" spans="1:65" s="129" customFormat="1" ht="18.75">
      <c r="A40" s="141" t="s">
        <v>161</v>
      </c>
      <c r="B40" s="177" t="s">
        <v>802</v>
      </c>
      <c r="C40" s="156" t="s">
        <v>803</v>
      </c>
      <c r="D40" s="144">
        <v>0.4</v>
      </c>
      <c r="E40" s="352"/>
      <c r="F40" s="353"/>
      <c r="G40" s="332"/>
      <c r="H40" s="349"/>
      <c r="I40" s="334"/>
      <c r="J40" s="334"/>
      <c r="K40" s="334"/>
      <c r="L40" s="334"/>
      <c r="M40" s="334"/>
      <c r="N40" s="334"/>
      <c r="O40" s="334"/>
      <c r="P40" s="334"/>
      <c r="Q40" s="334"/>
      <c r="R40" s="332"/>
      <c r="S40" s="332"/>
      <c r="T40" s="332"/>
      <c r="U40" s="335"/>
      <c r="V40" s="334" t="e">
        <f>H40/E40*1000</f>
        <v>#DIV/0!</v>
      </c>
      <c r="W40" s="334" t="e">
        <f>H40/F40</f>
        <v>#DIV/0!</v>
      </c>
      <c r="X40" s="354"/>
      <c r="Y40" s="353"/>
      <c r="Z40" s="332"/>
      <c r="AA40" s="349"/>
      <c r="AB40" s="334"/>
      <c r="AC40" s="334"/>
      <c r="AD40" s="334"/>
      <c r="AE40" s="334"/>
      <c r="AF40" s="334"/>
      <c r="AG40" s="334"/>
      <c r="AH40" s="334"/>
      <c r="AI40" s="334"/>
      <c r="AJ40" s="334"/>
      <c r="AK40" s="332"/>
      <c r="AL40" s="332"/>
      <c r="AM40" s="332"/>
      <c r="AN40" s="335"/>
      <c r="AO40" s="334" t="e">
        <f t="shared" si="14"/>
        <v>#DIV/0!</v>
      </c>
      <c r="AP40" s="334" t="e">
        <f t="shared" si="15"/>
        <v>#DIV/0!</v>
      </c>
      <c r="AQ40" s="145">
        <v>260</v>
      </c>
      <c r="AR40" s="146">
        <v>83</v>
      </c>
      <c r="AS40" s="147">
        <v>83</v>
      </c>
      <c r="AT40" s="166">
        <v>208.9821</v>
      </c>
      <c r="AU40" s="149">
        <v>155.90534</v>
      </c>
      <c r="AV40" s="149">
        <v>41.2386</v>
      </c>
      <c r="AW40" s="149">
        <f>57.11184+38.07456</f>
        <v>95.18639999999999</v>
      </c>
      <c r="AX40" s="149">
        <v>24.95335</v>
      </c>
      <c r="AY40" s="149">
        <v>0</v>
      </c>
      <c r="AZ40" s="149">
        <v>0</v>
      </c>
      <c r="BA40" s="149">
        <v>12.10468</v>
      </c>
      <c r="BB40" s="149">
        <v>158.61</v>
      </c>
      <c r="BC40" s="149">
        <v>9.51864</v>
      </c>
      <c r="BD40" s="150" t="s">
        <v>119</v>
      </c>
      <c r="BE40" s="151" t="s">
        <v>120</v>
      </c>
      <c r="BF40" s="332"/>
      <c r="BG40" s="335">
        <v>19</v>
      </c>
      <c r="BH40" s="334">
        <f t="shared" si="17"/>
        <v>803.7773076923077</v>
      </c>
      <c r="BI40" s="334">
        <f t="shared" si="18"/>
        <v>2.517856626506024</v>
      </c>
      <c r="BJ40" s="415">
        <f t="shared" si="8"/>
        <v>260</v>
      </c>
      <c r="BK40" s="415">
        <f t="shared" si="9"/>
        <v>83</v>
      </c>
      <c r="BL40" s="415">
        <f t="shared" si="10"/>
        <v>83</v>
      </c>
      <c r="BM40" s="415">
        <f t="shared" si="11"/>
        <v>208.9821</v>
      </c>
    </row>
    <row r="41" spans="1:65" s="129" customFormat="1" ht="14.25">
      <c r="A41" s="141"/>
      <c r="B41" s="351"/>
      <c r="C41" s="357"/>
      <c r="D41" s="144"/>
      <c r="E41" s="330"/>
      <c r="F41" s="331"/>
      <c r="G41" s="332"/>
      <c r="H41" s="333"/>
      <c r="I41" s="334"/>
      <c r="J41" s="334"/>
      <c r="K41" s="334"/>
      <c r="L41" s="334"/>
      <c r="M41" s="334"/>
      <c r="N41" s="334"/>
      <c r="O41" s="334"/>
      <c r="P41" s="334"/>
      <c r="Q41" s="334"/>
      <c r="R41" s="332"/>
      <c r="S41" s="332"/>
      <c r="T41" s="332"/>
      <c r="U41" s="335"/>
      <c r="V41" s="334" t="e">
        <f>H41/E41*1000</f>
        <v>#DIV/0!</v>
      </c>
      <c r="W41" s="334" t="e">
        <f>H41/F41</f>
        <v>#DIV/0!</v>
      </c>
      <c r="X41" s="336"/>
      <c r="Y41" s="331"/>
      <c r="Z41" s="332"/>
      <c r="AA41" s="333"/>
      <c r="AB41" s="334"/>
      <c r="AC41" s="334"/>
      <c r="AD41" s="334"/>
      <c r="AE41" s="334"/>
      <c r="AF41" s="334"/>
      <c r="AG41" s="334"/>
      <c r="AH41" s="334"/>
      <c r="AI41" s="334"/>
      <c r="AJ41" s="334"/>
      <c r="AK41" s="332"/>
      <c r="AL41" s="332"/>
      <c r="AM41" s="332"/>
      <c r="AN41" s="335"/>
      <c r="AO41" s="334" t="e">
        <f t="shared" si="14"/>
        <v>#DIV/0!</v>
      </c>
      <c r="AP41" s="334" t="e">
        <f t="shared" si="15"/>
        <v>#DIV/0!</v>
      </c>
      <c r="AQ41" s="330"/>
      <c r="AR41" s="331"/>
      <c r="AS41" s="332"/>
      <c r="AT41" s="333"/>
      <c r="AU41" s="334"/>
      <c r="AV41" s="334"/>
      <c r="AW41" s="334"/>
      <c r="AX41" s="334"/>
      <c r="AY41" s="334"/>
      <c r="AZ41" s="334"/>
      <c r="BA41" s="334"/>
      <c r="BB41" s="334"/>
      <c r="BC41" s="334"/>
      <c r="BD41" s="332"/>
      <c r="BE41" s="332"/>
      <c r="BF41" s="332"/>
      <c r="BG41" s="335"/>
      <c r="BH41" s="334" t="e">
        <f t="shared" si="17"/>
        <v>#DIV/0!</v>
      </c>
      <c r="BI41" s="334" t="e">
        <f t="shared" si="18"/>
        <v>#DIV/0!</v>
      </c>
      <c r="BJ41" s="415">
        <f t="shared" si="8"/>
        <v>0</v>
      </c>
      <c r="BK41" s="415">
        <f t="shared" si="9"/>
        <v>0</v>
      </c>
      <c r="BL41" s="415">
        <f t="shared" si="10"/>
        <v>0</v>
      </c>
      <c r="BM41" s="415">
        <f t="shared" si="11"/>
        <v>0</v>
      </c>
    </row>
    <row r="42" spans="1:65" s="129" customFormat="1" ht="24.75" customHeight="1">
      <c r="A42" s="130" t="s">
        <v>335</v>
      </c>
      <c r="B42" s="131" t="s">
        <v>656</v>
      </c>
      <c r="C42" s="131"/>
      <c r="D42" s="133">
        <v>6</v>
      </c>
      <c r="E42" s="324">
        <f aca="true" t="shared" si="34" ref="E42:Q42">SUM(E43:E44)</f>
        <v>0</v>
      </c>
      <c r="F42" s="325">
        <f t="shared" si="34"/>
        <v>0</v>
      </c>
      <c r="G42" s="325">
        <f t="shared" si="34"/>
        <v>0</v>
      </c>
      <c r="H42" s="326">
        <f t="shared" si="34"/>
        <v>0</v>
      </c>
      <c r="I42" s="326">
        <f t="shared" si="34"/>
        <v>0</v>
      </c>
      <c r="J42" s="326">
        <f t="shared" si="34"/>
        <v>0</v>
      </c>
      <c r="K42" s="326">
        <f t="shared" si="34"/>
        <v>0</v>
      </c>
      <c r="L42" s="326">
        <f t="shared" si="34"/>
        <v>0</v>
      </c>
      <c r="M42" s="326">
        <f t="shared" si="34"/>
        <v>0</v>
      </c>
      <c r="N42" s="326">
        <f t="shared" si="34"/>
        <v>0</v>
      </c>
      <c r="O42" s="326">
        <f t="shared" si="34"/>
        <v>0</v>
      </c>
      <c r="P42" s="326">
        <f t="shared" si="34"/>
        <v>0</v>
      </c>
      <c r="Q42" s="326">
        <f t="shared" si="34"/>
        <v>0</v>
      </c>
      <c r="R42" s="327"/>
      <c r="S42" s="327"/>
      <c r="T42" s="327"/>
      <c r="U42" s="328"/>
      <c r="V42" s="329" t="e">
        <f t="shared" si="1"/>
        <v>#DIV/0!</v>
      </c>
      <c r="W42" s="329" t="e">
        <f t="shared" si="2"/>
        <v>#DIV/0!</v>
      </c>
      <c r="X42" s="325">
        <f aca="true" t="shared" si="35" ref="X42:AJ42">SUM(X43:X44)</f>
        <v>0</v>
      </c>
      <c r="Y42" s="325">
        <f t="shared" si="35"/>
        <v>0</v>
      </c>
      <c r="Z42" s="325">
        <f t="shared" si="35"/>
        <v>0</v>
      </c>
      <c r="AA42" s="326">
        <f t="shared" si="35"/>
        <v>0</v>
      </c>
      <c r="AB42" s="326">
        <f t="shared" si="35"/>
        <v>0</v>
      </c>
      <c r="AC42" s="326">
        <f t="shared" si="35"/>
        <v>0</v>
      </c>
      <c r="AD42" s="326">
        <f t="shared" si="35"/>
        <v>0</v>
      </c>
      <c r="AE42" s="326">
        <f t="shared" si="35"/>
        <v>0</v>
      </c>
      <c r="AF42" s="326">
        <f t="shared" si="35"/>
        <v>0</v>
      </c>
      <c r="AG42" s="326">
        <f t="shared" si="35"/>
        <v>0</v>
      </c>
      <c r="AH42" s="326">
        <f t="shared" si="35"/>
        <v>0</v>
      </c>
      <c r="AI42" s="326">
        <f t="shared" si="35"/>
        <v>0</v>
      </c>
      <c r="AJ42" s="326">
        <f t="shared" si="35"/>
        <v>0</v>
      </c>
      <c r="AK42" s="327"/>
      <c r="AL42" s="327"/>
      <c r="AM42" s="327"/>
      <c r="AN42" s="328"/>
      <c r="AO42" s="329" t="e">
        <f t="shared" si="14"/>
        <v>#DIV/0!</v>
      </c>
      <c r="AP42" s="329" t="e">
        <f t="shared" si="15"/>
        <v>#DIV/0!</v>
      </c>
      <c r="AQ42" s="324">
        <f aca="true" t="shared" si="36" ref="AQ42:BC42">SUM(AQ43:AQ44)</f>
        <v>0</v>
      </c>
      <c r="AR42" s="325">
        <f t="shared" si="36"/>
        <v>0</v>
      </c>
      <c r="AS42" s="325">
        <f t="shared" si="36"/>
        <v>0</v>
      </c>
      <c r="AT42" s="326">
        <f t="shared" si="36"/>
        <v>0</v>
      </c>
      <c r="AU42" s="326">
        <f t="shared" si="36"/>
        <v>0</v>
      </c>
      <c r="AV42" s="326">
        <f t="shared" si="36"/>
        <v>0</v>
      </c>
      <c r="AW42" s="326">
        <f t="shared" si="36"/>
        <v>0</v>
      </c>
      <c r="AX42" s="326">
        <f t="shared" si="36"/>
        <v>0</v>
      </c>
      <c r="AY42" s="326">
        <f t="shared" si="36"/>
        <v>0</v>
      </c>
      <c r="AZ42" s="326">
        <f t="shared" si="36"/>
        <v>0</v>
      </c>
      <c r="BA42" s="326">
        <f t="shared" si="36"/>
        <v>0</v>
      </c>
      <c r="BB42" s="326">
        <f t="shared" si="36"/>
        <v>0</v>
      </c>
      <c r="BC42" s="326">
        <f t="shared" si="36"/>
        <v>0</v>
      </c>
      <c r="BD42" s="327"/>
      <c r="BE42" s="327"/>
      <c r="BF42" s="327"/>
      <c r="BG42" s="328"/>
      <c r="BH42" s="329" t="e">
        <f t="shared" si="17"/>
        <v>#DIV/0!</v>
      </c>
      <c r="BI42" s="329" t="e">
        <f t="shared" si="18"/>
        <v>#DIV/0!</v>
      </c>
      <c r="BJ42" s="415">
        <f t="shared" si="8"/>
        <v>0</v>
      </c>
      <c r="BK42" s="415">
        <f t="shared" si="9"/>
        <v>0</v>
      </c>
      <c r="BL42" s="415">
        <f t="shared" si="10"/>
        <v>0</v>
      </c>
      <c r="BM42" s="415">
        <f t="shared" si="11"/>
        <v>0</v>
      </c>
    </row>
    <row r="43" spans="1:65" s="129" customFormat="1" ht="14.25">
      <c r="A43" s="141" t="s">
        <v>337</v>
      </c>
      <c r="B43" s="351"/>
      <c r="C43" s="341"/>
      <c r="D43" s="144">
        <v>6</v>
      </c>
      <c r="E43" s="330"/>
      <c r="F43" s="331"/>
      <c r="G43" s="331"/>
      <c r="H43" s="333"/>
      <c r="I43" s="334"/>
      <c r="J43" s="334"/>
      <c r="K43" s="334"/>
      <c r="L43" s="334"/>
      <c r="M43" s="334"/>
      <c r="N43" s="334"/>
      <c r="O43" s="334"/>
      <c r="P43" s="334"/>
      <c r="Q43" s="334"/>
      <c r="R43" s="332"/>
      <c r="S43" s="332"/>
      <c r="T43" s="332"/>
      <c r="U43" s="335"/>
      <c r="V43" s="334" t="e">
        <f t="shared" si="1"/>
        <v>#DIV/0!</v>
      </c>
      <c r="W43" s="334" t="e">
        <f t="shared" si="2"/>
        <v>#DIV/0!</v>
      </c>
      <c r="X43" s="336"/>
      <c r="Y43" s="331"/>
      <c r="Z43" s="331"/>
      <c r="AA43" s="333"/>
      <c r="AB43" s="334"/>
      <c r="AC43" s="334"/>
      <c r="AD43" s="334"/>
      <c r="AE43" s="334"/>
      <c r="AF43" s="334"/>
      <c r="AG43" s="334"/>
      <c r="AH43" s="334"/>
      <c r="AI43" s="334"/>
      <c r="AJ43" s="334"/>
      <c r="AK43" s="332"/>
      <c r="AL43" s="332"/>
      <c r="AM43" s="332"/>
      <c r="AN43" s="335"/>
      <c r="AO43" s="334" t="e">
        <f t="shared" si="14"/>
        <v>#DIV/0!</v>
      </c>
      <c r="AP43" s="334" t="e">
        <f t="shared" si="15"/>
        <v>#DIV/0!</v>
      </c>
      <c r="AQ43" s="330"/>
      <c r="AR43" s="331"/>
      <c r="AS43" s="331"/>
      <c r="AT43" s="333"/>
      <c r="AU43" s="334"/>
      <c r="AV43" s="334"/>
      <c r="AW43" s="334"/>
      <c r="AX43" s="334"/>
      <c r="AY43" s="334"/>
      <c r="AZ43" s="334"/>
      <c r="BA43" s="334"/>
      <c r="BB43" s="334"/>
      <c r="BC43" s="334"/>
      <c r="BD43" s="332"/>
      <c r="BE43" s="332"/>
      <c r="BF43" s="332"/>
      <c r="BG43" s="335"/>
      <c r="BH43" s="334" t="e">
        <f t="shared" si="17"/>
        <v>#DIV/0!</v>
      </c>
      <c r="BI43" s="334" t="e">
        <f t="shared" si="18"/>
        <v>#DIV/0!</v>
      </c>
      <c r="BJ43" s="415">
        <f t="shared" si="8"/>
        <v>0</v>
      </c>
      <c r="BK43" s="415">
        <f t="shared" si="9"/>
        <v>0</v>
      </c>
      <c r="BL43" s="415">
        <f t="shared" si="10"/>
        <v>0</v>
      </c>
      <c r="BM43" s="415">
        <f t="shared" si="11"/>
        <v>0</v>
      </c>
    </row>
    <row r="44" spans="1:65" s="129" customFormat="1" ht="14.25">
      <c r="A44" s="141"/>
      <c r="B44" s="351"/>
      <c r="C44" s="341"/>
      <c r="D44" s="144"/>
      <c r="E44" s="330"/>
      <c r="F44" s="331"/>
      <c r="G44" s="332"/>
      <c r="H44" s="333"/>
      <c r="I44" s="334"/>
      <c r="J44" s="334"/>
      <c r="K44" s="334"/>
      <c r="L44" s="334"/>
      <c r="M44" s="334"/>
      <c r="N44" s="334"/>
      <c r="O44" s="334"/>
      <c r="P44" s="334"/>
      <c r="Q44" s="334"/>
      <c r="R44" s="332"/>
      <c r="S44" s="332"/>
      <c r="T44" s="332"/>
      <c r="U44" s="335"/>
      <c r="V44" s="334" t="e">
        <f t="shared" si="1"/>
        <v>#DIV/0!</v>
      </c>
      <c r="W44" s="334" t="e">
        <f t="shared" si="2"/>
        <v>#DIV/0!</v>
      </c>
      <c r="X44" s="336"/>
      <c r="Y44" s="331"/>
      <c r="Z44" s="332"/>
      <c r="AA44" s="333"/>
      <c r="AB44" s="334"/>
      <c r="AC44" s="334"/>
      <c r="AD44" s="334"/>
      <c r="AE44" s="334"/>
      <c r="AF44" s="334"/>
      <c r="AG44" s="334"/>
      <c r="AH44" s="334"/>
      <c r="AI44" s="334"/>
      <c r="AJ44" s="334"/>
      <c r="AK44" s="332"/>
      <c r="AL44" s="332"/>
      <c r="AM44" s="332"/>
      <c r="AN44" s="335"/>
      <c r="AO44" s="334" t="e">
        <f t="shared" si="14"/>
        <v>#DIV/0!</v>
      </c>
      <c r="AP44" s="334" t="e">
        <f t="shared" si="15"/>
        <v>#DIV/0!</v>
      </c>
      <c r="AQ44" s="330"/>
      <c r="AR44" s="331"/>
      <c r="AS44" s="332"/>
      <c r="AT44" s="333"/>
      <c r="AU44" s="334"/>
      <c r="AV44" s="334"/>
      <c r="AW44" s="334"/>
      <c r="AX44" s="334"/>
      <c r="AY44" s="334"/>
      <c r="AZ44" s="334"/>
      <c r="BA44" s="334"/>
      <c r="BB44" s="334"/>
      <c r="BC44" s="334"/>
      <c r="BD44" s="332"/>
      <c r="BE44" s="332"/>
      <c r="BF44" s="332"/>
      <c r="BG44" s="335"/>
      <c r="BH44" s="334" t="e">
        <f t="shared" si="17"/>
        <v>#DIV/0!</v>
      </c>
      <c r="BI44" s="334" t="e">
        <f t="shared" si="18"/>
        <v>#DIV/0!</v>
      </c>
      <c r="BJ44" s="415">
        <f t="shared" si="8"/>
        <v>0</v>
      </c>
      <c r="BK44" s="415">
        <f t="shared" si="9"/>
        <v>0</v>
      </c>
      <c r="BL44" s="415">
        <f t="shared" si="10"/>
        <v>0</v>
      </c>
      <c r="BM44" s="415">
        <f t="shared" si="11"/>
        <v>0</v>
      </c>
    </row>
    <row r="45" spans="1:65" s="129" customFormat="1" ht="24.75" customHeight="1">
      <c r="A45" s="130" t="s">
        <v>364</v>
      </c>
      <c r="B45" s="131" t="s">
        <v>662</v>
      </c>
      <c r="C45" s="131"/>
      <c r="D45" s="133">
        <v>6</v>
      </c>
      <c r="E45" s="324">
        <f aca="true" t="shared" si="37" ref="E45:Q45">SUM(E46:E47)</f>
        <v>0</v>
      </c>
      <c r="F45" s="325">
        <f t="shared" si="37"/>
        <v>0</v>
      </c>
      <c r="G45" s="325">
        <f t="shared" si="37"/>
        <v>0</v>
      </c>
      <c r="H45" s="326">
        <f t="shared" si="37"/>
        <v>0</v>
      </c>
      <c r="I45" s="326">
        <f t="shared" si="37"/>
        <v>0</v>
      </c>
      <c r="J45" s="326">
        <f t="shared" si="37"/>
        <v>0</v>
      </c>
      <c r="K45" s="326">
        <f t="shared" si="37"/>
        <v>0</v>
      </c>
      <c r="L45" s="326">
        <f t="shared" si="37"/>
        <v>0</v>
      </c>
      <c r="M45" s="326">
        <f t="shared" si="37"/>
        <v>0</v>
      </c>
      <c r="N45" s="326">
        <f t="shared" si="37"/>
        <v>0</v>
      </c>
      <c r="O45" s="326">
        <f t="shared" si="37"/>
        <v>0</v>
      </c>
      <c r="P45" s="326">
        <f t="shared" si="37"/>
        <v>0</v>
      </c>
      <c r="Q45" s="326">
        <f t="shared" si="37"/>
        <v>0</v>
      </c>
      <c r="R45" s="327"/>
      <c r="S45" s="327"/>
      <c r="T45" s="327"/>
      <c r="U45" s="328"/>
      <c r="V45" s="329" t="e">
        <f t="shared" si="1"/>
        <v>#DIV/0!</v>
      </c>
      <c r="W45" s="329" t="e">
        <f t="shared" si="2"/>
        <v>#DIV/0!</v>
      </c>
      <c r="X45" s="325">
        <f aca="true" t="shared" si="38" ref="X45:AJ45">SUM(X46:X47)</f>
        <v>0</v>
      </c>
      <c r="Y45" s="325">
        <f t="shared" si="38"/>
        <v>0</v>
      </c>
      <c r="Z45" s="325">
        <f t="shared" si="38"/>
        <v>0</v>
      </c>
      <c r="AA45" s="326">
        <f t="shared" si="38"/>
        <v>0</v>
      </c>
      <c r="AB45" s="326">
        <f t="shared" si="38"/>
        <v>0</v>
      </c>
      <c r="AC45" s="326">
        <f t="shared" si="38"/>
        <v>0</v>
      </c>
      <c r="AD45" s="326">
        <f t="shared" si="38"/>
        <v>0</v>
      </c>
      <c r="AE45" s="326">
        <f t="shared" si="38"/>
        <v>0</v>
      </c>
      <c r="AF45" s="326">
        <f t="shared" si="38"/>
        <v>0</v>
      </c>
      <c r="AG45" s="326">
        <f t="shared" si="38"/>
        <v>0</v>
      </c>
      <c r="AH45" s="326">
        <f t="shared" si="38"/>
        <v>0</v>
      </c>
      <c r="AI45" s="326">
        <f t="shared" si="38"/>
        <v>0</v>
      </c>
      <c r="AJ45" s="326">
        <f t="shared" si="38"/>
        <v>0</v>
      </c>
      <c r="AK45" s="327"/>
      <c r="AL45" s="327"/>
      <c r="AM45" s="327"/>
      <c r="AN45" s="328"/>
      <c r="AO45" s="329" t="e">
        <f t="shared" si="14"/>
        <v>#DIV/0!</v>
      </c>
      <c r="AP45" s="329" t="e">
        <f t="shared" si="15"/>
        <v>#DIV/0!</v>
      </c>
      <c r="AQ45" s="324">
        <f aca="true" t="shared" si="39" ref="AQ45:BC45">SUM(AQ46:AQ47)</f>
        <v>0</v>
      </c>
      <c r="AR45" s="325">
        <f t="shared" si="39"/>
        <v>0</v>
      </c>
      <c r="AS45" s="325">
        <f t="shared" si="39"/>
        <v>0</v>
      </c>
      <c r="AT45" s="326">
        <f t="shared" si="39"/>
        <v>0</v>
      </c>
      <c r="AU45" s="326">
        <f t="shared" si="39"/>
        <v>0</v>
      </c>
      <c r="AV45" s="326">
        <f t="shared" si="39"/>
        <v>0</v>
      </c>
      <c r="AW45" s="326">
        <f t="shared" si="39"/>
        <v>0</v>
      </c>
      <c r="AX45" s="326">
        <f t="shared" si="39"/>
        <v>0</v>
      </c>
      <c r="AY45" s="326">
        <f t="shared" si="39"/>
        <v>0</v>
      </c>
      <c r="AZ45" s="326">
        <f t="shared" si="39"/>
        <v>0</v>
      </c>
      <c r="BA45" s="326">
        <f t="shared" si="39"/>
        <v>0</v>
      </c>
      <c r="BB45" s="326">
        <f t="shared" si="39"/>
        <v>0</v>
      </c>
      <c r="BC45" s="326">
        <f t="shared" si="39"/>
        <v>0</v>
      </c>
      <c r="BD45" s="327"/>
      <c r="BE45" s="327"/>
      <c r="BF45" s="327"/>
      <c r="BG45" s="328"/>
      <c r="BH45" s="329" t="e">
        <f t="shared" si="17"/>
        <v>#DIV/0!</v>
      </c>
      <c r="BI45" s="329" t="e">
        <f t="shared" si="18"/>
        <v>#DIV/0!</v>
      </c>
      <c r="BJ45" s="415">
        <f t="shared" si="8"/>
        <v>0</v>
      </c>
      <c r="BK45" s="415">
        <f t="shared" si="9"/>
        <v>0</v>
      </c>
      <c r="BL45" s="415">
        <f t="shared" si="10"/>
        <v>0</v>
      </c>
      <c r="BM45" s="415">
        <f t="shared" si="11"/>
        <v>0</v>
      </c>
    </row>
    <row r="46" spans="1:65" s="129" customFormat="1" ht="14.25">
      <c r="A46" s="141" t="s">
        <v>366</v>
      </c>
      <c r="B46" s="351"/>
      <c r="C46" s="341"/>
      <c r="D46" s="144">
        <v>6</v>
      </c>
      <c r="E46" s="330"/>
      <c r="F46" s="331"/>
      <c r="G46" s="331"/>
      <c r="H46" s="333"/>
      <c r="I46" s="334"/>
      <c r="J46" s="334"/>
      <c r="K46" s="334"/>
      <c r="L46" s="334"/>
      <c r="M46" s="334"/>
      <c r="N46" s="334"/>
      <c r="O46" s="334"/>
      <c r="P46" s="334"/>
      <c r="Q46" s="334"/>
      <c r="R46" s="332"/>
      <c r="S46" s="332"/>
      <c r="T46" s="332"/>
      <c r="U46" s="335"/>
      <c r="V46" s="334" t="e">
        <f t="shared" si="1"/>
        <v>#DIV/0!</v>
      </c>
      <c r="W46" s="334" t="e">
        <f t="shared" si="2"/>
        <v>#DIV/0!</v>
      </c>
      <c r="X46" s="336"/>
      <c r="Y46" s="331"/>
      <c r="Z46" s="331"/>
      <c r="AA46" s="333"/>
      <c r="AB46" s="334"/>
      <c r="AC46" s="334"/>
      <c r="AD46" s="334"/>
      <c r="AE46" s="334"/>
      <c r="AF46" s="334"/>
      <c r="AG46" s="334"/>
      <c r="AH46" s="334"/>
      <c r="AI46" s="334"/>
      <c r="AJ46" s="334"/>
      <c r="AK46" s="332"/>
      <c r="AL46" s="332"/>
      <c r="AM46" s="332"/>
      <c r="AN46" s="335"/>
      <c r="AO46" s="334" t="e">
        <f t="shared" si="14"/>
        <v>#DIV/0!</v>
      </c>
      <c r="AP46" s="334" t="e">
        <f t="shared" si="15"/>
        <v>#DIV/0!</v>
      </c>
      <c r="AQ46" s="330"/>
      <c r="AR46" s="331"/>
      <c r="AS46" s="331"/>
      <c r="AT46" s="333"/>
      <c r="AU46" s="334"/>
      <c r="AV46" s="334"/>
      <c r="AW46" s="334"/>
      <c r="AX46" s="334"/>
      <c r="AY46" s="334"/>
      <c r="AZ46" s="334"/>
      <c r="BA46" s="334"/>
      <c r="BB46" s="334"/>
      <c r="BC46" s="334"/>
      <c r="BD46" s="332"/>
      <c r="BE46" s="332"/>
      <c r="BF46" s="332"/>
      <c r="BG46" s="335"/>
      <c r="BH46" s="334" t="e">
        <f t="shared" si="17"/>
        <v>#DIV/0!</v>
      </c>
      <c r="BI46" s="334" t="e">
        <f t="shared" si="18"/>
        <v>#DIV/0!</v>
      </c>
      <c r="BJ46" s="415">
        <f t="shared" si="8"/>
        <v>0</v>
      </c>
      <c r="BK46" s="415">
        <f t="shared" si="9"/>
        <v>0</v>
      </c>
      <c r="BL46" s="415">
        <f t="shared" si="10"/>
        <v>0</v>
      </c>
      <c r="BM46" s="415">
        <f t="shared" si="11"/>
        <v>0</v>
      </c>
    </row>
    <row r="47" spans="1:65" s="129" customFormat="1" ht="14.25">
      <c r="A47" s="141"/>
      <c r="B47" s="351"/>
      <c r="C47" s="358"/>
      <c r="D47" s="144"/>
      <c r="E47" s="359"/>
      <c r="F47" s="332"/>
      <c r="G47" s="332"/>
      <c r="H47" s="333"/>
      <c r="I47" s="334"/>
      <c r="J47" s="334"/>
      <c r="K47" s="334"/>
      <c r="L47" s="334"/>
      <c r="M47" s="334"/>
      <c r="N47" s="334"/>
      <c r="O47" s="334"/>
      <c r="P47" s="334"/>
      <c r="Q47" s="334"/>
      <c r="R47" s="332"/>
      <c r="S47" s="332"/>
      <c r="T47" s="332"/>
      <c r="U47" s="335"/>
      <c r="V47" s="334" t="e">
        <f t="shared" si="1"/>
        <v>#DIV/0!</v>
      </c>
      <c r="W47" s="334" t="e">
        <f t="shared" si="2"/>
        <v>#DIV/0!</v>
      </c>
      <c r="X47" s="332"/>
      <c r="Y47" s="332"/>
      <c r="Z47" s="332"/>
      <c r="AA47" s="333"/>
      <c r="AB47" s="334"/>
      <c r="AC47" s="334"/>
      <c r="AD47" s="334"/>
      <c r="AE47" s="334"/>
      <c r="AF47" s="334"/>
      <c r="AG47" s="334"/>
      <c r="AH47" s="334"/>
      <c r="AI47" s="334"/>
      <c r="AJ47" s="334"/>
      <c r="AK47" s="332"/>
      <c r="AL47" s="332"/>
      <c r="AM47" s="332"/>
      <c r="AN47" s="335"/>
      <c r="AO47" s="334" t="e">
        <f t="shared" si="14"/>
        <v>#DIV/0!</v>
      </c>
      <c r="AP47" s="334" t="e">
        <f t="shared" si="15"/>
        <v>#DIV/0!</v>
      </c>
      <c r="AQ47" s="359"/>
      <c r="AR47" s="332"/>
      <c r="AS47" s="332"/>
      <c r="AT47" s="333"/>
      <c r="AU47" s="334"/>
      <c r="AV47" s="334"/>
      <c r="AW47" s="334"/>
      <c r="AX47" s="334"/>
      <c r="AY47" s="334"/>
      <c r="AZ47" s="334"/>
      <c r="BA47" s="334"/>
      <c r="BB47" s="334"/>
      <c r="BC47" s="334"/>
      <c r="BD47" s="332"/>
      <c r="BE47" s="332"/>
      <c r="BF47" s="332"/>
      <c r="BG47" s="335"/>
      <c r="BH47" s="334" t="e">
        <f t="shared" si="17"/>
        <v>#DIV/0!</v>
      </c>
      <c r="BI47" s="334" t="e">
        <f t="shared" si="18"/>
        <v>#DIV/0!</v>
      </c>
      <c r="BJ47" s="415">
        <f t="shared" si="8"/>
        <v>0</v>
      </c>
      <c r="BK47" s="415">
        <f t="shared" si="9"/>
        <v>0</v>
      </c>
      <c r="BL47" s="415">
        <f t="shared" si="10"/>
        <v>0</v>
      </c>
      <c r="BM47" s="415">
        <f t="shared" si="11"/>
        <v>0</v>
      </c>
    </row>
    <row r="48" spans="1:65" s="129" customFormat="1" ht="90.75" customHeight="1">
      <c r="A48" s="119" t="s">
        <v>679</v>
      </c>
      <c r="B48" s="317" t="s">
        <v>680</v>
      </c>
      <c r="C48" s="317"/>
      <c r="D48" s="122"/>
      <c r="E48" s="323">
        <f aca="true" t="shared" si="40" ref="E48:Q48">E49+E52</f>
        <v>0</v>
      </c>
      <c r="F48" s="318">
        <f t="shared" si="40"/>
        <v>0</v>
      </c>
      <c r="G48" s="318">
        <f t="shared" si="40"/>
        <v>0</v>
      </c>
      <c r="H48" s="319">
        <f t="shared" si="40"/>
        <v>0</v>
      </c>
      <c r="I48" s="319">
        <f t="shared" si="40"/>
        <v>0</v>
      </c>
      <c r="J48" s="319">
        <f t="shared" si="40"/>
        <v>0</v>
      </c>
      <c r="K48" s="319">
        <f t="shared" si="40"/>
        <v>0</v>
      </c>
      <c r="L48" s="319">
        <f t="shared" si="40"/>
        <v>0</v>
      </c>
      <c r="M48" s="319">
        <f t="shared" si="40"/>
        <v>0</v>
      </c>
      <c r="N48" s="319">
        <f t="shared" si="40"/>
        <v>0</v>
      </c>
      <c r="O48" s="319">
        <f t="shared" si="40"/>
        <v>0</v>
      </c>
      <c r="P48" s="319">
        <f t="shared" si="40"/>
        <v>0</v>
      </c>
      <c r="Q48" s="319">
        <f t="shared" si="40"/>
        <v>0</v>
      </c>
      <c r="R48" s="320"/>
      <c r="S48" s="320"/>
      <c r="T48" s="320"/>
      <c r="U48" s="321"/>
      <c r="V48" s="322" t="e">
        <f t="shared" si="1"/>
        <v>#DIV/0!</v>
      </c>
      <c r="W48" s="322" t="e">
        <f t="shared" si="2"/>
        <v>#DIV/0!</v>
      </c>
      <c r="X48" s="318">
        <f aca="true" t="shared" si="41" ref="X48:AJ48">X49+X52</f>
        <v>0</v>
      </c>
      <c r="Y48" s="318">
        <f t="shared" si="41"/>
        <v>0</v>
      </c>
      <c r="Z48" s="318">
        <f t="shared" si="41"/>
        <v>0</v>
      </c>
      <c r="AA48" s="319">
        <f t="shared" si="41"/>
        <v>0</v>
      </c>
      <c r="AB48" s="319">
        <f t="shared" si="41"/>
        <v>0</v>
      </c>
      <c r="AC48" s="319">
        <f t="shared" si="41"/>
        <v>0</v>
      </c>
      <c r="AD48" s="319">
        <f t="shared" si="41"/>
        <v>0</v>
      </c>
      <c r="AE48" s="319">
        <f t="shared" si="41"/>
        <v>0</v>
      </c>
      <c r="AF48" s="319">
        <f t="shared" si="41"/>
        <v>0</v>
      </c>
      <c r="AG48" s="319">
        <f t="shared" si="41"/>
        <v>0</v>
      </c>
      <c r="AH48" s="319">
        <f t="shared" si="41"/>
        <v>0</v>
      </c>
      <c r="AI48" s="319">
        <f t="shared" si="41"/>
        <v>0</v>
      </c>
      <c r="AJ48" s="319">
        <f t="shared" si="41"/>
        <v>0</v>
      </c>
      <c r="AK48" s="320"/>
      <c r="AL48" s="320"/>
      <c r="AM48" s="320"/>
      <c r="AN48" s="321"/>
      <c r="AO48" s="322" t="e">
        <f t="shared" si="14"/>
        <v>#DIV/0!</v>
      </c>
      <c r="AP48" s="322" t="e">
        <f t="shared" si="15"/>
        <v>#DIV/0!</v>
      </c>
      <c r="AQ48" s="323">
        <f aca="true" t="shared" si="42" ref="AQ48:BC48">AQ49+AQ52</f>
        <v>0</v>
      </c>
      <c r="AR48" s="318">
        <f t="shared" si="42"/>
        <v>0</v>
      </c>
      <c r="AS48" s="318">
        <f t="shared" si="42"/>
        <v>0</v>
      </c>
      <c r="AT48" s="319">
        <f t="shared" si="42"/>
        <v>0</v>
      </c>
      <c r="AU48" s="319">
        <f t="shared" si="42"/>
        <v>0</v>
      </c>
      <c r="AV48" s="319">
        <f t="shared" si="42"/>
        <v>0</v>
      </c>
      <c r="AW48" s="319">
        <f t="shared" si="42"/>
        <v>0</v>
      </c>
      <c r="AX48" s="319">
        <f t="shared" si="42"/>
        <v>0</v>
      </c>
      <c r="AY48" s="319">
        <f t="shared" si="42"/>
        <v>0</v>
      </c>
      <c r="AZ48" s="319">
        <f t="shared" si="42"/>
        <v>0</v>
      </c>
      <c r="BA48" s="319">
        <f t="shared" si="42"/>
        <v>0</v>
      </c>
      <c r="BB48" s="319">
        <f t="shared" si="42"/>
        <v>0</v>
      </c>
      <c r="BC48" s="319">
        <f t="shared" si="42"/>
        <v>0</v>
      </c>
      <c r="BD48" s="320"/>
      <c r="BE48" s="320"/>
      <c r="BF48" s="320"/>
      <c r="BG48" s="321"/>
      <c r="BH48" s="322" t="e">
        <f t="shared" si="17"/>
        <v>#DIV/0!</v>
      </c>
      <c r="BI48" s="322" t="e">
        <f t="shared" si="18"/>
        <v>#DIV/0!</v>
      </c>
      <c r="BJ48" s="415">
        <f t="shared" si="8"/>
        <v>0</v>
      </c>
      <c r="BK48" s="415">
        <f t="shared" si="9"/>
        <v>0</v>
      </c>
      <c r="BL48" s="415">
        <f t="shared" si="10"/>
        <v>0</v>
      </c>
      <c r="BM48" s="415">
        <f t="shared" si="11"/>
        <v>0</v>
      </c>
    </row>
    <row r="49" spans="1:65" s="129" customFormat="1" ht="24.75" customHeight="1">
      <c r="A49" s="130" t="s">
        <v>114</v>
      </c>
      <c r="B49" s="131" t="s">
        <v>681</v>
      </c>
      <c r="C49" s="131"/>
      <c r="D49" s="133">
        <v>0.4</v>
      </c>
      <c r="E49" s="324">
        <f aca="true" t="shared" si="43" ref="E49:Q49">SUM(E50:E51)</f>
        <v>0</v>
      </c>
      <c r="F49" s="325">
        <f t="shared" si="43"/>
        <v>0</v>
      </c>
      <c r="G49" s="325">
        <f t="shared" si="43"/>
        <v>0</v>
      </c>
      <c r="H49" s="326">
        <f t="shared" si="43"/>
        <v>0</v>
      </c>
      <c r="I49" s="326">
        <f t="shared" si="43"/>
        <v>0</v>
      </c>
      <c r="J49" s="326">
        <f t="shared" si="43"/>
        <v>0</v>
      </c>
      <c r="K49" s="326">
        <f t="shared" si="43"/>
        <v>0</v>
      </c>
      <c r="L49" s="326">
        <f t="shared" si="43"/>
        <v>0</v>
      </c>
      <c r="M49" s="326">
        <f t="shared" si="43"/>
        <v>0</v>
      </c>
      <c r="N49" s="326">
        <f t="shared" si="43"/>
        <v>0</v>
      </c>
      <c r="O49" s="326">
        <f t="shared" si="43"/>
        <v>0</v>
      </c>
      <c r="P49" s="326">
        <f t="shared" si="43"/>
        <v>0</v>
      </c>
      <c r="Q49" s="326">
        <f t="shared" si="43"/>
        <v>0</v>
      </c>
      <c r="R49" s="327"/>
      <c r="S49" s="327"/>
      <c r="T49" s="327"/>
      <c r="U49" s="328"/>
      <c r="V49" s="329" t="e">
        <f t="shared" si="1"/>
        <v>#DIV/0!</v>
      </c>
      <c r="W49" s="329" t="e">
        <f t="shared" si="2"/>
        <v>#DIV/0!</v>
      </c>
      <c r="X49" s="325">
        <f aca="true" t="shared" si="44" ref="X49:AJ49">SUM(X50:X51)</f>
        <v>0</v>
      </c>
      <c r="Y49" s="325">
        <f t="shared" si="44"/>
        <v>0</v>
      </c>
      <c r="Z49" s="325">
        <f t="shared" si="44"/>
        <v>0</v>
      </c>
      <c r="AA49" s="326">
        <f t="shared" si="44"/>
        <v>0</v>
      </c>
      <c r="AB49" s="326">
        <f t="shared" si="44"/>
        <v>0</v>
      </c>
      <c r="AC49" s="326">
        <f t="shared" si="44"/>
        <v>0</v>
      </c>
      <c r="AD49" s="326">
        <f t="shared" si="44"/>
        <v>0</v>
      </c>
      <c r="AE49" s="326">
        <f t="shared" si="44"/>
        <v>0</v>
      </c>
      <c r="AF49" s="326">
        <f t="shared" si="44"/>
        <v>0</v>
      </c>
      <c r="AG49" s="326">
        <f t="shared" si="44"/>
        <v>0</v>
      </c>
      <c r="AH49" s="326">
        <f t="shared" si="44"/>
        <v>0</v>
      </c>
      <c r="AI49" s="326">
        <f t="shared" si="44"/>
        <v>0</v>
      </c>
      <c r="AJ49" s="326">
        <f t="shared" si="44"/>
        <v>0</v>
      </c>
      <c r="AK49" s="327"/>
      <c r="AL49" s="327"/>
      <c r="AM49" s="327"/>
      <c r="AN49" s="328"/>
      <c r="AO49" s="329" t="e">
        <f t="shared" si="14"/>
        <v>#DIV/0!</v>
      </c>
      <c r="AP49" s="329" t="e">
        <f t="shared" si="15"/>
        <v>#DIV/0!</v>
      </c>
      <c r="AQ49" s="324">
        <f aca="true" t="shared" si="45" ref="AQ49:BC49">SUM(AQ50:AQ51)</f>
        <v>0</v>
      </c>
      <c r="AR49" s="325">
        <f t="shared" si="45"/>
        <v>0</v>
      </c>
      <c r="AS49" s="325">
        <f t="shared" si="45"/>
        <v>0</v>
      </c>
      <c r="AT49" s="326">
        <f t="shared" si="45"/>
        <v>0</v>
      </c>
      <c r="AU49" s="326">
        <f t="shared" si="45"/>
        <v>0</v>
      </c>
      <c r="AV49" s="326">
        <f t="shared" si="45"/>
        <v>0</v>
      </c>
      <c r="AW49" s="326">
        <f t="shared" si="45"/>
        <v>0</v>
      </c>
      <c r="AX49" s="326">
        <f t="shared" si="45"/>
        <v>0</v>
      </c>
      <c r="AY49" s="326">
        <f t="shared" si="45"/>
        <v>0</v>
      </c>
      <c r="AZ49" s="326">
        <f t="shared" si="45"/>
        <v>0</v>
      </c>
      <c r="BA49" s="326">
        <f t="shared" si="45"/>
        <v>0</v>
      </c>
      <c r="BB49" s="326">
        <f t="shared" si="45"/>
        <v>0</v>
      </c>
      <c r="BC49" s="326">
        <f t="shared" si="45"/>
        <v>0</v>
      </c>
      <c r="BD49" s="327"/>
      <c r="BE49" s="327"/>
      <c r="BF49" s="327"/>
      <c r="BG49" s="328"/>
      <c r="BH49" s="329" t="e">
        <f t="shared" si="17"/>
        <v>#DIV/0!</v>
      </c>
      <c r="BI49" s="329" t="e">
        <f t="shared" si="18"/>
        <v>#DIV/0!</v>
      </c>
      <c r="BJ49" s="415">
        <f t="shared" si="8"/>
        <v>0</v>
      </c>
      <c r="BK49" s="415">
        <f t="shared" si="9"/>
        <v>0</v>
      </c>
      <c r="BL49" s="415">
        <f t="shared" si="10"/>
        <v>0</v>
      </c>
      <c r="BM49" s="415">
        <f t="shared" si="11"/>
        <v>0</v>
      </c>
    </row>
    <row r="50" spans="1:65" s="129" customFormat="1" ht="14.25">
      <c r="A50" s="141" t="s">
        <v>116</v>
      </c>
      <c r="B50" s="351"/>
      <c r="C50" s="360"/>
      <c r="D50" s="144">
        <v>0.4</v>
      </c>
      <c r="E50" s="361"/>
      <c r="F50" s="361"/>
      <c r="G50" s="332"/>
      <c r="H50" s="333"/>
      <c r="I50" s="334"/>
      <c r="J50" s="334"/>
      <c r="K50" s="334"/>
      <c r="L50" s="334"/>
      <c r="M50" s="334"/>
      <c r="N50" s="334"/>
      <c r="O50" s="334"/>
      <c r="P50" s="334"/>
      <c r="Q50" s="334"/>
      <c r="R50" s="332"/>
      <c r="S50" s="332"/>
      <c r="T50" s="332"/>
      <c r="U50" s="335"/>
      <c r="V50" s="334" t="e">
        <f t="shared" si="1"/>
        <v>#DIV/0!</v>
      </c>
      <c r="W50" s="334" t="e">
        <f t="shared" si="2"/>
        <v>#DIV/0!</v>
      </c>
      <c r="X50" s="362"/>
      <c r="Y50" s="361"/>
      <c r="Z50" s="332"/>
      <c r="AA50" s="333"/>
      <c r="AB50" s="334"/>
      <c r="AC50" s="334"/>
      <c r="AD50" s="334"/>
      <c r="AE50" s="334"/>
      <c r="AF50" s="334"/>
      <c r="AG50" s="334"/>
      <c r="AH50" s="334"/>
      <c r="AI50" s="334"/>
      <c r="AJ50" s="334"/>
      <c r="AK50" s="332"/>
      <c r="AL50" s="332"/>
      <c r="AM50" s="332"/>
      <c r="AN50" s="335"/>
      <c r="AO50" s="334" t="e">
        <f t="shared" si="14"/>
        <v>#DIV/0!</v>
      </c>
      <c r="AP50" s="334" t="e">
        <f t="shared" si="15"/>
        <v>#DIV/0!</v>
      </c>
      <c r="AQ50" s="361"/>
      <c r="AR50" s="361"/>
      <c r="AS50" s="332"/>
      <c r="AT50" s="333"/>
      <c r="AU50" s="334"/>
      <c r="AV50" s="334"/>
      <c r="AW50" s="334"/>
      <c r="AX50" s="334"/>
      <c r="AY50" s="334"/>
      <c r="AZ50" s="334"/>
      <c r="BA50" s="334"/>
      <c r="BB50" s="334"/>
      <c r="BC50" s="334"/>
      <c r="BD50" s="332"/>
      <c r="BE50" s="332"/>
      <c r="BF50" s="332"/>
      <c r="BG50" s="335"/>
      <c r="BH50" s="334" t="e">
        <f t="shared" si="17"/>
        <v>#DIV/0!</v>
      </c>
      <c r="BI50" s="334" t="e">
        <f t="shared" si="18"/>
        <v>#DIV/0!</v>
      </c>
      <c r="BJ50" s="415">
        <f t="shared" si="8"/>
        <v>0</v>
      </c>
      <c r="BK50" s="415">
        <f t="shared" si="9"/>
        <v>0</v>
      </c>
      <c r="BL50" s="415">
        <f t="shared" si="10"/>
        <v>0</v>
      </c>
      <c r="BM50" s="415">
        <f t="shared" si="11"/>
        <v>0</v>
      </c>
    </row>
    <row r="51" spans="1:65" s="129" customFormat="1" ht="14.25">
      <c r="A51" s="141"/>
      <c r="B51" s="351"/>
      <c r="C51" s="341"/>
      <c r="D51" s="144"/>
      <c r="E51" s="330"/>
      <c r="F51" s="331"/>
      <c r="G51" s="332"/>
      <c r="H51" s="333"/>
      <c r="I51" s="334"/>
      <c r="J51" s="334"/>
      <c r="K51" s="334"/>
      <c r="L51" s="334"/>
      <c r="M51" s="334"/>
      <c r="N51" s="334"/>
      <c r="O51" s="334"/>
      <c r="P51" s="334"/>
      <c r="Q51" s="334"/>
      <c r="R51" s="332"/>
      <c r="S51" s="332"/>
      <c r="T51" s="332"/>
      <c r="U51" s="335"/>
      <c r="V51" s="334" t="e">
        <f t="shared" si="1"/>
        <v>#DIV/0!</v>
      </c>
      <c r="W51" s="334" t="e">
        <f t="shared" si="2"/>
        <v>#DIV/0!</v>
      </c>
      <c r="X51" s="336"/>
      <c r="Y51" s="331"/>
      <c r="Z51" s="332"/>
      <c r="AA51" s="333"/>
      <c r="AB51" s="334"/>
      <c r="AC51" s="334"/>
      <c r="AD51" s="334"/>
      <c r="AE51" s="334"/>
      <c r="AF51" s="334"/>
      <c r="AG51" s="334"/>
      <c r="AH51" s="334"/>
      <c r="AI51" s="334"/>
      <c r="AJ51" s="334"/>
      <c r="AK51" s="332"/>
      <c r="AL51" s="332"/>
      <c r="AM51" s="332"/>
      <c r="AN51" s="335"/>
      <c r="AO51" s="334" t="e">
        <f t="shared" si="14"/>
        <v>#DIV/0!</v>
      </c>
      <c r="AP51" s="334" t="e">
        <f t="shared" si="15"/>
        <v>#DIV/0!</v>
      </c>
      <c r="AQ51" s="330"/>
      <c r="AR51" s="331"/>
      <c r="AS51" s="332"/>
      <c r="AT51" s="333"/>
      <c r="AU51" s="334"/>
      <c r="AV51" s="334"/>
      <c r="AW51" s="334"/>
      <c r="AX51" s="334"/>
      <c r="AY51" s="334"/>
      <c r="AZ51" s="334"/>
      <c r="BA51" s="334"/>
      <c r="BB51" s="334"/>
      <c r="BC51" s="334"/>
      <c r="BD51" s="332"/>
      <c r="BE51" s="332"/>
      <c r="BF51" s="332"/>
      <c r="BG51" s="335"/>
      <c r="BH51" s="334" t="e">
        <f t="shared" si="17"/>
        <v>#DIV/0!</v>
      </c>
      <c r="BI51" s="334" t="e">
        <f t="shared" si="18"/>
        <v>#DIV/0!</v>
      </c>
      <c r="BJ51" s="415">
        <f t="shared" si="8"/>
        <v>0</v>
      </c>
      <c r="BK51" s="415">
        <f t="shared" si="9"/>
        <v>0</v>
      </c>
      <c r="BL51" s="415">
        <f t="shared" si="10"/>
        <v>0</v>
      </c>
      <c r="BM51" s="415">
        <f t="shared" si="11"/>
        <v>0</v>
      </c>
    </row>
    <row r="52" spans="1:65" s="129" customFormat="1" ht="24.75" customHeight="1">
      <c r="A52" s="130" t="s">
        <v>144</v>
      </c>
      <c r="B52" s="131" t="s">
        <v>682</v>
      </c>
      <c r="C52" s="131"/>
      <c r="D52" s="133">
        <v>0.4</v>
      </c>
      <c r="E52" s="324">
        <f>SUM(E54)</f>
        <v>0</v>
      </c>
      <c r="F52" s="325">
        <f aca="true" t="shared" si="46" ref="F52:Q52">SUM(F54)</f>
        <v>0</v>
      </c>
      <c r="G52" s="325">
        <f t="shared" si="46"/>
        <v>0</v>
      </c>
      <c r="H52" s="326">
        <f t="shared" si="46"/>
        <v>0</v>
      </c>
      <c r="I52" s="326">
        <f t="shared" si="46"/>
        <v>0</v>
      </c>
      <c r="J52" s="326">
        <f t="shared" si="46"/>
        <v>0</v>
      </c>
      <c r="K52" s="326">
        <f t="shared" si="46"/>
        <v>0</v>
      </c>
      <c r="L52" s="326">
        <f t="shared" si="46"/>
        <v>0</v>
      </c>
      <c r="M52" s="326">
        <f t="shared" si="46"/>
        <v>0</v>
      </c>
      <c r="N52" s="326">
        <f t="shared" si="46"/>
        <v>0</v>
      </c>
      <c r="O52" s="326">
        <f t="shared" si="46"/>
        <v>0</v>
      </c>
      <c r="P52" s="326">
        <f t="shared" si="46"/>
        <v>0</v>
      </c>
      <c r="Q52" s="326">
        <f t="shared" si="46"/>
        <v>0</v>
      </c>
      <c r="R52" s="327"/>
      <c r="S52" s="327"/>
      <c r="T52" s="327"/>
      <c r="U52" s="328"/>
      <c r="V52" s="329" t="e">
        <f t="shared" si="1"/>
        <v>#DIV/0!</v>
      </c>
      <c r="W52" s="329" t="e">
        <f t="shared" si="2"/>
        <v>#DIV/0!</v>
      </c>
      <c r="X52" s="325">
        <f>SUM(X54)</f>
        <v>0</v>
      </c>
      <c r="Y52" s="325">
        <f aca="true" t="shared" si="47" ref="Y52:AJ52">SUM(Y54)</f>
        <v>0</v>
      </c>
      <c r="Z52" s="325">
        <f t="shared" si="47"/>
        <v>0</v>
      </c>
      <c r="AA52" s="326">
        <f t="shared" si="47"/>
        <v>0</v>
      </c>
      <c r="AB52" s="326">
        <f t="shared" si="47"/>
        <v>0</v>
      </c>
      <c r="AC52" s="326">
        <f t="shared" si="47"/>
        <v>0</v>
      </c>
      <c r="AD52" s="326">
        <f t="shared" si="47"/>
        <v>0</v>
      </c>
      <c r="AE52" s="326">
        <f t="shared" si="47"/>
        <v>0</v>
      </c>
      <c r="AF52" s="326">
        <f t="shared" si="47"/>
        <v>0</v>
      </c>
      <c r="AG52" s="326">
        <f t="shared" si="47"/>
        <v>0</v>
      </c>
      <c r="AH52" s="326">
        <f t="shared" si="47"/>
        <v>0</v>
      </c>
      <c r="AI52" s="326">
        <f t="shared" si="47"/>
        <v>0</v>
      </c>
      <c r="AJ52" s="326">
        <f t="shared" si="47"/>
        <v>0</v>
      </c>
      <c r="AK52" s="327"/>
      <c r="AL52" s="327"/>
      <c r="AM52" s="327"/>
      <c r="AN52" s="328"/>
      <c r="AO52" s="329" t="e">
        <f t="shared" si="14"/>
        <v>#DIV/0!</v>
      </c>
      <c r="AP52" s="329" t="e">
        <f t="shared" si="15"/>
        <v>#DIV/0!</v>
      </c>
      <c r="AQ52" s="324">
        <f>SUM(AQ54)</f>
        <v>0</v>
      </c>
      <c r="AR52" s="325">
        <f aca="true" t="shared" si="48" ref="AR52:BC52">SUM(AR54)</f>
        <v>0</v>
      </c>
      <c r="AS52" s="325">
        <f t="shared" si="48"/>
        <v>0</v>
      </c>
      <c r="AT52" s="326">
        <f t="shared" si="48"/>
        <v>0</v>
      </c>
      <c r="AU52" s="326">
        <f t="shared" si="48"/>
        <v>0</v>
      </c>
      <c r="AV52" s="326">
        <f t="shared" si="48"/>
        <v>0</v>
      </c>
      <c r="AW52" s="326">
        <f t="shared" si="48"/>
        <v>0</v>
      </c>
      <c r="AX52" s="326">
        <f t="shared" si="48"/>
        <v>0</v>
      </c>
      <c r="AY52" s="326">
        <f t="shared" si="48"/>
        <v>0</v>
      </c>
      <c r="AZ52" s="326">
        <f t="shared" si="48"/>
        <v>0</v>
      </c>
      <c r="BA52" s="326">
        <f t="shared" si="48"/>
        <v>0</v>
      </c>
      <c r="BB52" s="326">
        <f t="shared" si="48"/>
        <v>0</v>
      </c>
      <c r="BC52" s="326">
        <f t="shared" si="48"/>
        <v>0</v>
      </c>
      <c r="BD52" s="327"/>
      <c r="BE52" s="327"/>
      <c r="BF52" s="327"/>
      <c r="BG52" s="328"/>
      <c r="BH52" s="329" t="e">
        <f t="shared" si="17"/>
        <v>#DIV/0!</v>
      </c>
      <c r="BI52" s="329" t="e">
        <f t="shared" si="18"/>
        <v>#DIV/0!</v>
      </c>
      <c r="BJ52" s="415">
        <f t="shared" si="8"/>
        <v>0</v>
      </c>
      <c r="BK52" s="415">
        <f t="shared" si="9"/>
        <v>0</v>
      </c>
      <c r="BL52" s="415">
        <f t="shared" si="10"/>
        <v>0</v>
      </c>
      <c r="BM52" s="415">
        <f t="shared" si="11"/>
        <v>0</v>
      </c>
    </row>
    <row r="53" spans="1:65" s="129" customFormat="1" ht="14.25">
      <c r="A53" s="141"/>
      <c r="B53" s="351"/>
      <c r="C53" s="341"/>
      <c r="D53" s="144">
        <v>0.4</v>
      </c>
      <c r="E53" s="330"/>
      <c r="F53" s="331"/>
      <c r="G53" s="332"/>
      <c r="H53" s="333"/>
      <c r="I53" s="334"/>
      <c r="J53" s="334"/>
      <c r="K53" s="334"/>
      <c r="L53" s="334"/>
      <c r="M53" s="334"/>
      <c r="N53" s="334"/>
      <c r="O53" s="334"/>
      <c r="P53" s="334"/>
      <c r="Q53" s="334"/>
      <c r="R53" s="332"/>
      <c r="S53" s="332"/>
      <c r="T53" s="332"/>
      <c r="U53" s="335"/>
      <c r="V53" s="334" t="e">
        <f t="shared" si="1"/>
        <v>#DIV/0!</v>
      </c>
      <c r="W53" s="334" t="e">
        <f t="shared" si="2"/>
        <v>#DIV/0!</v>
      </c>
      <c r="X53" s="336"/>
      <c r="Y53" s="331"/>
      <c r="Z53" s="332"/>
      <c r="AA53" s="333"/>
      <c r="AB53" s="334"/>
      <c r="AC53" s="334"/>
      <c r="AD53" s="334"/>
      <c r="AE53" s="334"/>
      <c r="AF53" s="334"/>
      <c r="AG53" s="334"/>
      <c r="AH53" s="334"/>
      <c r="AI53" s="334"/>
      <c r="AJ53" s="334"/>
      <c r="AK53" s="332"/>
      <c r="AL53" s="332"/>
      <c r="AM53" s="332"/>
      <c r="AN53" s="335"/>
      <c r="AO53" s="334" t="e">
        <f t="shared" si="14"/>
        <v>#DIV/0!</v>
      </c>
      <c r="AP53" s="334" t="e">
        <f t="shared" si="15"/>
        <v>#DIV/0!</v>
      </c>
      <c r="AQ53" s="330"/>
      <c r="AR53" s="331"/>
      <c r="AS53" s="332"/>
      <c r="AT53" s="333"/>
      <c r="AU53" s="334"/>
      <c r="AV53" s="334"/>
      <c r="AW53" s="334"/>
      <c r="AX53" s="334"/>
      <c r="AY53" s="334"/>
      <c r="AZ53" s="334"/>
      <c r="BA53" s="334"/>
      <c r="BB53" s="334"/>
      <c r="BC53" s="334"/>
      <c r="BD53" s="332"/>
      <c r="BE53" s="332"/>
      <c r="BF53" s="332"/>
      <c r="BG53" s="335"/>
      <c r="BH53" s="334" t="e">
        <f t="shared" si="17"/>
        <v>#DIV/0!</v>
      </c>
      <c r="BI53" s="334" t="e">
        <f t="shared" si="18"/>
        <v>#DIV/0!</v>
      </c>
      <c r="BJ53" s="415">
        <f t="shared" si="8"/>
        <v>0</v>
      </c>
      <c r="BK53" s="415">
        <f t="shared" si="9"/>
        <v>0</v>
      </c>
      <c r="BL53" s="415">
        <f t="shared" si="10"/>
        <v>0</v>
      </c>
      <c r="BM53" s="415">
        <f t="shared" si="11"/>
        <v>0</v>
      </c>
    </row>
    <row r="54" spans="1:65" s="129" customFormat="1" ht="14.25">
      <c r="A54" s="141"/>
      <c r="B54" s="351"/>
      <c r="C54" s="341"/>
      <c r="D54" s="144"/>
      <c r="E54" s="330"/>
      <c r="F54" s="331"/>
      <c r="G54" s="332"/>
      <c r="H54" s="333"/>
      <c r="I54" s="334"/>
      <c r="J54" s="334"/>
      <c r="K54" s="334"/>
      <c r="L54" s="334"/>
      <c r="M54" s="334"/>
      <c r="N54" s="334"/>
      <c r="O54" s="334"/>
      <c r="P54" s="334"/>
      <c r="Q54" s="334"/>
      <c r="R54" s="332"/>
      <c r="S54" s="332"/>
      <c r="T54" s="332"/>
      <c r="U54" s="335"/>
      <c r="V54" s="334" t="e">
        <f t="shared" si="1"/>
        <v>#DIV/0!</v>
      </c>
      <c r="W54" s="334" t="e">
        <f t="shared" si="2"/>
        <v>#DIV/0!</v>
      </c>
      <c r="X54" s="336"/>
      <c r="Y54" s="331"/>
      <c r="Z54" s="332"/>
      <c r="AA54" s="333"/>
      <c r="AB54" s="334"/>
      <c r="AC54" s="334"/>
      <c r="AD54" s="334"/>
      <c r="AE54" s="334"/>
      <c r="AF54" s="334"/>
      <c r="AG54" s="334"/>
      <c r="AH54" s="334"/>
      <c r="AI54" s="334"/>
      <c r="AJ54" s="334"/>
      <c r="AK54" s="332"/>
      <c r="AL54" s="332"/>
      <c r="AM54" s="332"/>
      <c r="AN54" s="335"/>
      <c r="AO54" s="334" t="e">
        <f t="shared" si="14"/>
        <v>#DIV/0!</v>
      </c>
      <c r="AP54" s="334" t="e">
        <f t="shared" si="15"/>
        <v>#DIV/0!</v>
      </c>
      <c r="AQ54" s="330"/>
      <c r="AR54" s="331"/>
      <c r="AS54" s="332"/>
      <c r="AT54" s="333"/>
      <c r="AU54" s="334"/>
      <c r="AV54" s="334"/>
      <c r="AW54" s="334"/>
      <c r="AX54" s="334"/>
      <c r="AY54" s="334"/>
      <c r="AZ54" s="334"/>
      <c r="BA54" s="334"/>
      <c r="BB54" s="334"/>
      <c r="BC54" s="334"/>
      <c r="BD54" s="332"/>
      <c r="BE54" s="332"/>
      <c r="BF54" s="332"/>
      <c r="BG54" s="335"/>
      <c r="BH54" s="334" t="e">
        <f t="shared" si="17"/>
        <v>#DIV/0!</v>
      </c>
      <c r="BI54" s="334" t="e">
        <f t="shared" si="18"/>
        <v>#DIV/0!</v>
      </c>
      <c r="BJ54" s="415">
        <f t="shared" si="8"/>
        <v>0</v>
      </c>
      <c r="BK54" s="415">
        <f t="shared" si="9"/>
        <v>0</v>
      </c>
      <c r="BL54" s="415">
        <f t="shared" si="10"/>
        <v>0</v>
      </c>
      <c r="BM54" s="415">
        <f t="shared" si="11"/>
        <v>0</v>
      </c>
    </row>
    <row r="55" spans="1:65" s="129" customFormat="1" ht="69">
      <c r="A55" s="207" t="s">
        <v>685</v>
      </c>
      <c r="B55" s="363" t="s">
        <v>686</v>
      </c>
      <c r="C55" s="363"/>
      <c r="D55" s="210"/>
      <c r="E55" s="364">
        <f>E56</f>
        <v>0</v>
      </c>
      <c r="F55" s="365">
        <f>F56</f>
        <v>0</v>
      </c>
      <c r="G55" s="365">
        <f>G56</f>
        <v>0</v>
      </c>
      <c r="H55" s="366">
        <f>H56</f>
        <v>0</v>
      </c>
      <c r="I55" s="366">
        <f aca="true" t="shared" si="49" ref="I55:Q55">I56</f>
        <v>0</v>
      </c>
      <c r="J55" s="366">
        <f t="shared" si="49"/>
        <v>0</v>
      </c>
      <c r="K55" s="366">
        <f t="shared" si="49"/>
        <v>0</v>
      </c>
      <c r="L55" s="366">
        <f t="shared" si="49"/>
        <v>0</v>
      </c>
      <c r="M55" s="366">
        <f t="shared" si="49"/>
        <v>0</v>
      </c>
      <c r="N55" s="366">
        <f t="shared" si="49"/>
        <v>0</v>
      </c>
      <c r="O55" s="366">
        <f t="shared" si="49"/>
        <v>0</v>
      </c>
      <c r="P55" s="366">
        <f t="shared" si="49"/>
        <v>0</v>
      </c>
      <c r="Q55" s="366">
        <f t="shared" si="49"/>
        <v>0</v>
      </c>
      <c r="R55" s="367"/>
      <c r="S55" s="367"/>
      <c r="T55" s="367"/>
      <c r="U55" s="368"/>
      <c r="V55" s="369" t="e">
        <f t="shared" si="1"/>
        <v>#DIV/0!</v>
      </c>
      <c r="W55" s="369" t="e">
        <f t="shared" si="2"/>
        <v>#DIV/0!</v>
      </c>
      <c r="X55" s="365">
        <f>X56</f>
        <v>0</v>
      </c>
      <c r="Y55" s="365">
        <f>Y56</f>
        <v>0</v>
      </c>
      <c r="Z55" s="365">
        <f>Z56</f>
        <v>0</v>
      </c>
      <c r="AA55" s="366">
        <f>AA56</f>
        <v>0</v>
      </c>
      <c r="AB55" s="366">
        <f aca="true" t="shared" si="50" ref="AB55:AJ55">AB56</f>
        <v>0</v>
      </c>
      <c r="AC55" s="366">
        <f t="shared" si="50"/>
        <v>0</v>
      </c>
      <c r="AD55" s="366">
        <f t="shared" si="50"/>
        <v>0</v>
      </c>
      <c r="AE55" s="366">
        <f t="shared" si="50"/>
        <v>0</v>
      </c>
      <c r="AF55" s="366">
        <f t="shared" si="50"/>
        <v>0</v>
      </c>
      <c r="AG55" s="366">
        <f t="shared" si="50"/>
        <v>0</v>
      </c>
      <c r="AH55" s="366">
        <f t="shared" si="50"/>
        <v>0</v>
      </c>
      <c r="AI55" s="366">
        <f t="shared" si="50"/>
        <v>0</v>
      </c>
      <c r="AJ55" s="366">
        <f t="shared" si="50"/>
        <v>0</v>
      </c>
      <c r="AK55" s="367"/>
      <c r="AL55" s="367"/>
      <c r="AM55" s="367"/>
      <c r="AN55" s="368"/>
      <c r="AO55" s="369" t="e">
        <f t="shared" si="14"/>
        <v>#DIV/0!</v>
      </c>
      <c r="AP55" s="369" t="e">
        <f t="shared" si="15"/>
        <v>#DIV/0!</v>
      </c>
      <c r="AQ55" s="364">
        <f>AQ56</f>
        <v>0</v>
      </c>
      <c r="AR55" s="365">
        <f>AR56</f>
        <v>0</v>
      </c>
      <c r="AS55" s="365">
        <f>AS56</f>
        <v>0</v>
      </c>
      <c r="AT55" s="366">
        <f>AT56</f>
        <v>0</v>
      </c>
      <c r="AU55" s="366">
        <f aca="true" t="shared" si="51" ref="AU55:BC55">AU56</f>
        <v>0</v>
      </c>
      <c r="AV55" s="366">
        <f t="shared" si="51"/>
        <v>0</v>
      </c>
      <c r="AW55" s="366">
        <f t="shared" si="51"/>
        <v>0</v>
      </c>
      <c r="AX55" s="366">
        <f t="shared" si="51"/>
        <v>0</v>
      </c>
      <c r="AY55" s="366">
        <f t="shared" si="51"/>
        <v>0</v>
      </c>
      <c r="AZ55" s="366">
        <f t="shared" si="51"/>
        <v>0</v>
      </c>
      <c r="BA55" s="366">
        <f t="shared" si="51"/>
        <v>0</v>
      </c>
      <c r="BB55" s="366">
        <f t="shared" si="51"/>
        <v>0</v>
      </c>
      <c r="BC55" s="366">
        <f t="shared" si="51"/>
        <v>0</v>
      </c>
      <c r="BD55" s="367"/>
      <c r="BE55" s="367"/>
      <c r="BF55" s="367"/>
      <c r="BG55" s="368"/>
      <c r="BH55" s="369" t="e">
        <f t="shared" si="17"/>
        <v>#DIV/0!</v>
      </c>
      <c r="BI55" s="369" t="e">
        <f t="shared" si="18"/>
        <v>#DIV/0!</v>
      </c>
      <c r="BJ55" s="415">
        <f t="shared" si="8"/>
        <v>0</v>
      </c>
      <c r="BK55" s="415">
        <f t="shared" si="9"/>
        <v>0</v>
      </c>
      <c r="BL55" s="415">
        <f t="shared" si="10"/>
        <v>0</v>
      </c>
      <c r="BM55" s="415">
        <f t="shared" si="11"/>
        <v>0</v>
      </c>
    </row>
    <row r="56" spans="1:65" s="129" customFormat="1" ht="24.75" customHeight="1">
      <c r="A56" s="130" t="s">
        <v>114</v>
      </c>
      <c r="B56" s="131" t="s">
        <v>687</v>
      </c>
      <c r="C56" s="131"/>
      <c r="D56" s="133">
        <v>0.4</v>
      </c>
      <c r="E56" s="324">
        <f>SUM(E58)</f>
        <v>0</v>
      </c>
      <c r="F56" s="325">
        <f aca="true" t="shared" si="52" ref="F56:Q56">SUM(F58)</f>
        <v>0</v>
      </c>
      <c r="G56" s="325">
        <f t="shared" si="52"/>
        <v>0</v>
      </c>
      <c r="H56" s="326">
        <f t="shared" si="52"/>
        <v>0</v>
      </c>
      <c r="I56" s="326">
        <f t="shared" si="52"/>
        <v>0</v>
      </c>
      <c r="J56" s="326">
        <f t="shared" si="52"/>
        <v>0</v>
      </c>
      <c r="K56" s="326">
        <f t="shared" si="52"/>
        <v>0</v>
      </c>
      <c r="L56" s="326">
        <f t="shared" si="52"/>
        <v>0</v>
      </c>
      <c r="M56" s="326">
        <f t="shared" si="52"/>
        <v>0</v>
      </c>
      <c r="N56" s="326">
        <f t="shared" si="52"/>
        <v>0</v>
      </c>
      <c r="O56" s="326">
        <f t="shared" si="52"/>
        <v>0</v>
      </c>
      <c r="P56" s="326">
        <f t="shared" si="52"/>
        <v>0</v>
      </c>
      <c r="Q56" s="326">
        <f t="shared" si="52"/>
        <v>0</v>
      </c>
      <c r="R56" s="327"/>
      <c r="S56" s="327"/>
      <c r="T56" s="327"/>
      <c r="U56" s="328"/>
      <c r="V56" s="329" t="e">
        <f t="shared" si="1"/>
        <v>#DIV/0!</v>
      </c>
      <c r="W56" s="329" t="e">
        <f t="shared" si="2"/>
        <v>#DIV/0!</v>
      </c>
      <c r="X56" s="325">
        <f>SUM(X58)</f>
        <v>0</v>
      </c>
      <c r="Y56" s="325">
        <f aca="true" t="shared" si="53" ref="Y56:AJ56">SUM(Y58)</f>
        <v>0</v>
      </c>
      <c r="Z56" s="325">
        <f t="shared" si="53"/>
        <v>0</v>
      </c>
      <c r="AA56" s="326">
        <f t="shared" si="53"/>
        <v>0</v>
      </c>
      <c r="AB56" s="326">
        <f t="shared" si="53"/>
        <v>0</v>
      </c>
      <c r="AC56" s="326">
        <f t="shared" si="53"/>
        <v>0</v>
      </c>
      <c r="AD56" s="326">
        <f t="shared" si="53"/>
        <v>0</v>
      </c>
      <c r="AE56" s="326">
        <f t="shared" si="53"/>
        <v>0</v>
      </c>
      <c r="AF56" s="326">
        <f t="shared" si="53"/>
        <v>0</v>
      </c>
      <c r="AG56" s="326">
        <f t="shared" si="53"/>
        <v>0</v>
      </c>
      <c r="AH56" s="326">
        <f t="shared" si="53"/>
        <v>0</v>
      </c>
      <c r="AI56" s="326">
        <f t="shared" si="53"/>
        <v>0</v>
      </c>
      <c r="AJ56" s="326">
        <f t="shared" si="53"/>
        <v>0</v>
      </c>
      <c r="AK56" s="327"/>
      <c r="AL56" s="327"/>
      <c r="AM56" s="327"/>
      <c r="AN56" s="328"/>
      <c r="AO56" s="329" t="e">
        <f t="shared" si="14"/>
        <v>#DIV/0!</v>
      </c>
      <c r="AP56" s="329" t="e">
        <f t="shared" si="15"/>
        <v>#DIV/0!</v>
      </c>
      <c r="AQ56" s="324">
        <f>SUM(AQ58)</f>
        <v>0</v>
      </c>
      <c r="AR56" s="325">
        <f aca="true" t="shared" si="54" ref="AR56:BC56">SUM(AR58)</f>
        <v>0</v>
      </c>
      <c r="AS56" s="325">
        <f t="shared" si="54"/>
        <v>0</v>
      </c>
      <c r="AT56" s="326">
        <f t="shared" si="54"/>
        <v>0</v>
      </c>
      <c r="AU56" s="326">
        <f t="shared" si="54"/>
        <v>0</v>
      </c>
      <c r="AV56" s="326">
        <f t="shared" si="54"/>
        <v>0</v>
      </c>
      <c r="AW56" s="326">
        <f t="shared" si="54"/>
        <v>0</v>
      </c>
      <c r="AX56" s="326">
        <f t="shared" si="54"/>
        <v>0</v>
      </c>
      <c r="AY56" s="326">
        <f t="shared" si="54"/>
        <v>0</v>
      </c>
      <c r="AZ56" s="326">
        <f t="shared" si="54"/>
        <v>0</v>
      </c>
      <c r="BA56" s="326">
        <f t="shared" si="54"/>
        <v>0</v>
      </c>
      <c r="BB56" s="326">
        <f t="shared" si="54"/>
        <v>0</v>
      </c>
      <c r="BC56" s="326">
        <f t="shared" si="54"/>
        <v>0</v>
      </c>
      <c r="BD56" s="327"/>
      <c r="BE56" s="327"/>
      <c r="BF56" s="327"/>
      <c r="BG56" s="328"/>
      <c r="BH56" s="329" t="e">
        <f t="shared" si="17"/>
        <v>#DIV/0!</v>
      </c>
      <c r="BI56" s="329" t="e">
        <f t="shared" si="18"/>
        <v>#DIV/0!</v>
      </c>
      <c r="BJ56" s="415">
        <f t="shared" si="8"/>
        <v>0</v>
      </c>
      <c r="BK56" s="415">
        <f t="shared" si="9"/>
        <v>0</v>
      </c>
      <c r="BL56" s="415">
        <f t="shared" si="10"/>
        <v>0</v>
      </c>
      <c r="BM56" s="415">
        <f t="shared" si="11"/>
        <v>0</v>
      </c>
    </row>
    <row r="57" spans="1:65" s="129" customFormat="1" ht="14.25">
      <c r="A57" s="141" t="s">
        <v>116</v>
      </c>
      <c r="B57" s="351"/>
      <c r="C57" s="341"/>
      <c r="D57" s="144">
        <v>0.4</v>
      </c>
      <c r="E57" s="330"/>
      <c r="F57" s="331"/>
      <c r="G57" s="331"/>
      <c r="H57" s="333"/>
      <c r="I57" s="334"/>
      <c r="J57" s="334"/>
      <c r="K57" s="334"/>
      <c r="L57" s="334"/>
      <c r="M57" s="334"/>
      <c r="N57" s="334"/>
      <c r="O57" s="334"/>
      <c r="P57" s="334"/>
      <c r="Q57" s="334"/>
      <c r="R57" s="332"/>
      <c r="S57" s="332"/>
      <c r="T57" s="332"/>
      <c r="U57" s="335"/>
      <c r="V57" s="334" t="e">
        <f t="shared" si="1"/>
        <v>#DIV/0!</v>
      </c>
      <c r="W57" s="334" t="e">
        <f t="shared" si="2"/>
        <v>#DIV/0!</v>
      </c>
      <c r="X57" s="336"/>
      <c r="Y57" s="331"/>
      <c r="Z57" s="331"/>
      <c r="AA57" s="333"/>
      <c r="AB57" s="334"/>
      <c r="AC57" s="334"/>
      <c r="AD57" s="334"/>
      <c r="AE57" s="334"/>
      <c r="AF57" s="334"/>
      <c r="AG57" s="334"/>
      <c r="AH57" s="334"/>
      <c r="AI57" s="334"/>
      <c r="AJ57" s="334"/>
      <c r="AK57" s="332"/>
      <c r="AL57" s="332"/>
      <c r="AM57" s="332"/>
      <c r="AN57" s="335"/>
      <c r="AO57" s="334" t="e">
        <f t="shared" si="14"/>
        <v>#DIV/0!</v>
      </c>
      <c r="AP57" s="334" t="e">
        <f t="shared" si="15"/>
        <v>#DIV/0!</v>
      </c>
      <c r="AQ57" s="330"/>
      <c r="AR57" s="331"/>
      <c r="AS57" s="331"/>
      <c r="AT57" s="333"/>
      <c r="AU57" s="334"/>
      <c r="AV57" s="334"/>
      <c r="AW57" s="334"/>
      <c r="AX57" s="334"/>
      <c r="AY57" s="334"/>
      <c r="AZ57" s="334"/>
      <c r="BA57" s="334"/>
      <c r="BB57" s="334"/>
      <c r="BC57" s="334"/>
      <c r="BD57" s="332"/>
      <c r="BE57" s="332"/>
      <c r="BF57" s="332"/>
      <c r="BG57" s="335"/>
      <c r="BH57" s="334" t="e">
        <f t="shared" si="17"/>
        <v>#DIV/0!</v>
      </c>
      <c r="BI57" s="334" t="e">
        <f t="shared" si="18"/>
        <v>#DIV/0!</v>
      </c>
      <c r="BJ57" s="415">
        <f t="shared" si="8"/>
        <v>0</v>
      </c>
      <c r="BK57" s="415">
        <f t="shared" si="9"/>
        <v>0</v>
      </c>
      <c r="BL57" s="415">
        <f t="shared" si="10"/>
        <v>0</v>
      </c>
      <c r="BM57" s="415">
        <f t="shared" si="11"/>
        <v>0</v>
      </c>
    </row>
    <row r="58" spans="1:65" s="129" customFormat="1" ht="14.25">
      <c r="A58" s="141"/>
      <c r="B58" s="351"/>
      <c r="C58" s="341"/>
      <c r="D58" s="144"/>
      <c r="E58" s="330"/>
      <c r="F58" s="331"/>
      <c r="G58" s="331"/>
      <c r="H58" s="333"/>
      <c r="I58" s="334"/>
      <c r="J58" s="334"/>
      <c r="K58" s="334"/>
      <c r="L58" s="334"/>
      <c r="M58" s="334"/>
      <c r="N58" s="334"/>
      <c r="O58" s="334"/>
      <c r="P58" s="334"/>
      <c r="Q58" s="334"/>
      <c r="R58" s="332"/>
      <c r="S58" s="332"/>
      <c r="T58" s="332"/>
      <c r="U58" s="335"/>
      <c r="V58" s="334" t="e">
        <f t="shared" si="1"/>
        <v>#DIV/0!</v>
      </c>
      <c r="W58" s="334" t="e">
        <f t="shared" si="2"/>
        <v>#DIV/0!</v>
      </c>
      <c r="X58" s="336"/>
      <c r="Y58" s="331"/>
      <c r="Z58" s="331"/>
      <c r="AA58" s="333"/>
      <c r="AB58" s="334"/>
      <c r="AC58" s="334"/>
      <c r="AD58" s="334"/>
      <c r="AE58" s="334"/>
      <c r="AF58" s="334"/>
      <c r="AG58" s="334"/>
      <c r="AH58" s="334"/>
      <c r="AI58" s="334"/>
      <c r="AJ58" s="334"/>
      <c r="AK58" s="332"/>
      <c r="AL58" s="332"/>
      <c r="AM58" s="332"/>
      <c r="AN58" s="335"/>
      <c r="AO58" s="334" t="e">
        <f t="shared" si="14"/>
        <v>#DIV/0!</v>
      </c>
      <c r="AP58" s="334" t="e">
        <f t="shared" si="15"/>
        <v>#DIV/0!</v>
      </c>
      <c r="AQ58" s="330"/>
      <c r="AR58" s="331"/>
      <c r="AS58" s="331"/>
      <c r="AT58" s="333"/>
      <c r="AU58" s="334"/>
      <c r="AV58" s="334"/>
      <c r="AW58" s="334"/>
      <c r="AX58" s="334"/>
      <c r="AY58" s="334"/>
      <c r="AZ58" s="334"/>
      <c r="BA58" s="334"/>
      <c r="BB58" s="334"/>
      <c r="BC58" s="334"/>
      <c r="BD58" s="332"/>
      <c r="BE58" s="332"/>
      <c r="BF58" s="332"/>
      <c r="BG58" s="335"/>
      <c r="BH58" s="334" t="e">
        <f t="shared" si="17"/>
        <v>#DIV/0!</v>
      </c>
      <c r="BI58" s="334" t="e">
        <f t="shared" si="18"/>
        <v>#DIV/0!</v>
      </c>
      <c r="BJ58" s="415">
        <f t="shared" si="8"/>
        <v>0</v>
      </c>
      <c r="BK58" s="415">
        <f t="shared" si="9"/>
        <v>0</v>
      </c>
      <c r="BL58" s="415">
        <f t="shared" si="10"/>
        <v>0</v>
      </c>
      <c r="BM58" s="415">
        <f t="shared" si="11"/>
        <v>0</v>
      </c>
    </row>
    <row r="59" spans="1:65" s="129" customFormat="1" ht="69">
      <c r="A59" s="207" t="s">
        <v>691</v>
      </c>
      <c r="B59" s="363" t="s">
        <v>692</v>
      </c>
      <c r="C59" s="363"/>
      <c r="D59" s="210"/>
      <c r="E59" s="364">
        <f aca="true" t="shared" si="55" ref="E59:Q59">E60+E63+E66+E69+E72</f>
        <v>0</v>
      </c>
      <c r="F59" s="365">
        <f t="shared" si="55"/>
        <v>0</v>
      </c>
      <c r="G59" s="365">
        <f t="shared" si="55"/>
        <v>0</v>
      </c>
      <c r="H59" s="366">
        <f t="shared" si="55"/>
        <v>0</v>
      </c>
      <c r="I59" s="366">
        <f t="shared" si="55"/>
        <v>0</v>
      </c>
      <c r="J59" s="366">
        <f t="shared" si="55"/>
        <v>0</v>
      </c>
      <c r="K59" s="366">
        <f t="shared" si="55"/>
        <v>0</v>
      </c>
      <c r="L59" s="366">
        <f t="shared" si="55"/>
        <v>0</v>
      </c>
      <c r="M59" s="366">
        <f t="shared" si="55"/>
        <v>0</v>
      </c>
      <c r="N59" s="366">
        <f t="shared" si="55"/>
        <v>0</v>
      </c>
      <c r="O59" s="366">
        <f t="shared" si="55"/>
        <v>0</v>
      </c>
      <c r="P59" s="366">
        <f t="shared" si="55"/>
        <v>0</v>
      </c>
      <c r="Q59" s="366">
        <f t="shared" si="55"/>
        <v>0</v>
      </c>
      <c r="R59" s="367"/>
      <c r="S59" s="367"/>
      <c r="T59" s="367"/>
      <c r="U59" s="368"/>
      <c r="V59" s="369" t="e">
        <f t="shared" si="1"/>
        <v>#DIV/0!</v>
      </c>
      <c r="W59" s="369" t="e">
        <f t="shared" si="2"/>
        <v>#DIV/0!</v>
      </c>
      <c r="X59" s="365">
        <f aca="true" t="shared" si="56" ref="X59:AJ59">X60+X63+X66+X69+X72</f>
        <v>0</v>
      </c>
      <c r="Y59" s="365">
        <f t="shared" si="56"/>
        <v>0</v>
      </c>
      <c r="Z59" s="365">
        <f t="shared" si="56"/>
        <v>0</v>
      </c>
      <c r="AA59" s="366">
        <f t="shared" si="56"/>
        <v>0</v>
      </c>
      <c r="AB59" s="366">
        <f t="shared" si="56"/>
        <v>0</v>
      </c>
      <c r="AC59" s="366">
        <f t="shared" si="56"/>
        <v>0</v>
      </c>
      <c r="AD59" s="366">
        <f t="shared" si="56"/>
        <v>0</v>
      </c>
      <c r="AE59" s="366">
        <f t="shared" si="56"/>
        <v>0</v>
      </c>
      <c r="AF59" s="366">
        <f t="shared" si="56"/>
        <v>0</v>
      </c>
      <c r="AG59" s="366">
        <f t="shared" si="56"/>
        <v>0</v>
      </c>
      <c r="AH59" s="366">
        <f t="shared" si="56"/>
        <v>0</v>
      </c>
      <c r="AI59" s="366">
        <f t="shared" si="56"/>
        <v>0</v>
      </c>
      <c r="AJ59" s="366">
        <f t="shared" si="56"/>
        <v>0</v>
      </c>
      <c r="AK59" s="367"/>
      <c r="AL59" s="367"/>
      <c r="AM59" s="367"/>
      <c r="AN59" s="368"/>
      <c r="AO59" s="369" t="e">
        <f t="shared" si="14"/>
        <v>#DIV/0!</v>
      </c>
      <c r="AP59" s="369" t="e">
        <f t="shared" si="15"/>
        <v>#DIV/0!</v>
      </c>
      <c r="AQ59" s="364">
        <f aca="true" t="shared" si="57" ref="AQ59:BC59">AQ60+AQ63+AQ66+AQ69+AQ72</f>
        <v>0</v>
      </c>
      <c r="AR59" s="365">
        <f t="shared" si="57"/>
        <v>0</v>
      </c>
      <c r="AS59" s="365">
        <f t="shared" si="57"/>
        <v>0</v>
      </c>
      <c r="AT59" s="366">
        <f t="shared" si="57"/>
        <v>0</v>
      </c>
      <c r="AU59" s="366">
        <f t="shared" si="57"/>
        <v>0</v>
      </c>
      <c r="AV59" s="366">
        <f t="shared" si="57"/>
        <v>0</v>
      </c>
      <c r="AW59" s="366">
        <f t="shared" si="57"/>
        <v>0</v>
      </c>
      <c r="AX59" s="366">
        <f t="shared" si="57"/>
        <v>0</v>
      </c>
      <c r="AY59" s="366">
        <f t="shared" si="57"/>
        <v>0</v>
      </c>
      <c r="AZ59" s="366">
        <f t="shared" si="57"/>
        <v>0</v>
      </c>
      <c r="BA59" s="366">
        <f t="shared" si="57"/>
        <v>0</v>
      </c>
      <c r="BB59" s="366">
        <f t="shared" si="57"/>
        <v>0</v>
      </c>
      <c r="BC59" s="366">
        <f t="shared" si="57"/>
        <v>0</v>
      </c>
      <c r="BD59" s="367"/>
      <c r="BE59" s="367"/>
      <c r="BF59" s="367"/>
      <c r="BG59" s="368"/>
      <c r="BH59" s="369" t="e">
        <f t="shared" si="17"/>
        <v>#DIV/0!</v>
      </c>
      <c r="BI59" s="369" t="e">
        <f t="shared" si="18"/>
        <v>#DIV/0!</v>
      </c>
      <c r="BJ59" s="415">
        <f t="shared" si="8"/>
        <v>0</v>
      </c>
      <c r="BK59" s="415">
        <f t="shared" si="9"/>
        <v>0</v>
      </c>
      <c r="BL59" s="415">
        <f t="shared" si="10"/>
        <v>0</v>
      </c>
      <c r="BM59" s="415">
        <f t="shared" si="11"/>
        <v>0</v>
      </c>
    </row>
    <row r="60" spans="1:65" s="129" customFormat="1" ht="24.75" customHeight="1">
      <c r="A60" s="130" t="s">
        <v>114</v>
      </c>
      <c r="B60" s="131" t="s">
        <v>693</v>
      </c>
      <c r="C60" s="131"/>
      <c r="D60" s="133">
        <v>0.4</v>
      </c>
      <c r="E60" s="324">
        <f aca="true" t="shared" si="58" ref="E60:Q60">SUM(E61:E62)</f>
        <v>0</v>
      </c>
      <c r="F60" s="325">
        <f t="shared" si="58"/>
        <v>0</v>
      </c>
      <c r="G60" s="325">
        <f t="shared" si="58"/>
        <v>0</v>
      </c>
      <c r="H60" s="326">
        <f t="shared" si="58"/>
        <v>0</v>
      </c>
      <c r="I60" s="326">
        <f t="shared" si="58"/>
        <v>0</v>
      </c>
      <c r="J60" s="326">
        <f t="shared" si="58"/>
        <v>0</v>
      </c>
      <c r="K60" s="326">
        <f t="shared" si="58"/>
        <v>0</v>
      </c>
      <c r="L60" s="326">
        <f t="shared" si="58"/>
        <v>0</v>
      </c>
      <c r="M60" s="326">
        <f t="shared" si="58"/>
        <v>0</v>
      </c>
      <c r="N60" s="326">
        <f t="shared" si="58"/>
        <v>0</v>
      </c>
      <c r="O60" s="326">
        <f t="shared" si="58"/>
        <v>0</v>
      </c>
      <c r="P60" s="326">
        <f t="shared" si="58"/>
        <v>0</v>
      </c>
      <c r="Q60" s="326">
        <f t="shared" si="58"/>
        <v>0</v>
      </c>
      <c r="R60" s="327"/>
      <c r="S60" s="327"/>
      <c r="T60" s="327"/>
      <c r="U60" s="328"/>
      <c r="V60" s="329" t="e">
        <f t="shared" si="1"/>
        <v>#DIV/0!</v>
      </c>
      <c r="W60" s="329" t="e">
        <f t="shared" si="2"/>
        <v>#DIV/0!</v>
      </c>
      <c r="X60" s="325">
        <f aca="true" t="shared" si="59" ref="X60:AJ60">SUM(X61:X62)</f>
        <v>0</v>
      </c>
      <c r="Y60" s="325">
        <f t="shared" si="59"/>
        <v>0</v>
      </c>
      <c r="Z60" s="325">
        <f t="shared" si="59"/>
        <v>0</v>
      </c>
      <c r="AA60" s="326">
        <f t="shared" si="59"/>
        <v>0</v>
      </c>
      <c r="AB60" s="326">
        <f t="shared" si="59"/>
        <v>0</v>
      </c>
      <c r="AC60" s="326">
        <f t="shared" si="59"/>
        <v>0</v>
      </c>
      <c r="AD60" s="326">
        <f t="shared" si="59"/>
        <v>0</v>
      </c>
      <c r="AE60" s="326">
        <f t="shared" si="59"/>
        <v>0</v>
      </c>
      <c r="AF60" s="326">
        <f t="shared" si="59"/>
        <v>0</v>
      </c>
      <c r="AG60" s="326">
        <f t="shared" si="59"/>
        <v>0</v>
      </c>
      <c r="AH60" s="326">
        <f t="shared" si="59"/>
        <v>0</v>
      </c>
      <c r="AI60" s="326">
        <f t="shared" si="59"/>
        <v>0</v>
      </c>
      <c r="AJ60" s="326">
        <f t="shared" si="59"/>
        <v>0</v>
      </c>
      <c r="AK60" s="327"/>
      <c r="AL60" s="327"/>
      <c r="AM60" s="327"/>
      <c r="AN60" s="328"/>
      <c r="AO60" s="329" t="e">
        <f t="shared" si="14"/>
        <v>#DIV/0!</v>
      </c>
      <c r="AP60" s="329" t="e">
        <f t="shared" si="15"/>
        <v>#DIV/0!</v>
      </c>
      <c r="AQ60" s="324">
        <f aca="true" t="shared" si="60" ref="AQ60:BC60">SUM(AQ61:AQ62)</f>
        <v>0</v>
      </c>
      <c r="AR60" s="325">
        <f t="shared" si="60"/>
        <v>0</v>
      </c>
      <c r="AS60" s="325">
        <f t="shared" si="60"/>
        <v>0</v>
      </c>
      <c r="AT60" s="326">
        <f t="shared" si="60"/>
        <v>0</v>
      </c>
      <c r="AU60" s="326">
        <f t="shared" si="60"/>
        <v>0</v>
      </c>
      <c r="AV60" s="326">
        <f t="shared" si="60"/>
        <v>0</v>
      </c>
      <c r="AW60" s="326">
        <f t="shared" si="60"/>
        <v>0</v>
      </c>
      <c r="AX60" s="326">
        <f t="shared" si="60"/>
        <v>0</v>
      </c>
      <c r="AY60" s="326">
        <f t="shared" si="60"/>
        <v>0</v>
      </c>
      <c r="AZ60" s="326">
        <f t="shared" si="60"/>
        <v>0</v>
      </c>
      <c r="BA60" s="326">
        <f t="shared" si="60"/>
        <v>0</v>
      </c>
      <c r="BB60" s="326">
        <f t="shared" si="60"/>
        <v>0</v>
      </c>
      <c r="BC60" s="326">
        <f t="shared" si="60"/>
        <v>0</v>
      </c>
      <c r="BD60" s="327"/>
      <c r="BE60" s="327"/>
      <c r="BF60" s="327"/>
      <c r="BG60" s="328"/>
      <c r="BH60" s="329" t="e">
        <f t="shared" si="17"/>
        <v>#DIV/0!</v>
      </c>
      <c r="BI60" s="329" t="e">
        <f t="shared" si="18"/>
        <v>#DIV/0!</v>
      </c>
      <c r="BJ60" s="415">
        <f t="shared" si="8"/>
        <v>0</v>
      </c>
      <c r="BK60" s="415">
        <f t="shared" si="9"/>
        <v>0</v>
      </c>
      <c r="BL60" s="415">
        <f t="shared" si="10"/>
        <v>0</v>
      </c>
      <c r="BM60" s="415">
        <f t="shared" si="11"/>
        <v>0</v>
      </c>
    </row>
    <row r="61" spans="1:65" s="129" customFormat="1" ht="21.75" customHeight="1">
      <c r="A61" s="141" t="s">
        <v>116</v>
      </c>
      <c r="B61" s="351"/>
      <c r="C61" s="370"/>
      <c r="D61" s="144">
        <v>0.4</v>
      </c>
      <c r="E61" s="371"/>
      <c r="F61" s="353"/>
      <c r="G61" s="353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2"/>
      <c r="S61" s="332"/>
      <c r="T61" s="332"/>
      <c r="U61" s="335"/>
      <c r="V61" s="334" t="e">
        <f t="shared" si="1"/>
        <v>#DIV/0!</v>
      </c>
      <c r="W61" s="334" t="e">
        <f t="shared" si="2"/>
        <v>#DIV/0!</v>
      </c>
      <c r="X61" s="372"/>
      <c r="Y61" s="353"/>
      <c r="Z61" s="353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2"/>
      <c r="AL61" s="332"/>
      <c r="AM61" s="332"/>
      <c r="AN61" s="335"/>
      <c r="AO61" s="334" t="e">
        <f t="shared" si="14"/>
        <v>#DIV/0!</v>
      </c>
      <c r="AP61" s="334" t="e">
        <f t="shared" si="15"/>
        <v>#DIV/0!</v>
      </c>
      <c r="AQ61" s="371"/>
      <c r="AR61" s="353"/>
      <c r="AS61" s="353"/>
      <c r="AT61" s="334"/>
      <c r="AU61" s="334"/>
      <c r="AV61" s="334"/>
      <c r="AW61" s="334"/>
      <c r="AX61" s="334"/>
      <c r="AY61" s="334"/>
      <c r="AZ61" s="334"/>
      <c r="BA61" s="334"/>
      <c r="BB61" s="334"/>
      <c r="BC61" s="334"/>
      <c r="BD61" s="332"/>
      <c r="BE61" s="332"/>
      <c r="BF61" s="332"/>
      <c r="BG61" s="335"/>
      <c r="BH61" s="334" t="e">
        <f t="shared" si="17"/>
        <v>#DIV/0!</v>
      </c>
      <c r="BI61" s="334" t="e">
        <f t="shared" si="18"/>
        <v>#DIV/0!</v>
      </c>
      <c r="BJ61" s="415">
        <f t="shared" si="8"/>
        <v>0</v>
      </c>
      <c r="BK61" s="415">
        <f t="shared" si="9"/>
        <v>0</v>
      </c>
      <c r="BL61" s="415">
        <f t="shared" si="10"/>
        <v>0</v>
      </c>
      <c r="BM61" s="415">
        <f t="shared" si="11"/>
        <v>0</v>
      </c>
    </row>
    <row r="62" spans="1:65" s="129" customFormat="1" ht="14.25">
      <c r="A62" s="141"/>
      <c r="B62" s="351"/>
      <c r="C62" s="341"/>
      <c r="D62" s="144"/>
      <c r="E62" s="330"/>
      <c r="F62" s="373"/>
      <c r="G62" s="332"/>
      <c r="H62" s="374"/>
      <c r="I62" s="334"/>
      <c r="J62" s="334"/>
      <c r="K62" s="334"/>
      <c r="L62" s="334"/>
      <c r="M62" s="334"/>
      <c r="N62" s="334"/>
      <c r="O62" s="334"/>
      <c r="P62" s="334"/>
      <c r="Q62" s="334"/>
      <c r="R62" s="332"/>
      <c r="S62" s="332"/>
      <c r="T62" s="332"/>
      <c r="U62" s="335"/>
      <c r="V62" s="334" t="e">
        <f t="shared" si="1"/>
        <v>#DIV/0!</v>
      </c>
      <c r="W62" s="334" t="e">
        <f t="shared" si="2"/>
        <v>#DIV/0!</v>
      </c>
      <c r="X62" s="336"/>
      <c r="Y62" s="373"/>
      <c r="Z62" s="332"/>
      <c r="AA62" s="37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2"/>
      <c r="AL62" s="332"/>
      <c r="AM62" s="332"/>
      <c r="AN62" s="335"/>
      <c r="AO62" s="334" t="e">
        <f t="shared" si="14"/>
        <v>#DIV/0!</v>
      </c>
      <c r="AP62" s="334" t="e">
        <f t="shared" si="15"/>
        <v>#DIV/0!</v>
      </c>
      <c r="AQ62" s="330"/>
      <c r="AR62" s="373"/>
      <c r="AS62" s="332"/>
      <c r="AT62" s="37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2"/>
      <c r="BE62" s="332"/>
      <c r="BF62" s="332"/>
      <c r="BG62" s="335"/>
      <c r="BH62" s="334" t="e">
        <f t="shared" si="17"/>
        <v>#DIV/0!</v>
      </c>
      <c r="BI62" s="334" t="e">
        <f t="shared" si="18"/>
        <v>#DIV/0!</v>
      </c>
      <c r="BJ62" s="415">
        <f t="shared" si="8"/>
        <v>0</v>
      </c>
      <c r="BK62" s="415">
        <f t="shared" si="9"/>
        <v>0</v>
      </c>
      <c r="BL62" s="415">
        <f t="shared" si="10"/>
        <v>0</v>
      </c>
      <c r="BM62" s="415">
        <f t="shared" si="11"/>
        <v>0</v>
      </c>
    </row>
    <row r="63" spans="1:65" s="129" customFormat="1" ht="24.75" customHeight="1">
      <c r="A63" s="130" t="s">
        <v>144</v>
      </c>
      <c r="B63" s="131" t="s">
        <v>700</v>
      </c>
      <c r="C63" s="131"/>
      <c r="D63" s="133">
        <v>0.4</v>
      </c>
      <c r="E63" s="324">
        <f aca="true" t="shared" si="61" ref="E63:Q63">SUM(E64:E65)</f>
        <v>0</v>
      </c>
      <c r="F63" s="325">
        <f t="shared" si="61"/>
        <v>0</v>
      </c>
      <c r="G63" s="325">
        <f t="shared" si="61"/>
        <v>0</v>
      </c>
      <c r="H63" s="326">
        <f t="shared" si="61"/>
        <v>0</v>
      </c>
      <c r="I63" s="326">
        <f t="shared" si="61"/>
        <v>0</v>
      </c>
      <c r="J63" s="326">
        <f t="shared" si="61"/>
        <v>0</v>
      </c>
      <c r="K63" s="326">
        <f t="shared" si="61"/>
        <v>0</v>
      </c>
      <c r="L63" s="326">
        <f t="shared" si="61"/>
        <v>0</v>
      </c>
      <c r="M63" s="326">
        <f t="shared" si="61"/>
        <v>0</v>
      </c>
      <c r="N63" s="326">
        <f t="shared" si="61"/>
        <v>0</v>
      </c>
      <c r="O63" s="326">
        <f t="shared" si="61"/>
        <v>0</v>
      </c>
      <c r="P63" s="326">
        <f t="shared" si="61"/>
        <v>0</v>
      </c>
      <c r="Q63" s="326">
        <f t="shared" si="61"/>
        <v>0</v>
      </c>
      <c r="R63" s="327"/>
      <c r="S63" s="327"/>
      <c r="T63" s="327"/>
      <c r="U63" s="328"/>
      <c r="V63" s="329" t="e">
        <f t="shared" si="1"/>
        <v>#DIV/0!</v>
      </c>
      <c r="W63" s="329" t="e">
        <f t="shared" si="2"/>
        <v>#DIV/0!</v>
      </c>
      <c r="X63" s="325">
        <f aca="true" t="shared" si="62" ref="X63:AJ63">SUM(X64:X65)</f>
        <v>0</v>
      </c>
      <c r="Y63" s="325">
        <f t="shared" si="62"/>
        <v>0</v>
      </c>
      <c r="Z63" s="325">
        <f t="shared" si="62"/>
        <v>0</v>
      </c>
      <c r="AA63" s="326">
        <f t="shared" si="62"/>
        <v>0</v>
      </c>
      <c r="AB63" s="326">
        <f t="shared" si="62"/>
        <v>0</v>
      </c>
      <c r="AC63" s="326">
        <f t="shared" si="62"/>
        <v>0</v>
      </c>
      <c r="AD63" s="326">
        <f t="shared" si="62"/>
        <v>0</v>
      </c>
      <c r="AE63" s="326">
        <f t="shared" si="62"/>
        <v>0</v>
      </c>
      <c r="AF63" s="326">
        <f t="shared" si="62"/>
        <v>0</v>
      </c>
      <c r="AG63" s="326">
        <f t="shared" si="62"/>
        <v>0</v>
      </c>
      <c r="AH63" s="326">
        <f t="shared" si="62"/>
        <v>0</v>
      </c>
      <c r="AI63" s="326">
        <f t="shared" si="62"/>
        <v>0</v>
      </c>
      <c r="AJ63" s="326">
        <f t="shared" si="62"/>
        <v>0</v>
      </c>
      <c r="AK63" s="327"/>
      <c r="AL63" s="327"/>
      <c r="AM63" s="327"/>
      <c r="AN63" s="328"/>
      <c r="AO63" s="329" t="e">
        <f t="shared" si="14"/>
        <v>#DIV/0!</v>
      </c>
      <c r="AP63" s="329" t="e">
        <f t="shared" si="15"/>
        <v>#DIV/0!</v>
      </c>
      <c r="AQ63" s="324">
        <f aca="true" t="shared" si="63" ref="AQ63:BC63">SUM(AQ64:AQ65)</f>
        <v>0</v>
      </c>
      <c r="AR63" s="325">
        <f t="shared" si="63"/>
        <v>0</v>
      </c>
      <c r="AS63" s="325">
        <f t="shared" si="63"/>
        <v>0</v>
      </c>
      <c r="AT63" s="326">
        <f t="shared" si="63"/>
        <v>0</v>
      </c>
      <c r="AU63" s="326">
        <f t="shared" si="63"/>
        <v>0</v>
      </c>
      <c r="AV63" s="326">
        <f t="shared" si="63"/>
        <v>0</v>
      </c>
      <c r="AW63" s="326">
        <f t="shared" si="63"/>
        <v>0</v>
      </c>
      <c r="AX63" s="326">
        <f t="shared" si="63"/>
        <v>0</v>
      </c>
      <c r="AY63" s="326">
        <f t="shared" si="63"/>
        <v>0</v>
      </c>
      <c r="AZ63" s="326">
        <f t="shared" si="63"/>
        <v>0</v>
      </c>
      <c r="BA63" s="326">
        <f t="shared" si="63"/>
        <v>0</v>
      </c>
      <c r="BB63" s="326">
        <f t="shared" si="63"/>
        <v>0</v>
      </c>
      <c r="BC63" s="326">
        <f t="shared" si="63"/>
        <v>0</v>
      </c>
      <c r="BD63" s="327"/>
      <c r="BE63" s="327"/>
      <c r="BF63" s="327"/>
      <c r="BG63" s="328"/>
      <c r="BH63" s="329" t="e">
        <f t="shared" si="17"/>
        <v>#DIV/0!</v>
      </c>
      <c r="BI63" s="329" t="e">
        <f t="shared" si="18"/>
        <v>#DIV/0!</v>
      </c>
      <c r="BJ63" s="415">
        <f t="shared" si="8"/>
        <v>0</v>
      </c>
      <c r="BK63" s="415">
        <f t="shared" si="9"/>
        <v>0</v>
      </c>
      <c r="BL63" s="415">
        <f t="shared" si="10"/>
        <v>0</v>
      </c>
      <c r="BM63" s="415">
        <f t="shared" si="11"/>
        <v>0</v>
      </c>
    </row>
    <row r="64" spans="1:65" s="129" customFormat="1" ht="14.25" customHeight="1">
      <c r="A64" s="141" t="s">
        <v>146</v>
      </c>
      <c r="B64" s="351"/>
      <c r="C64" s="370"/>
      <c r="D64" s="144">
        <v>0.4</v>
      </c>
      <c r="E64" s="371"/>
      <c r="F64" s="353"/>
      <c r="G64" s="353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2"/>
      <c r="S64" s="332"/>
      <c r="T64" s="332"/>
      <c r="U64" s="335"/>
      <c r="V64" s="334" t="e">
        <f t="shared" si="1"/>
        <v>#DIV/0!</v>
      </c>
      <c r="W64" s="334" t="e">
        <f t="shared" si="2"/>
        <v>#DIV/0!</v>
      </c>
      <c r="X64" s="372"/>
      <c r="Y64" s="353"/>
      <c r="Z64" s="353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2"/>
      <c r="AL64" s="332"/>
      <c r="AM64" s="332"/>
      <c r="AN64" s="335"/>
      <c r="AO64" s="334" t="e">
        <f t="shared" si="14"/>
        <v>#DIV/0!</v>
      </c>
      <c r="AP64" s="334" t="e">
        <f t="shared" si="15"/>
        <v>#DIV/0!</v>
      </c>
      <c r="AQ64" s="371"/>
      <c r="AR64" s="353"/>
      <c r="AS64" s="353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2"/>
      <c r="BE64" s="332"/>
      <c r="BF64" s="332"/>
      <c r="BG64" s="335"/>
      <c r="BH64" s="334" t="e">
        <f t="shared" si="17"/>
        <v>#DIV/0!</v>
      </c>
      <c r="BI64" s="334" t="e">
        <f t="shared" si="18"/>
        <v>#DIV/0!</v>
      </c>
      <c r="BJ64" s="415">
        <f t="shared" si="8"/>
        <v>0</v>
      </c>
      <c r="BK64" s="415">
        <f t="shared" si="9"/>
        <v>0</v>
      </c>
      <c r="BL64" s="415">
        <f t="shared" si="10"/>
        <v>0</v>
      </c>
      <c r="BM64" s="415">
        <f t="shared" si="11"/>
        <v>0</v>
      </c>
    </row>
    <row r="65" spans="1:65" s="129" customFormat="1" ht="14.25">
      <c r="A65" s="141"/>
      <c r="B65" s="351"/>
      <c r="C65" s="355"/>
      <c r="D65" s="144"/>
      <c r="E65" s="330"/>
      <c r="F65" s="373"/>
      <c r="G65" s="332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2"/>
      <c r="S65" s="332"/>
      <c r="T65" s="332"/>
      <c r="U65" s="335"/>
      <c r="V65" s="334" t="e">
        <f t="shared" si="1"/>
        <v>#DIV/0!</v>
      </c>
      <c r="W65" s="334" t="e">
        <f t="shared" si="2"/>
        <v>#DIV/0!</v>
      </c>
      <c r="X65" s="336"/>
      <c r="Y65" s="373"/>
      <c r="Z65" s="332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2"/>
      <c r="AL65" s="332"/>
      <c r="AM65" s="332"/>
      <c r="AN65" s="335"/>
      <c r="AO65" s="334" t="e">
        <f t="shared" si="14"/>
        <v>#DIV/0!</v>
      </c>
      <c r="AP65" s="334" t="e">
        <f t="shared" si="15"/>
        <v>#DIV/0!</v>
      </c>
      <c r="AQ65" s="330"/>
      <c r="AR65" s="373"/>
      <c r="AS65" s="332"/>
      <c r="AT65" s="334"/>
      <c r="AU65" s="334"/>
      <c r="AV65" s="334"/>
      <c r="AW65" s="334"/>
      <c r="AX65" s="334"/>
      <c r="AY65" s="334"/>
      <c r="AZ65" s="334"/>
      <c r="BA65" s="334"/>
      <c r="BB65" s="334"/>
      <c r="BC65" s="334"/>
      <c r="BD65" s="332"/>
      <c r="BE65" s="332"/>
      <c r="BF65" s="332"/>
      <c r="BG65" s="335"/>
      <c r="BH65" s="334" t="e">
        <f t="shared" si="17"/>
        <v>#DIV/0!</v>
      </c>
      <c r="BI65" s="334" t="e">
        <f t="shared" si="18"/>
        <v>#DIV/0!</v>
      </c>
      <c r="BJ65" s="415">
        <f t="shared" si="8"/>
        <v>0</v>
      </c>
      <c r="BK65" s="415">
        <f t="shared" si="9"/>
        <v>0</v>
      </c>
      <c r="BL65" s="415">
        <f t="shared" si="10"/>
        <v>0</v>
      </c>
      <c r="BM65" s="415">
        <f t="shared" si="11"/>
        <v>0</v>
      </c>
    </row>
    <row r="66" spans="1:65" s="129" customFormat="1" ht="24.75" customHeight="1">
      <c r="A66" s="130" t="s">
        <v>335</v>
      </c>
      <c r="B66" s="131" t="s">
        <v>712</v>
      </c>
      <c r="C66" s="131"/>
      <c r="D66" s="133">
        <v>6</v>
      </c>
      <c r="E66" s="324">
        <f aca="true" t="shared" si="64" ref="E66:Q66">SUM(E67:E68)</f>
        <v>0</v>
      </c>
      <c r="F66" s="325">
        <f t="shared" si="64"/>
        <v>0</v>
      </c>
      <c r="G66" s="325">
        <f t="shared" si="64"/>
        <v>0</v>
      </c>
      <c r="H66" s="326">
        <f t="shared" si="64"/>
        <v>0</v>
      </c>
      <c r="I66" s="326">
        <f t="shared" si="64"/>
        <v>0</v>
      </c>
      <c r="J66" s="326">
        <f t="shared" si="64"/>
        <v>0</v>
      </c>
      <c r="K66" s="326">
        <f t="shared" si="64"/>
        <v>0</v>
      </c>
      <c r="L66" s="326">
        <f t="shared" si="64"/>
        <v>0</v>
      </c>
      <c r="M66" s="326">
        <f t="shared" si="64"/>
        <v>0</v>
      </c>
      <c r="N66" s="326">
        <f t="shared" si="64"/>
        <v>0</v>
      </c>
      <c r="O66" s="326">
        <f t="shared" si="64"/>
        <v>0</v>
      </c>
      <c r="P66" s="326">
        <f t="shared" si="64"/>
        <v>0</v>
      </c>
      <c r="Q66" s="326">
        <f t="shared" si="64"/>
        <v>0</v>
      </c>
      <c r="R66" s="327"/>
      <c r="S66" s="327"/>
      <c r="T66" s="327"/>
      <c r="U66" s="328"/>
      <c r="V66" s="329" t="e">
        <f t="shared" si="1"/>
        <v>#DIV/0!</v>
      </c>
      <c r="W66" s="329" t="e">
        <f t="shared" si="2"/>
        <v>#DIV/0!</v>
      </c>
      <c r="X66" s="325">
        <f aca="true" t="shared" si="65" ref="X66:AJ66">SUM(X67:X68)</f>
        <v>0</v>
      </c>
      <c r="Y66" s="325">
        <f t="shared" si="65"/>
        <v>0</v>
      </c>
      <c r="Z66" s="325">
        <f t="shared" si="65"/>
        <v>0</v>
      </c>
      <c r="AA66" s="326">
        <f t="shared" si="65"/>
        <v>0</v>
      </c>
      <c r="AB66" s="326">
        <f t="shared" si="65"/>
        <v>0</v>
      </c>
      <c r="AC66" s="326">
        <f t="shared" si="65"/>
        <v>0</v>
      </c>
      <c r="AD66" s="326">
        <f t="shared" si="65"/>
        <v>0</v>
      </c>
      <c r="AE66" s="326">
        <f t="shared" si="65"/>
        <v>0</v>
      </c>
      <c r="AF66" s="326">
        <f t="shared" si="65"/>
        <v>0</v>
      </c>
      <c r="AG66" s="326">
        <f t="shared" si="65"/>
        <v>0</v>
      </c>
      <c r="AH66" s="326">
        <f t="shared" si="65"/>
        <v>0</v>
      </c>
      <c r="AI66" s="326">
        <f t="shared" si="65"/>
        <v>0</v>
      </c>
      <c r="AJ66" s="326">
        <f t="shared" si="65"/>
        <v>0</v>
      </c>
      <c r="AK66" s="327"/>
      <c r="AL66" s="327"/>
      <c r="AM66" s="327"/>
      <c r="AN66" s="328"/>
      <c r="AO66" s="329" t="e">
        <f t="shared" si="14"/>
        <v>#DIV/0!</v>
      </c>
      <c r="AP66" s="329" t="e">
        <f t="shared" si="15"/>
        <v>#DIV/0!</v>
      </c>
      <c r="AQ66" s="324">
        <f aca="true" t="shared" si="66" ref="AQ66:BC66">SUM(AQ67:AQ68)</f>
        <v>0</v>
      </c>
      <c r="AR66" s="325">
        <f t="shared" si="66"/>
        <v>0</v>
      </c>
      <c r="AS66" s="325">
        <f t="shared" si="66"/>
        <v>0</v>
      </c>
      <c r="AT66" s="326">
        <f t="shared" si="66"/>
        <v>0</v>
      </c>
      <c r="AU66" s="326">
        <f t="shared" si="66"/>
        <v>0</v>
      </c>
      <c r="AV66" s="326">
        <f t="shared" si="66"/>
        <v>0</v>
      </c>
      <c r="AW66" s="326">
        <f t="shared" si="66"/>
        <v>0</v>
      </c>
      <c r="AX66" s="326">
        <f t="shared" si="66"/>
        <v>0</v>
      </c>
      <c r="AY66" s="326">
        <f t="shared" si="66"/>
        <v>0</v>
      </c>
      <c r="AZ66" s="326">
        <f t="shared" si="66"/>
        <v>0</v>
      </c>
      <c r="BA66" s="326">
        <f t="shared" si="66"/>
        <v>0</v>
      </c>
      <c r="BB66" s="326">
        <f t="shared" si="66"/>
        <v>0</v>
      </c>
      <c r="BC66" s="326">
        <f t="shared" si="66"/>
        <v>0</v>
      </c>
      <c r="BD66" s="327"/>
      <c r="BE66" s="327"/>
      <c r="BF66" s="327"/>
      <c r="BG66" s="328"/>
      <c r="BH66" s="329" t="e">
        <f t="shared" si="17"/>
        <v>#DIV/0!</v>
      </c>
      <c r="BI66" s="329" t="e">
        <f t="shared" si="18"/>
        <v>#DIV/0!</v>
      </c>
      <c r="BJ66" s="415">
        <f t="shared" si="8"/>
        <v>0</v>
      </c>
      <c r="BK66" s="415">
        <f t="shared" si="9"/>
        <v>0</v>
      </c>
      <c r="BL66" s="415">
        <f t="shared" si="10"/>
        <v>0</v>
      </c>
      <c r="BM66" s="415">
        <f t="shared" si="11"/>
        <v>0</v>
      </c>
    </row>
    <row r="67" spans="1:65" s="129" customFormat="1" ht="14.25">
      <c r="A67" s="141" t="s">
        <v>337</v>
      </c>
      <c r="B67" s="351"/>
      <c r="C67" s="375"/>
      <c r="D67" s="144">
        <v>6</v>
      </c>
      <c r="E67" s="352"/>
      <c r="F67" s="373"/>
      <c r="G67" s="373"/>
      <c r="H67" s="376"/>
      <c r="I67" s="334"/>
      <c r="J67" s="334"/>
      <c r="K67" s="334"/>
      <c r="L67" s="334"/>
      <c r="M67" s="334"/>
      <c r="N67" s="334"/>
      <c r="O67" s="334"/>
      <c r="P67" s="334"/>
      <c r="Q67" s="334"/>
      <c r="R67" s="332"/>
      <c r="S67" s="332"/>
      <c r="T67" s="332"/>
      <c r="U67" s="335"/>
      <c r="V67" s="334" t="e">
        <f t="shared" si="1"/>
        <v>#DIV/0!</v>
      </c>
      <c r="W67" s="334" t="e">
        <f t="shared" si="2"/>
        <v>#DIV/0!</v>
      </c>
      <c r="X67" s="354"/>
      <c r="Y67" s="373"/>
      <c r="Z67" s="373"/>
      <c r="AA67" s="376"/>
      <c r="AB67" s="334"/>
      <c r="AC67" s="334"/>
      <c r="AD67" s="334"/>
      <c r="AE67" s="334"/>
      <c r="AF67" s="334"/>
      <c r="AG67" s="334"/>
      <c r="AH67" s="334"/>
      <c r="AI67" s="334"/>
      <c r="AJ67" s="334"/>
      <c r="AK67" s="332"/>
      <c r="AL67" s="332"/>
      <c r="AM67" s="332"/>
      <c r="AN67" s="335"/>
      <c r="AO67" s="334" t="e">
        <f t="shared" si="14"/>
        <v>#DIV/0!</v>
      </c>
      <c r="AP67" s="334" t="e">
        <f t="shared" si="15"/>
        <v>#DIV/0!</v>
      </c>
      <c r="AQ67" s="352"/>
      <c r="AR67" s="373"/>
      <c r="AS67" s="373"/>
      <c r="AT67" s="376"/>
      <c r="AU67" s="334"/>
      <c r="AV67" s="334"/>
      <c r="AW67" s="334"/>
      <c r="AX67" s="334"/>
      <c r="AY67" s="334"/>
      <c r="AZ67" s="334"/>
      <c r="BA67" s="334"/>
      <c r="BB67" s="334"/>
      <c r="BC67" s="334"/>
      <c r="BD67" s="332"/>
      <c r="BE67" s="332"/>
      <c r="BF67" s="332"/>
      <c r="BG67" s="335"/>
      <c r="BH67" s="334" t="e">
        <f t="shared" si="17"/>
        <v>#DIV/0!</v>
      </c>
      <c r="BI67" s="334" t="e">
        <f t="shared" si="18"/>
        <v>#DIV/0!</v>
      </c>
      <c r="BJ67" s="415">
        <f t="shared" si="8"/>
        <v>0</v>
      </c>
      <c r="BK67" s="415">
        <f t="shared" si="9"/>
        <v>0</v>
      </c>
      <c r="BL67" s="415">
        <f t="shared" si="10"/>
        <v>0</v>
      </c>
      <c r="BM67" s="415">
        <f t="shared" si="11"/>
        <v>0</v>
      </c>
    </row>
    <row r="68" spans="1:65" s="129" customFormat="1" ht="14.25">
      <c r="A68" s="141"/>
      <c r="B68" s="351"/>
      <c r="C68" s="377"/>
      <c r="D68" s="144"/>
      <c r="E68" s="352"/>
      <c r="F68" s="373"/>
      <c r="G68" s="332"/>
      <c r="H68" s="376"/>
      <c r="I68" s="334"/>
      <c r="J68" s="334"/>
      <c r="K68" s="334"/>
      <c r="L68" s="334"/>
      <c r="M68" s="334"/>
      <c r="N68" s="334"/>
      <c r="O68" s="334"/>
      <c r="P68" s="334"/>
      <c r="Q68" s="334"/>
      <c r="R68" s="332"/>
      <c r="S68" s="332"/>
      <c r="T68" s="332"/>
      <c r="U68" s="335"/>
      <c r="V68" s="334" t="e">
        <f t="shared" si="1"/>
        <v>#DIV/0!</v>
      </c>
      <c r="W68" s="334" t="e">
        <f t="shared" si="2"/>
        <v>#DIV/0!</v>
      </c>
      <c r="X68" s="354"/>
      <c r="Y68" s="373"/>
      <c r="Z68" s="332"/>
      <c r="AA68" s="376"/>
      <c r="AB68" s="334"/>
      <c r="AC68" s="334"/>
      <c r="AD68" s="334"/>
      <c r="AE68" s="334"/>
      <c r="AF68" s="334"/>
      <c r="AG68" s="334"/>
      <c r="AH68" s="334"/>
      <c r="AI68" s="334"/>
      <c r="AJ68" s="334"/>
      <c r="AK68" s="332"/>
      <c r="AL68" s="332"/>
      <c r="AM68" s="332"/>
      <c r="AN68" s="335"/>
      <c r="AO68" s="334" t="e">
        <f t="shared" si="14"/>
        <v>#DIV/0!</v>
      </c>
      <c r="AP68" s="334" t="e">
        <f t="shared" si="15"/>
        <v>#DIV/0!</v>
      </c>
      <c r="AQ68" s="352"/>
      <c r="AR68" s="373"/>
      <c r="AS68" s="332"/>
      <c r="AT68" s="376"/>
      <c r="AU68" s="334"/>
      <c r="AV68" s="334"/>
      <c r="AW68" s="334"/>
      <c r="AX68" s="334"/>
      <c r="AY68" s="334"/>
      <c r="AZ68" s="334"/>
      <c r="BA68" s="334"/>
      <c r="BB68" s="334"/>
      <c r="BC68" s="334"/>
      <c r="BD68" s="332"/>
      <c r="BE68" s="332"/>
      <c r="BF68" s="332"/>
      <c r="BG68" s="335"/>
      <c r="BH68" s="334" t="e">
        <f t="shared" si="17"/>
        <v>#DIV/0!</v>
      </c>
      <c r="BI68" s="334" t="e">
        <f t="shared" si="18"/>
        <v>#DIV/0!</v>
      </c>
      <c r="BJ68" s="415">
        <f t="shared" si="8"/>
        <v>0</v>
      </c>
      <c r="BK68" s="415">
        <f t="shared" si="9"/>
        <v>0</v>
      </c>
      <c r="BL68" s="415">
        <f t="shared" si="10"/>
        <v>0</v>
      </c>
      <c r="BM68" s="415">
        <f t="shared" si="11"/>
        <v>0</v>
      </c>
    </row>
    <row r="69" spans="1:65" s="129" customFormat="1" ht="24.75" customHeight="1">
      <c r="A69" s="130" t="s">
        <v>364</v>
      </c>
      <c r="B69" s="131" t="s">
        <v>713</v>
      </c>
      <c r="C69" s="131"/>
      <c r="D69" s="133">
        <v>6</v>
      </c>
      <c r="E69" s="324">
        <f aca="true" t="shared" si="67" ref="E69:Q69">SUM(E70:E71)</f>
        <v>0</v>
      </c>
      <c r="F69" s="325">
        <f t="shared" si="67"/>
        <v>0</v>
      </c>
      <c r="G69" s="325">
        <f t="shared" si="67"/>
        <v>0</v>
      </c>
      <c r="H69" s="326">
        <f t="shared" si="67"/>
        <v>0</v>
      </c>
      <c r="I69" s="326">
        <f t="shared" si="67"/>
        <v>0</v>
      </c>
      <c r="J69" s="326">
        <f t="shared" si="67"/>
        <v>0</v>
      </c>
      <c r="K69" s="326">
        <f t="shared" si="67"/>
        <v>0</v>
      </c>
      <c r="L69" s="326">
        <f t="shared" si="67"/>
        <v>0</v>
      </c>
      <c r="M69" s="326">
        <f t="shared" si="67"/>
        <v>0</v>
      </c>
      <c r="N69" s="326">
        <f t="shared" si="67"/>
        <v>0</v>
      </c>
      <c r="O69" s="326">
        <f t="shared" si="67"/>
        <v>0</v>
      </c>
      <c r="P69" s="326">
        <f t="shared" si="67"/>
        <v>0</v>
      </c>
      <c r="Q69" s="326">
        <f t="shared" si="67"/>
        <v>0</v>
      </c>
      <c r="R69" s="327"/>
      <c r="S69" s="327"/>
      <c r="T69" s="327"/>
      <c r="U69" s="328"/>
      <c r="V69" s="329" t="e">
        <f t="shared" si="1"/>
        <v>#DIV/0!</v>
      </c>
      <c r="W69" s="329" t="e">
        <f t="shared" si="2"/>
        <v>#DIV/0!</v>
      </c>
      <c r="X69" s="325">
        <f aca="true" t="shared" si="68" ref="X69:AJ69">SUM(X70:X71)</f>
        <v>0</v>
      </c>
      <c r="Y69" s="325">
        <f t="shared" si="68"/>
        <v>0</v>
      </c>
      <c r="Z69" s="325">
        <f t="shared" si="68"/>
        <v>0</v>
      </c>
      <c r="AA69" s="326">
        <f t="shared" si="68"/>
        <v>0</v>
      </c>
      <c r="AB69" s="326">
        <f t="shared" si="68"/>
        <v>0</v>
      </c>
      <c r="AC69" s="326">
        <f t="shared" si="68"/>
        <v>0</v>
      </c>
      <c r="AD69" s="326">
        <f t="shared" si="68"/>
        <v>0</v>
      </c>
      <c r="AE69" s="326">
        <f t="shared" si="68"/>
        <v>0</v>
      </c>
      <c r="AF69" s="326">
        <f t="shared" si="68"/>
        <v>0</v>
      </c>
      <c r="AG69" s="326">
        <f t="shared" si="68"/>
        <v>0</v>
      </c>
      <c r="AH69" s="326">
        <f t="shared" si="68"/>
        <v>0</v>
      </c>
      <c r="AI69" s="326">
        <f t="shared" si="68"/>
        <v>0</v>
      </c>
      <c r="AJ69" s="326">
        <f t="shared" si="68"/>
        <v>0</v>
      </c>
      <c r="AK69" s="327"/>
      <c r="AL69" s="327"/>
      <c r="AM69" s="327"/>
      <c r="AN69" s="328"/>
      <c r="AO69" s="329" t="e">
        <f t="shared" si="14"/>
        <v>#DIV/0!</v>
      </c>
      <c r="AP69" s="329" t="e">
        <f t="shared" si="15"/>
        <v>#DIV/0!</v>
      </c>
      <c r="AQ69" s="324">
        <f aca="true" t="shared" si="69" ref="AQ69:BC69">SUM(AQ70:AQ71)</f>
        <v>0</v>
      </c>
      <c r="AR69" s="325">
        <f t="shared" si="69"/>
        <v>0</v>
      </c>
      <c r="AS69" s="325">
        <f t="shared" si="69"/>
        <v>0</v>
      </c>
      <c r="AT69" s="326">
        <f t="shared" si="69"/>
        <v>0</v>
      </c>
      <c r="AU69" s="326">
        <f t="shared" si="69"/>
        <v>0</v>
      </c>
      <c r="AV69" s="326">
        <f t="shared" si="69"/>
        <v>0</v>
      </c>
      <c r="AW69" s="326">
        <f t="shared" si="69"/>
        <v>0</v>
      </c>
      <c r="AX69" s="326">
        <f t="shared" si="69"/>
        <v>0</v>
      </c>
      <c r="AY69" s="326">
        <f t="shared" si="69"/>
        <v>0</v>
      </c>
      <c r="AZ69" s="326">
        <f t="shared" si="69"/>
        <v>0</v>
      </c>
      <c r="BA69" s="326">
        <f t="shared" si="69"/>
        <v>0</v>
      </c>
      <c r="BB69" s="326">
        <f t="shared" si="69"/>
        <v>0</v>
      </c>
      <c r="BC69" s="326">
        <f t="shared" si="69"/>
        <v>0</v>
      </c>
      <c r="BD69" s="327"/>
      <c r="BE69" s="327"/>
      <c r="BF69" s="327"/>
      <c r="BG69" s="328"/>
      <c r="BH69" s="329" t="e">
        <f t="shared" si="17"/>
        <v>#DIV/0!</v>
      </c>
      <c r="BI69" s="329" t="e">
        <f t="shared" si="18"/>
        <v>#DIV/0!</v>
      </c>
      <c r="BJ69" s="415">
        <f t="shared" si="8"/>
        <v>0</v>
      </c>
      <c r="BK69" s="415">
        <f t="shared" si="9"/>
        <v>0</v>
      </c>
      <c r="BL69" s="415">
        <f t="shared" si="10"/>
        <v>0</v>
      </c>
      <c r="BM69" s="415">
        <f t="shared" si="11"/>
        <v>0</v>
      </c>
    </row>
    <row r="70" spans="1:65" s="129" customFormat="1" ht="14.25">
      <c r="A70" s="141" t="s">
        <v>366</v>
      </c>
      <c r="B70" s="351"/>
      <c r="C70" s="375"/>
      <c r="D70" s="144">
        <v>6</v>
      </c>
      <c r="E70" s="352"/>
      <c r="F70" s="373"/>
      <c r="G70" s="373"/>
      <c r="H70" s="376"/>
      <c r="I70" s="334"/>
      <c r="J70" s="334"/>
      <c r="K70" s="334"/>
      <c r="L70" s="334"/>
      <c r="M70" s="334"/>
      <c r="N70" s="334"/>
      <c r="O70" s="334"/>
      <c r="P70" s="334"/>
      <c r="Q70" s="334"/>
      <c r="R70" s="332"/>
      <c r="S70" s="332"/>
      <c r="T70" s="332"/>
      <c r="U70" s="335"/>
      <c r="V70" s="334" t="e">
        <f t="shared" si="1"/>
        <v>#DIV/0!</v>
      </c>
      <c r="W70" s="334" t="e">
        <f t="shared" si="2"/>
        <v>#DIV/0!</v>
      </c>
      <c r="X70" s="354"/>
      <c r="Y70" s="373"/>
      <c r="Z70" s="373"/>
      <c r="AA70" s="376"/>
      <c r="AB70" s="334"/>
      <c r="AC70" s="334"/>
      <c r="AD70" s="334"/>
      <c r="AE70" s="334"/>
      <c r="AF70" s="334"/>
      <c r="AG70" s="334"/>
      <c r="AH70" s="334"/>
      <c r="AI70" s="334"/>
      <c r="AJ70" s="334"/>
      <c r="AK70" s="332"/>
      <c r="AL70" s="332"/>
      <c r="AM70" s="332"/>
      <c r="AN70" s="335"/>
      <c r="AO70" s="334" t="e">
        <f t="shared" si="14"/>
        <v>#DIV/0!</v>
      </c>
      <c r="AP70" s="334" t="e">
        <f t="shared" si="15"/>
        <v>#DIV/0!</v>
      </c>
      <c r="AQ70" s="352"/>
      <c r="AR70" s="373"/>
      <c r="AS70" s="373"/>
      <c r="AT70" s="376"/>
      <c r="AU70" s="334"/>
      <c r="AV70" s="334"/>
      <c r="AW70" s="334"/>
      <c r="AX70" s="334"/>
      <c r="AY70" s="334"/>
      <c r="AZ70" s="334"/>
      <c r="BA70" s="334"/>
      <c r="BB70" s="334"/>
      <c r="BC70" s="334"/>
      <c r="BD70" s="332"/>
      <c r="BE70" s="332"/>
      <c r="BF70" s="332"/>
      <c r="BG70" s="335"/>
      <c r="BH70" s="334" t="e">
        <f t="shared" si="17"/>
        <v>#DIV/0!</v>
      </c>
      <c r="BI70" s="334" t="e">
        <f t="shared" si="18"/>
        <v>#DIV/0!</v>
      </c>
      <c r="BJ70" s="415">
        <f t="shared" si="8"/>
        <v>0</v>
      </c>
      <c r="BK70" s="415">
        <f t="shared" si="9"/>
        <v>0</v>
      </c>
      <c r="BL70" s="415">
        <f t="shared" si="10"/>
        <v>0</v>
      </c>
      <c r="BM70" s="415">
        <f t="shared" si="11"/>
        <v>0</v>
      </c>
    </row>
    <row r="71" spans="1:65" s="129" customFormat="1" ht="14.25">
      <c r="A71" s="141"/>
      <c r="B71" s="351"/>
      <c r="C71" s="377"/>
      <c r="D71" s="144"/>
      <c r="E71" s="352"/>
      <c r="F71" s="373"/>
      <c r="G71" s="332"/>
      <c r="H71" s="376"/>
      <c r="I71" s="334"/>
      <c r="J71" s="334"/>
      <c r="K71" s="334"/>
      <c r="L71" s="334"/>
      <c r="M71" s="334"/>
      <c r="N71" s="334"/>
      <c r="O71" s="334"/>
      <c r="P71" s="334"/>
      <c r="Q71" s="334"/>
      <c r="R71" s="332"/>
      <c r="S71" s="332"/>
      <c r="T71" s="332"/>
      <c r="U71" s="335"/>
      <c r="V71" s="334" t="e">
        <f t="shared" si="1"/>
        <v>#DIV/0!</v>
      </c>
      <c r="W71" s="334" t="e">
        <f t="shared" si="2"/>
        <v>#DIV/0!</v>
      </c>
      <c r="X71" s="354"/>
      <c r="Y71" s="373"/>
      <c r="Z71" s="332"/>
      <c r="AA71" s="376"/>
      <c r="AB71" s="334"/>
      <c r="AC71" s="334"/>
      <c r="AD71" s="334"/>
      <c r="AE71" s="334"/>
      <c r="AF71" s="334"/>
      <c r="AG71" s="334"/>
      <c r="AH71" s="334"/>
      <c r="AI71" s="334"/>
      <c r="AJ71" s="334"/>
      <c r="AK71" s="332"/>
      <c r="AL71" s="332"/>
      <c r="AM71" s="332"/>
      <c r="AN71" s="335"/>
      <c r="AO71" s="334" t="e">
        <f t="shared" si="14"/>
        <v>#DIV/0!</v>
      </c>
      <c r="AP71" s="334" t="e">
        <f t="shared" si="15"/>
        <v>#DIV/0!</v>
      </c>
      <c r="AQ71" s="352"/>
      <c r="AR71" s="373"/>
      <c r="AS71" s="332"/>
      <c r="AT71" s="376"/>
      <c r="AU71" s="334"/>
      <c r="AV71" s="334"/>
      <c r="AW71" s="334"/>
      <c r="AX71" s="334"/>
      <c r="AY71" s="334"/>
      <c r="AZ71" s="334"/>
      <c r="BA71" s="334"/>
      <c r="BB71" s="334"/>
      <c r="BC71" s="334"/>
      <c r="BD71" s="332"/>
      <c r="BE71" s="332"/>
      <c r="BF71" s="332"/>
      <c r="BG71" s="335"/>
      <c r="BH71" s="334" t="e">
        <f t="shared" si="17"/>
        <v>#DIV/0!</v>
      </c>
      <c r="BI71" s="334" t="e">
        <f t="shared" si="18"/>
        <v>#DIV/0!</v>
      </c>
      <c r="BJ71" s="415">
        <f t="shared" si="8"/>
        <v>0</v>
      </c>
      <c r="BK71" s="415">
        <f t="shared" si="9"/>
        <v>0</v>
      </c>
      <c r="BL71" s="415">
        <f t="shared" si="10"/>
        <v>0</v>
      </c>
      <c r="BM71" s="415">
        <f t="shared" si="11"/>
        <v>0</v>
      </c>
    </row>
    <row r="72" spans="1:65" s="129" customFormat="1" ht="24.75" customHeight="1">
      <c r="A72" s="130" t="s">
        <v>468</v>
      </c>
      <c r="B72" s="131" t="s">
        <v>714</v>
      </c>
      <c r="C72" s="131"/>
      <c r="D72" s="133">
        <v>6</v>
      </c>
      <c r="E72" s="324">
        <f aca="true" t="shared" si="70" ref="E72:Q72">SUM(E73:E74)</f>
        <v>0</v>
      </c>
      <c r="F72" s="325">
        <f t="shared" si="70"/>
        <v>0</v>
      </c>
      <c r="G72" s="325">
        <f t="shared" si="70"/>
        <v>0</v>
      </c>
      <c r="H72" s="326">
        <f t="shared" si="70"/>
        <v>0</v>
      </c>
      <c r="I72" s="326">
        <f t="shared" si="70"/>
        <v>0</v>
      </c>
      <c r="J72" s="326">
        <f t="shared" si="70"/>
        <v>0</v>
      </c>
      <c r="K72" s="326">
        <f t="shared" si="70"/>
        <v>0</v>
      </c>
      <c r="L72" s="326">
        <f t="shared" si="70"/>
        <v>0</v>
      </c>
      <c r="M72" s="326">
        <f t="shared" si="70"/>
        <v>0</v>
      </c>
      <c r="N72" s="326">
        <f t="shared" si="70"/>
        <v>0</v>
      </c>
      <c r="O72" s="326">
        <f t="shared" si="70"/>
        <v>0</v>
      </c>
      <c r="P72" s="326">
        <f t="shared" si="70"/>
        <v>0</v>
      </c>
      <c r="Q72" s="326">
        <f t="shared" si="70"/>
        <v>0</v>
      </c>
      <c r="R72" s="327"/>
      <c r="S72" s="327"/>
      <c r="T72" s="327"/>
      <c r="U72" s="328"/>
      <c r="V72" s="329" t="e">
        <f t="shared" si="1"/>
        <v>#DIV/0!</v>
      </c>
      <c r="W72" s="329" t="e">
        <f t="shared" si="2"/>
        <v>#DIV/0!</v>
      </c>
      <c r="X72" s="325">
        <f aca="true" t="shared" si="71" ref="X72:AJ72">SUM(X73:X74)</f>
        <v>0</v>
      </c>
      <c r="Y72" s="325">
        <f t="shared" si="71"/>
        <v>0</v>
      </c>
      <c r="Z72" s="325">
        <f t="shared" si="71"/>
        <v>0</v>
      </c>
      <c r="AA72" s="326">
        <f t="shared" si="71"/>
        <v>0</v>
      </c>
      <c r="AB72" s="326">
        <f t="shared" si="71"/>
        <v>0</v>
      </c>
      <c r="AC72" s="326">
        <f t="shared" si="71"/>
        <v>0</v>
      </c>
      <c r="AD72" s="326">
        <f t="shared" si="71"/>
        <v>0</v>
      </c>
      <c r="AE72" s="326">
        <f t="shared" si="71"/>
        <v>0</v>
      </c>
      <c r="AF72" s="326">
        <f t="shared" si="71"/>
        <v>0</v>
      </c>
      <c r="AG72" s="326">
        <f t="shared" si="71"/>
        <v>0</v>
      </c>
      <c r="AH72" s="326">
        <f t="shared" si="71"/>
        <v>0</v>
      </c>
      <c r="AI72" s="326">
        <f t="shared" si="71"/>
        <v>0</v>
      </c>
      <c r="AJ72" s="326">
        <f t="shared" si="71"/>
        <v>0</v>
      </c>
      <c r="AK72" s="327"/>
      <c r="AL72" s="327"/>
      <c r="AM72" s="327"/>
      <c r="AN72" s="328"/>
      <c r="AO72" s="329" t="e">
        <f t="shared" si="14"/>
        <v>#DIV/0!</v>
      </c>
      <c r="AP72" s="329" t="e">
        <f t="shared" si="15"/>
        <v>#DIV/0!</v>
      </c>
      <c r="AQ72" s="324">
        <f aca="true" t="shared" si="72" ref="AQ72:BC72">SUM(AQ73:AQ74)</f>
        <v>0</v>
      </c>
      <c r="AR72" s="325">
        <f t="shared" si="72"/>
        <v>0</v>
      </c>
      <c r="AS72" s="325">
        <f t="shared" si="72"/>
        <v>0</v>
      </c>
      <c r="AT72" s="326">
        <f t="shared" si="72"/>
        <v>0</v>
      </c>
      <c r="AU72" s="326">
        <f t="shared" si="72"/>
        <v>0</v>
      </c>
      <c r="AV72" s="326">
        <f t="shared" si="72"/>
        <v>0</v>
      </c>
      <c r="AW72" s="326">
        <f t="shared" si="72"/>
        <v>0</v>
      </c>
      <c r="AX72" s="326">
        <f t="shared" si="72"/>
        <v>0</v>
      </c>
      <c r="AY72" s="326">
        <f t="shared" si="72"/>
        <v>0</v>
      </c>
      <c r="AZ72" s="326">
        <f t="shared" si="72"/>
        <v>0</v>
      </c>
      <c r="BA72" s="326">
        <f t="shared" si="72"/>
        <v>0</v>
      </c>
      <c r="BB72" s="326">
        <f t="shared" si="72"/>
        <v>0</v>
      </c>
      <c r="BC72" s="326">
        <f t="shared" si="72"/>
        <v>0</v>
      </c>
      <c r="BD72" s="327"/>
      <c r="BE72" s="327"/>
      <c r="BF72" s="327"/>
      <c r="BG72" s="328"/>
      <c r="BH72" s="329" t="e">
        <f t="shared" si="17"/>
        <v>#DIV/0!</v>
      </c>
      <c r="BI72" s="329" t="e">
        <f t="shared" si="18"/>
        <v>#DIV/0!</v>
      </c>
      <c r="BJ72" s="415">
        <f t="shared" si="8"/>
        <v>0</v>
      </c>
      <c r="BK72" s="415">
        <f t="shared" si="9"/>
        <v>0</v>
      </c>
      <c r="BL72" s="415">
        <f t="shared" si="10"/>
        <v>0</v>
      </c>
      <c r="BM72" s="415">
        <f t="shared" si="11"/>
        <v>0</v>
      </c>
    </row>
    <row r="73" spans="1:65" s="129" customFormat="1" ht="14.25">
      <c r="A73" s="141" t="s">
        <v>470</v>
      </c>
      <c r="B73" s="351"/>
      <c r="C73" s="377"/>
      <c r="D73" s="144"/>
      <c r="E73" s="352"/>
      <c r="F73" s="373"/>
      <c r="G73" s="332"/>
      <c r="H73" s="376"/>
      <c r="I73" s="334"/>
      <c r="J73" s="334"/>
      <c r="K73" s="334"/>
      <c r="L73" s="334"/>
      <c r="M73" s="334"/>
      <c r="N73" s="334"/>
      <c r="O73" s="334"/>
      <c r="P73" s="334"/>
      <c r="Q73" s="334"/>
      <c r="R73" s="332"/>
      <c r="S73" s="332"/>
      <c r="T73" s="332"/>
      <c r="U73" s="335"/>
      <c r="V73" s="334" t="e">
        <f t="shared" si="1"/>
        <v>#DIV/0!</v>
      </c>
      <c r="W73" s="334" t="e">
        <f t="shared" si="2"/>
        <v>#DIV/0!</v>
      </c>
      <c r="X73" s="354"/>
      <c r="Y73" s="373"/>
      <c r="Z73" s="332"/>
      <c r="AA73" s="376"/>
      <c r="AB73" s="334"/>
      <c r="AC73" s="334"/>
      <c r="AD73" s="334"/>
      <c r="AE73" s="334"/>
      <c r="AF73" s="334"/>
      <c r="AG73" s="334"/>
      <c r="AH73" s="334"/>
      <c r="AI73" s="334"/>
      <c r="AJ73" s="334"/>
      <c r="AK73" s="332"/>
      <c r="AL73" s="332"/>
      <c r="AM73" s="332"/>
      <c r="AN73" s="335"/>
      <c r="AO73" s="334" t="e">
        <f t="shared" si="14"/>
        <v>#DIV/0!</v>
      </c>
      <c r="AP73" s="334" t="e">
        <f t="shared" si="15"/>
        <v>#DIV/0!</v>
      </c>
      <c r="AQ73" s="352"/>
      <c r="AR73" s="373"/>
      <c r="AS73" s="332"/>
      <c r="AT73" s="376"/>
      <c r="AU73" s="334"/>
      <c r="AV73" s="334"/>
      <c r="AW73" s="334"/>
      <c r="AX73" s="334"/>
      <c r="AY73" s="334"/>
      <c r="AZ73" s="334"/>
      <c r="BA73" s="334"/>
      <c r="BB73" s="334"/>
      <c r="BC73" s="334"/>
      <c r="BD73" s="332"/>
      <c r="BE73" s="332"/>
      <c r="BF73" s="332"/>
      <c r="BG73" s="335"/>
      <c r="BH73" s="334" t="e">
        <f t="shared" si="17"/>
        <v>#DIV/0!</v>
      </c>
      <c r="BI73" s="334" t="e">
        <f t="shared" si="18"/>
        <v>#DIV/0!</v>
      </c>
      <c r="BJ73" s="415">
        <f t="shared" si="8"/>
        <v>0</v>
      </c>
      <c r="BK73" s="415">
        <f t="shared" si="9"/>
        <v>0</v>
      </c>
      <c r="BL73" s="415">
        <f t="shared" si="10"/>
        <v>0</v>
      </c>
      <c r="BM73" s="415">
        <f t="shared" si="11"/>
        <v>0</v>
      </c>
    </row>
    <row r="74" spans="1:65" s="129" customFormat="1" ht="14.25">
      <c r="A74" s="141"/>
      <c r="B74" s="351"/>
      <c r="C74" s="377"/>
      <c r="D74" s="144"/>
      <c r="E74" s="352"/>
      <c r="F74" s="373"/>
      <c r="G74" s="332"/>
      <c r="H74" s="376"/>
      <c r="I74" s="334"/>
      <c r="J74" s="334"/>
      <c r="K74" s="334"/>
      <c r="L74" s="334"/>
      <c r="M74" s="334"/>
      <c r="N74" s="334"/>
      <c r="O74" s="334"/>
      <c r="P74" s="334"/>
      <c r="Q74" s="334"/>
      <c r="R74" s="332"/>
      <c r="S74" s="332"/>
      <c r="T74" s="332"/>
      <c r="U74" s="335"/>
      <c r="V74" s="334" t="e">
        <f>H74/E74*1000</f>
        <v>#DIV/0!</v>
      </c>
      <c r="W74" s="334" t="e">
        <f>H74/F74</f>
        <v>#DIV/0!</v>
      </c>
      <c r="X74" s="354"/>
      <c r="Y74" s="373"/>
      <c r="Z74" s="332"/>
      <c r="AA74" s="376"/>
      <c r="AB74" s="334"/>
      <c r="AC74" s="334"/>
      <c r="AD74" s="334"/>
      <c r="AE74" s="334"/>
      <c r="AF74" s="334"/>
      <c r="AG74" s="334"/>
      <c r="AH74" s="334"/>
      <c r="AI74" s="334"/>
      <c r="AJ74" s="334"/>
      <c r="AK74" s="332"/>
      <c r="AL74" s="332"/>
      <c r="AM74" s="332"/>
      <c r="AN74" s="335"/>
      <c r="AO74" s="334" t="e">
        <f t="shared" si="14"/>
        <v>#DIV/0!</v>
      </c>
      <c r="AP74" s="334" t="e">
        <f t="shared" si="15"/>
        <v>#DIV/0!</v>
      </c>
      <c r="AQ74" s="352"/>
      <c r="AR74" s="373"/>
      <c r="AS74" s="332"/>
      <c r="AT74" s="376"/>
      <c r="AU74" s="334"/>
      <c r="AV74" s="334"/>
      <c r="AW74" s="334"/>
      <c r="AX74" s="334"/>
      <c r="AY74" s="334"/>
      <c r="AZ74" s="334"/>
      <c r="BA74" s="334"/>
      <c r="BB74" s="334"/>
      <c r="BC74" s="334"/>
      <c r="BD74" s="332"/>
      <c r="BE74" s="332"/>
      <c r="BF74" s="332"/>
      <c r="BG74" s="335"/>
      <c r="BH74" s="334" t="e">
        <f t="shared" si="17"/>
        <v>#DIV/0!</v>
      </c>
      <c r="BI74" s="334" t="e">
        <f t="shared" si="18"/>
        <v>#DIV/0!</v>
      </c>
      <c r="BJ74" s="415">
        <f t="shared" si="8"/>
        <v>0</v>
      </c>
      <c r="BK74" s="415">
        <f t="shared" si="9"/>
        <v>0</v>
      </c>
      <c r="BL74" s="415">
        <f t="shared" si="10"/>
        <v>0</v>
      </c>
      <c r="BM74" s="415">
        <f t="shared" si="11"/>
        <v>0</v>
      </c>
    </row>
    <row r="75" spans="1:65" s="129" customFormat="1" ht="69">
      <c r="A75" s="207" t="s">
        <v>715</v>
      </c>
      <c r="B75" s="363" t="s">
        <v>716</v>
      </c>
      <c r="C75" s="363"/>
      <c r="D75" s="210"/>
      <c r="E75" s="364">
        <f>E76+E79</f>
        <v>0</v>
      </c>
      <c r="F75" s="365">
        <f aca="true" t="shared" si="73" ref="F75:Q75">F76+F79</f>
        <v>0</v>
      </c>
      <c r="G75" s="365">
        <f t="shared" si="73"/>
        <v>0</v>
      </c>
      <c r="H75" s="366">
        <f t="shared" si="73"/>
        <v>0</v>
      </c>
      <c r="I75" s="366">
        <f t="shared" si="73"/>
        <v>0</v>
      </c>
      <c r="J75" s="366">
        <f t="shared" si="73"/>
        <v>0</v>
      </c>
      <c r="K75" s="366">
        <f t="shared" si="73"/>
        <v>0</v>
      </c>
      <c r="L75" s="366">
        <f t="shared" si="73"/>
        <v>0</v>
      </c>
      <c r="M75" s="366">
        <f t="shared" si="73"/>
        <v>0</v>
      </c>
      <c r="N75" s="366">
        <f t="shared" si="73"/>
        <v>0</v>
      </c>
      <c r="O75" s="366">
        <f t="shared" si="73"/>
        <v>0</v>
      </c>
      <c r="P75" s="366">
        <f t="shared" si="73"/>
        <v>0</v>
      </c>
      <c r="Q75" s="366">
        <f t="shared" si="73"/>
        <v>0</v>
      </c>
      <c r="R75" s="367"/>
      <c r="S75" s="367"/>
      <c r="T75" s="367"/>
      <c r="U75" s="368"/>
      <c r="V75" s="369" t="e">
        <f>H75/E75*1000</f>
        <v>#DIV/0!</v>
      </c>
      <c r="W75" s="369" t="e">
        <f>H75/F75</f>
        <v>#DIV/0!</v>
      </c>
      <c r="X75" s="365">
        <f>X76+X79</f>
        <v>0</v>
      </c>
      <c r="Y75" s="365">
        <f aca="true" t="shared" si="74" ref="Y75:AJ75">Y76+Y79</f>
        <v>0</v>
      </c>
      <c r="Z75" s="365">
        <f t="shared" si="74"/>
        <v>0</v>
      </c>
      <c r="AA75" s="366">
        <f t="shared" si="74"/>
        <v>0</v>
      </c>
      <c r="AB75" s="366">
        <f t="shared" si="74"/>
        <v>0</v>
      </c>
      <c r="AC75" s="366">
        <f t="shared" si="74"/>
        <v>0</v>
      </c>
      <c r="AD75" s="366">
        <f t="shared" si="74"/>
        <v>0</v>
      </c>
      <c r="AE75" s="366">
        <f t="shared" si="74"/>
        <v>0</v>
      </c>
      <c r="AF75" s="366">
        <f t="shared" si="74"/>
        <v>0</v>
      </c>
      <c r="AG75" s="366">
        <f t="shared" si="74"/>
        <v>0</v>
      </c>
      <c r="AH75" s="366">
        <f t="shared" si="74"/>
        <v>0</v>
      </c>
      <c r="AI75" s="366">
        <f t="shared" si="74"/>
        <v>0</v>
      </c>
      <c r="AJ75" s="366">
        <f t="shared" si="74"/>
        <v>0</v>
      </c>
      <c r="AK75" s="367"/>
      <c r="AL75" s="367"/>
      <c r="AM75" s="367"/>
      <c r="AN75" s="368"/>
      <c r="AO75" s="369" t="e">
        <f t="shared" si="14"/>
        <v>#DIV/0!</v>
      </c>
      <c r="AP75" s="369" t="e">
        <f t="shared" si="15"/>
        <v>#DIV/0!</v>
      </c>
      <c r="AQ75" s="364">
        <f>AQ76+AQ79</f>
        <v>0</v>
      </c>
      <c r="AR75" s="365">
        <f aca="true" t="shared" si="75" ref="AR75:BC75">AR76+AR79</f>
        <v>0</v>
      </c>
      <c r="AS75" s="365">
        <f t="shared" si="75"/>
        <v>0</v>
      </c>
      <c r="AT75" s="366">
        <f t="shared" si="75"/>
        <v>0</v>
      </c>
      <c r="AU75" s="366">
        <f t="shared" si="75"/>
        <v>0</v>
      </c>
      <c r="AV75" s="366">
        <f t="shared" si="75"/>
        <v>0</v>
      </c>
      <c r="AW75" s="366">
        <f t="shared" si="75"/>
        <v>0</v>
      </c>
      <c r="AX75" s="366">
        <f t="shared" si="75"/>
        <v>0</v>
      </c>
      <c r="AY75" s="366">
        <f t="shared" si="75"/>
        <v>0</v>
      </c>
      <c r="AZ75" s="366">
        <f t="shared" si="75"/>
        <v>0</v>
      </c>
      <c r="BA75" s="366">
        <f t="shared" si="75"/>
        <v>0</v>
      </c>
      <c r="BB75" s="366">
        <f t="shared" si="75"/>
        <v>0</v>
      </c>
      <c r="BC75" s="366">
        <f t="shared" si="75"/>
        <v>0</v>
      </c>
      <c r="BD75" s="367"/>
      <c r="BE75" s="367"/>
      <c r="BF75" s="367"/>
      <c r="BG75" s="368"/>
      <c r="BH75" s="369" t="e">
        <f t="shared" si="17"/>
        <v>#DIV/0!</v>
      </c>
      <c r="BI75" s="369" t="e">
        <f t="shared" si="18"/>
        <v>#DIV/0!</v>
      </c>
      <c r="BJ75" s="415">
        <f aca="true" t="shared" si="76" ref="BJ75:BJ98">E75+X75+AQ75</f>
        <v>0</v>
      </c>
      <c r="BK75" s="415">
        <f aca="true" t="shared" si="77" ref="BK75:BK98">F75+Y75+AR75</f>
        <v>0</v>
      </c>
      <c r="BL75" s="415">
        <f aca="true" t="shared" si="78" ref="BL75:BL98">G75+Z75+AS75</f>
        <v>0</v>
      </c>
      <c r="BM75" s="415">
        <f aca="true" t="shared" si="79" ref="BM75:BM98">H75+AA75+AT75</f>
        <v>0</v>
      </c>
    </row>
    <row r="76" spans="1:65" s="129" customFormat="1" ht="24.75" customHeight="1">
      <c r="A76" s="130" t="s">
        <v>114</v>
      </c>
      <c r="B76" s="131" t="s">
        <v>717</v>
      </c>
      <c r="C76" s="131"/>
      <c r="D76" s="133">
        <v>0.4</v>
      </c>
      <c r="E76" s="324">
        <f>SUM(E77)</f>
        <v>0</v>
      </c>
      <c r="F76" s="325">
        <f aca="true" t="shared" si="80" ref="F76:Q76">SUM(F77)</f>
        <v>0</v>
      </c>
      <c r="G76" s="325">
        <f t="shared" si="80"/>
        <v>0</v>
      </c>
      <c r="H76" s="326">
        <f t="shared" si="80"/>
        <v>0</v>
      </c>
      <c r="I76" s="326">
        <f t="shared" si="80"/>
        <v>0</v>
      </c>
      <c r="J76" s="326">
        <f t="shared" si="80"/>
        <v>0</v>
      </c>
      <c r="K76" s="326">
        <f t="shared" si="80"/>
        <v>0</v>
      </c>
      <c r="L76" s="326">
        <f t="shared" si="80"/>
        <v>0</v>
      </c>
      <c r="M76" s="326">
        <f t="shared" si="80"/>
        <v>0</v>
      </c>
      <c r="N76" s="326">
        <f t="shared" si="80"/>
        <v>0</v>
      </c>
      <c r="O76" s="326">
        <f t="shared" si="80"/>
        <v>0</v>
      </c>
      <c r="P76" s="326">
        <f t="shared" si="80"/>
        <v>0</v>
      </c>
      <c r="Q76" s="326">
        <f t="shared" si="80"/>
        <v>0</v>
      </c>
      <c r="R76" s="327"/>
      <c r="S76" s="327"/>
      <c r="T76" s="327"/>
      <c r="U76" s="328"/>
      <c r="V76" s="329" t="e">
        <f>H76/E76*1000</f>
        <v>#DIV/0!</v>
      </c>
      <c r="W76" s="329" t="e">
        <f>H76/F76</f>
        <v>#DIV/0!</v>
      </c>
      <c r="X76" s="325">
        <f>SUM(X77)</f>
        <v>0</v>
      </c>
      <c r="Y76" s="325">
        <f aca="true" t="shared" si="81" ref="Y76:AJ76">SUM(Y77)</f>
        <v>0</v>
      </c>
      <c r="Z76" s="325">
        <f t="shared" si="81"/>
        <v>0</v>
      </c>
      <c r="AA76" s="326">
        <f t="shared" si="81"/>
        <v>0</v>
      </c>
      <c r="AB76" s="326">
        <f t="shared" si="81"/>
        <v>0</v>
      </c>
      <c r="AC76" s="326">
        <f t="shared" si="81"/>
        <v>0</v>
      </c>
      <c r="AD76" s="326">
        <f t="shared" si="81"/>
        <v>0</v>
      </c>
      <c r="AE76" s="326">
        <f t="shared" si="81"/>
        <v>0</v>
      </c>
      <c r="AF76" s="326">
        <f t="shared" si="81"/>
        <v>0</v>
      </c>
      <c r="AG76" s="326">
        <f t="shared" si="81"/>
        <v>0</v>
      </c>
      <c r="AH76" s="326">
        <f t="shared" si="81"/>
        <v>0</v>
      </c>
      <c r="AI76" s="326">
        <f t="shared" si="81"/>
        <v>0</v>
      </c>
      <c r="AJ76" s="326">
        <f t="shared" si="81"/>
        <v>0</v>
      </c>
      <c r="AK76" s="327"/>
      <c r="AL76" s="327"/>
      <c r="AM76" s="327"/>
      <c r="AN76" s="328"/>
      <c r="AO76" s="329" t="e">
        <f t="shared" si="14"/>
        <v>#DIV/0!</v>
      </c>
      <c r="AP76" s="329" t="e">
        <f t="shared" si="15"/>
        <v>#DIV/0!</v>
      </c>
      <c r="AQ76" s="324">
        <f>SUM(AQ77)</f>
        <v>0</v>
      </c>
      <c r="AR76" s="325">
        <f aca="true" t="shared" si="82" ref="AR76:BC76">SUM(AR77)</f>
        <v>0</v>
      </c>
      <c r="AS76" s="325">
        <f t="shared" si="82"/>
        <v>0</v>
      </c>
      <c r="AT76" s="326">
        <f t="shared" si="82"/>
        <v>0</v>
      </c>
      <c r="AU76" s="326">
        <f t="shared" si="82"/>
        <v>0</v>
      </c>
      <c r="AV76" s="326">
        <f t="shared" si="82"/>
        <v>0</v>
      </c>
      <c r="AW76" s="326">
        <f t="shared" si="82"/>
        <v>0</v>
      </c>
      <c r="AX76" s="326">
        <f t="shared" si="82"/>
        <v>0</v>
      </c>
      <c r="AY76" s="326">
        <f t="shared" si="82"/>
        <v>0</v>
      </c>
      <c r="AZ76" s="326">
        <f t="shared" si="82"/>
        <v>0</v>
      </c>
      <c r="BA76" s="326">
        <f t="shared" si="82"/>
        <v>0</v>
      </c>
      <c r="BB76" s="326">
        <f t="shared" si="82"/>
        <v>0</v>
      </c>
      <c r="BC76" s="326">
        <f t="shared" si="82"/>
        <v>0</v>
      </c>
      <c r="BD76" s="327"/>
      <c r="BE76" s="327"/>
      <c r="BF76" s="327"/>
      <c r="BG76" s="328"/>
      <c r="BH76" s="329" t="e">
        <f t="shared" si="17"/>
        <v>#DIV/0!</v>
      </c>
      <c r="BI76" s="329" t="e">
        <f t="shared" si="18"/>
        <v>#DIV/0!</v>
      </c>
      <c r="BJ76" s="415">
        <f t="shared" si="76"/>
        <v>0</v>
      </c>
      <c r="BK76" s="415">
        <f t="shared" si="77"/>
        <v>0</v>
      </c>
      <c r="BL76" s="415">
        <f t="shared" si="78"/>
        <v>0</v>
      </c>
      <c r="BM76" s="415">
        <f t="shared" si="79"/>
        <v>0</v>
      </c>
    </row>
    <row r="77" spans="1:65" s="129" customFormat="1" ht="14.25">
      <c r="A77" s="141" t="s">
        <v>116</v>
      </c>
      <c r="B77" s="351"/>
      <c r="C77" s="357"/>
      <c r="D77" s="144"/>
      <c r="E77" s="371"/>
      <c r="F77" s="353"/>
      <c r="G77" s="332"/>
      <c r="H77" s="378"/>
      <c r="I77" s="334"/>
      <c r="J77" s="334"/>
      <c r="K77" s="334"/>
      <c r="L77" s="334"/>
      <c r="M77" s="334"/>
      <c r="N77" s="334"/>
      <c r="O77" s="334"/>
      <c r="P77" s="334"/>
      <c r="Q77" s="334"/>
      <c r="R77" s="332"/>
      <c r="S77" s="332"/>
      <c r="T77" s="332"/>
      <c r="U77" s="335"/>
      <c r="V77" s="334" t="e">
        <f>H77/E77*1000</f>
        <v>#DIV/0!</v>
      </c>
      <c r="W77" s="334" t="e">
        <f>H77/F77</f>
        <v>#DIV/0!</v>
      </c>
      <c r="X77" s="372"/>
      <c r="Y77" s="353"/>
      <c r="Z77" s="332"/>
      <c r="AA77" s="378"/>
      <c r="AB77" s="334"/>
      <c r="AC77" s="334"/>
      <c r="AD77" s="334"/>
      <c r="AE77" s="334"/>
      <c r="AF77" s="334"/>
      <c r="AG77" s="334"/>
      <c r="AH77" s="334"/>
      <c r="AI77" s="334"/>
      <c r="AJ77" s="334"/>
      <c r="AK77" s="332"/>
      <c r="AL77" s="332"/>
      <c r="AM77" s="332"/>
      <c r="AN77" s="335"/>
      <c r="AO77" s="334" t="e">
        <f t="shared" si="14"/>
        <v>#DIV/0!</v>
      </c>
      <c r="AP77" s="334" t="e">
        <f t="shared" si="15"/>
        <v>#DIV/0!</v>
      </c>
      <c r="AQ77" s="371"/>
      <c r="AR77" s="353"/>
      <c r="AS77" s="332"/>
      <c r="AT77" s="378"/>
      <c r="AU77" s="334"/>
      <c r="AV77" s="334"/>
      <c r="AW77" s="334"/>
      <c r="AX77" s="334"/>
      <c r="AY77" s="334"/>
      <c r="AZ77" s="334"/>
      <c r="BA77" s="334"/>
      <c r="BB77" s="334"/>
      <c r="BC77" s="334"/>
      <c r="BD77" s="332"/>
      <c r="BE77" s="332"/>
      <c r="BF77" s="332"/>
      <c r="BG77" s="335"/>
      <c r="BH77" s="334" t="e">
        <f t="shared" si="17"/>
        <v>#DIV/0!</v>
      </c>
      <c r="BI77" s="334" t="e">
        <f t="shared" si="18"/>
        <v>#DIV/0!</v>
      </c>
      <c r="BJ77" s="415">
        <f t="shared" si="76"/>
        <v>0</v>
      </c>
      <c r="BK77" s="415">
        <f t="shared" si="77"/>
        <v>0</v>
      </c>
      <c r="BL77" s="415">
        <f t="shared" si="78"/>
        <v>0</v>
      </c>
      <c r="BM77" s="415">
        <f t="shared" si="79"/>
        <v>0</v>
      </c>
    </row>
    <row r="78" spans="1:65" s="129" customFormat="1" ht="14.25">
      <c r="A78" s="141"/>
      <c r="B78" s="351"/>
      <c r="C78" s="357"/>
      <c r="D78" s="144"/>
      <c r="E78" s="371"/>
      <c r="F78" s="353"/>
      <c r="G78" s="332"/>
      <c r="H78" s="378"/>
      <c r="I78" s="334"/>
      <c r="J78" s="334"/>
      <c r="K78" s="334"/>
      <c r="L78" s="334"/>
      <c r="M78" s="334"/>
      <c r="N78" s="334"/>
      <c r="O78" s="334"/>
      <c r="P78" s="334"/>
      <c r="Q78" s="334"/>
      <c r="R78" s="332"/>
      <c r="S78" s="332"/>
      <c r="T78" s="332"/>
      <c r="U78" s="335"/>
      <c r="V78" s="334" t="e">
        <f>H78/E78*1000</f>
        <v>#DIV/0!</v>
      </c>
      <c r="W78" s="334" t="e">
        <f>H78/F78</f>
        <v>#DIV/0!</v>
      </c>
      <c r="X78" s="372"/>
      <c r="Y78" s="353"/>
      <c r="Z78" s="332"/>
      <c r="AA78" s="378"/>
      <c r="AB78" s="334"/>
      <c r="AC78" s="334"/>
      <c r="AD78" s="334"/>
      <c r="AE78" s="334"/>
      <c r="AF78" s="334"/>
      <c r="AG78" s="334"/>
      <c r="AH78" s="334"/>
      <c r="AI78" s="334"/>
      <c r="AJ78" s="334"/>
      <c r="AK78" s="332"/>
      <c r="AL78" s="332"/>
      <c r="AM78" s="332"/>
      <c r="AN78" s="335"/>
      <c r="AO78" s="334" t="e">
        <f>AA78/X78*1000</f>
        <v>#DIV/0!</v>
      </c>
      <c r="AP78" s="334" t="e">
        <f aca="true" t="shared" si="83" ref="AP78:AP98">AA78/Y78</f>
        <v>#DIV/0!</v>
      </c>
      <c r="AQ78" s="371"/>
      <c r="AR78" s="353"/>
      <c r="AS78" s="332"/>
      <c r="AT78" s="378"/>
      <c r="AU78" s="334"/>
      <c r="AV78" s="334"/>
      <c r="AW78" s="334"/>
      <c r="AX78" s="334"/>
      <c r="AY78" s="334"/>
      <c r="AZ78" s="334"/>
      <c r="BA78" s="334"/>
      <c r="BB78" s="334"/>
      <c r="BC78" s="334"/>
      <c r="BD78" s="332"/>
      <c r="BE78" s="332"/>
      <c r="BF78" s="332"/>
      <c r="BG78" s="335"/>
      <c r="BH78" s="334" t="e">
        <f>AT78/AQ78*1000</f>
        <v>#DIV/0!</v>
      </c>
      <c r="BI78" s="334" t="e">
        <f aca="true" t="shared" si="84" ref="BI78:BI98">AT78/AR78</f>
        <v>#DIV/0!</v>
      </c>
      <c r="BJ78" s="415">
        <f t="shared" si="76"/>
        <v>0</v>
      </c>
      <c r="BK78" s="415">
        <f t="shared" si="77"/>
        <v>0</v>
      </c>
      <c r="BL78" s="415">
        <f t="shared" si="78"/>
        <v>0</v>
      </c>
      <c r="BM78" s="415">
        <f t="shared" si="79"/>
        <v>0</v>
      </c>
    </row>
    <row r="79" spans="1:65" s="129" customFormat="1" ht="24.75" customHeight="1">
      <c r="A79" s="130" t="s">
        <v>4</v>
      </c>
      <c r="B79" s="131" t="s">
        <v>804</v>
      </c>
      <c r="C79" s="131"/>
      <c r="D79" s="133">
        <v>6</v>
      </c>
      <c r="E79" s="324">
        <f aca="true" t="shared" si="85" ref="E79:Q79">SUM(E80:E81)</f>
        <v>0</v>
      </c>
      <c r="F79" s="325">
        <f t="shared" si="85"/>
        <v>0</v>
      </c>
      <c r="G79" s="325">
        <f t="shared" si="85"/>
        <v>0</v>
      </c>
      <c r="H79" s="326">
        <f t="shared" si="85"/>
        <v>0</v>
      </c>
      <c r="I79" s="326">
        <f t="shared" si="85"/>
        <v>0</v>
      </c>
      <c r="J79" s="326">
        <f t="shared" si="85"/>
        <v>0</v>
      </c>
      <c r="K79" s="326">
        <f t="shared" si="85"/>
        <v>0</v>
      </c>
      <c r="L79" s="326">
        <f t="shared" si="85"/>
        <v>0</v>
      </c>
      <c r="M79" s="326">
        <f t="shared" si="85"/>
        <v>0</v>
      </c>
      <c r="N79" s="326">
        <f t="shared" si="85"/>
        <v>0</v>
      </c>
      <c r="O79" s="326">
        <f t="shared" si="85"/>
        <v>0</v>
      </c>
      <c r="P79" s="326">
        <f t="shared" si="85"/>
        <v>0</v>
      </c>
      <c r="Q79" s="326">
        <f t="shared" si="85"/>
        <v>0</v>
      </c>
      <c r="R79" s="327"/>
      <c r="S79" s="327"/>
      <c r="T79" s="327"/>
      <c r="U79" s="328"/>
      <c r="V79" s="329" t="e">
        <f>H79/E79*1000</f>
        <v>#DIV/0!</v>
      </c>
      <c r="W79" s="329" t="e">
        <f>H79/F79</f>
        <v>#DIV/0!</v>
      </c>
      <c r="X79" s="325">
        <f aca="true" t="shared" si="86" ref="X79:AJ79">SUM(X80:X81)</f>
        <v>0</v>
      </c>
      <c r="Y79" s="325">
        <f t="shared" si="86"/>
        <v>0</v>
      </c>
      <c r="Z79" s="325">
        <f t="shared" si="86"/>
        <v>0</v>
      </c>
      <c r="AA79" s="326">
        <f t="shared" si="86"/>
        <v>0</v>
      </c>
      <c r="AB79" s="326">
        <f t="shared" si="86"/>
        <v>0</v>
      </c>
      <c r="AC79" s="326">
        <f t="shared" si="86"/>
        <v>0</v>
      </c>
      <c r="AD79" s="326">
        <f t="shared" si="86"/>
        <v>0</v>
      </c>
      <c r="AE79" s="326">
        <f t="shared" si="86"/>
        <v>0</v>
      </c>
      <c r="AF79" s="326">
        <f t="shared" si="86"/>
        <v>0</v>
      </c>
      <c r="AG79" s="326">
        <f t="shared" si="86"/>
        <v>0</v>
      </c>
      <c r="AH79" s="326">
        <f t="shared" si="86"/>
        <v>0</v>
      </c>
      <c r="AI79" s="326">
        <f t="shared" si="86"/>
        <v>0</v>
      </c>
      <c r="AJ79" s="326">
        <f t="shared" si="86"/>
        <v>0</v>
      </c>
      <c r="AK79" s="327"/>
      <c r="AL79" s="327"/>
      <c r="AM79" s="327"/>
      <c r="AN79" s="328"/>
      <c r="AO79" s="329" t="e">
        <f>AA79/X79*1000</f>
        <v>#DIV/0!</v>
      </c>
      <c r="AP79" s="329" t="e">
        <f t="shared" si="83"/>
        <v>#DIV/0!</v>
      </c>
      <c r="AQ79" s="324">
        <f aca="true" t="shared" si="87" ref="AQ79:BC79">SUM(AQ80:AQ81)</f>
        <v>0</v>
      </c>
      <c r="AR79" s="325">
        <f t="shared" si="87"/>
        <v>0</v>
      </c>
      <c r="AS79" s="325">
        <f t="shared" si="87"/>
        <v>0</v>
      </c>
      <c r="AT79" s="326">
        <f t="shared" si="87"/>
        <v>0</v>
      </c>
      <c r="AU79" s="326">
        <f t="shared" si="87"/>
        <v>0</v>
      </c>
      <c r="AV79" s="326">
        <f t="shared" si="87"/>
        <v>0</v>
      </c>
      <c r="AW79" s="326">
        <f t="shared" si="87"/>
        <v>0</v>
      </c>
      <c r="AX79" s="326">
        <f t="shared" si="87"/>
        <v>0</v>
      </c>
      <c r="AY79" s="326">
        <f t="shared" si="87"/>
        <v>0</v>
      </c>
      <c r="AZ79" s="326">
        <f t="shared" si="87"/>
        <v>0</v>
      </c>
      <c r="BA79" s="326">
        <f t="shared" si="87"/>
        <v>0</v>
      </c>
      <c r="BB79" s="326">
        <f t="shared" si="87"/>
        <v>0</v>
      </c>
      <c r="BC79" s="326">
        <f t="shared" si="87"/>
        <v>0</v>
      </c>
      <c r="BD79" s="327"/>
      <c r="BE79" s="327"/>
      <c r="BF79" s="327"/>
      <c r="BG79" s="328"/>
      <c r="BH79" s="329" t="e">
        <f>AT79/AQ79*1000</f>
        <v>#DIV/0!</v>
      </c>
      <c r="BI79" s="329" t="e">
        <f t="shared" si="84"/>
        <v>#DIV/0!</v>
      </c>
      <c r="BJ79" s="415">
        <f t="shared" si="76"/>
        <v>0</v>
      </c>
      <c r="BK79" s="415">
        <f t="shared" si="77"/>
        <v>0</v>
      </c>
      <c r="BL79" s="415">
        <f t="shared" si="78"/>
        <v>0</v>
      </c>
      <c r="BM79" s="415">
        <f t="shared" si="79"/>
        <v>0</v>
      </c>
    </row>
    <row r="80" spans="1:65" s="129" customFormat="1" ht="14.25">
      <c r="A80" s="141" t="s">
        <v>146</v>
      </c>
      <c r="B80" s="351"/>
      <c r="C80" s="357"/>
      <c r="D80" s="144"/>
      <c r="E80" s="379"/>
      <c r="F80" s="353"/>
      <c r="G80" s="332"/>
      <c r="H80" s="378"/>
      <c r="I80" s="334"/>
      <c r="J80" s="334"/>
      <c r="K80" s="334"/>
      <c r="L80" s="334"/>
      <c r="M80" s="334"/>
      <c r="N80" s="334"/>
      <c r="O80" s="334"/>
      <c r="P80" s="334"/>
      <c r="Q80" s="334"/>
      <c r="R80" s="332"/>
      <c r="S80" s="332"/>
      <c r="T80" s="332"/>
      <c r="U80" s="335"/>
      <c r="V80" s="334" t="e">
        <f>H80/E80*1000</f>
        <v>#DIV/0!</v>
      </c>
      <c r="W80" s="334" t="e">
        <f>H80/F80</f>
        <v>#DIV/0!</v>
      </c>
      <c r="X80" s="380"/>
      <c r="Y80" s="353"/>
      <c r="Z80" s="332"/>
      <c r="AA80" s="378"/>
      <c r="AB80" s="334"/>
      <c r="AC80" s="334"/>
      <c r="AD80" s="334"/>
      <c r="AE80" s="334"/>
      <c r="AF80" s="334"/>
      <c r="AG80" s="334"/>
      <c r="AH80" s="334"/>
      <c r="AI80" s="334"/>
      <c r="AJ80" s="334"/>
      <c r="AK80" s="332"/>
      <c r="AL80" s="332"/>
      <c r="AM80" s="332"/>
      <c r="AN80" s="335"/>
      <c r="AO80" s="334" t="e">
        <f>AA80/X80*1000</f>
        <v>#DIV/0!</v>
      </c>
      <c r="AP80" s="334" t="e">
        <f t="shared" si="83"/>
        <v>#DIV/0!</v>
      </c>
      <c r="AQ80" s="379"/>
      <c r="AR80" s="353"/>
      <c r="AS80" s="332"/>
      <c r="AT80" s="378"/>
      <c r="AU80" s="334"/>
      <c r="AV80" s="334"/>
      <c r="AW80" s="334"/>
      <c r="AX80" s="334"/>
      <c r="AY80" s="334"/>
      <c r="AZ80" s="334"/>
      <c r="BA80" s="334"/>
      <c r="BB80" s="334"/>
      <c r="BC80" s="334"/>
      <c r="BD80" s="332"/>
      <c r="BE80" s="332"/>
      <c r="BF80" s="332"/>
      <c r="BG80" s="335"/>
      <c r="BH80" s="334" t="e">
        <f>AT80/AQ80*1000</f>
        <v>#DIV/0!</v>
      </c>
      <c r="BI80" s="334" t="e">
        <f t="shared" si="84"/>
        <v>#DIV/0!</v>
      </c>
      <c r="BJ80" s="415">
        <f t="shared" si="76"/>
        <v>0</v>
      </c>
      <c r="BK80" s="415">
        <f t="shared" si="77"/>
        <v>0</v>
      </c>
      <c r="BL80" s="415">
        <f t="shared" si="78"/>
        <v>0</v>
      </c>
      <c r="BM80" s="415">
        <f t="shared" si="79"/>
        <v>0</v>
      </c>
    </row>
    <row r="81" spans="1:65" s="129" customFormat="1" ht="14.25">
      <c r="A81" s="141"/>
      <c r="B81" s="351"/>
      <c r="C81" s="341"/>
      <c r="D81" s="144"/>
      <c r="E81" s="344"/>
      <c r="F81" s="373"/>
      <c r="G81" s="332"/>
      <c r="H81" s="374"/>
      <c r="I81" s="334"/>
      <c r="J81" s="334"/>
      <c r="K81" s="334"/>
      <c r="L81" s="334"/>
      <c r="M81" s="334"/>
      <c r="N81" s="334"/>
      <c r="O81" s="334"/>
      <c r="P81" s="334"/>
      <c r="Q81" s="334"/>
      <c r="R81" s="332"/>
      <c r="S81" s="332"/>
      <c r="T81" s="332"/>
      <c r="U81" s="335"/>
      <c r="V81" s="334" t="e">
        <f>H81/E81*1000</f>
        <v>#DIV/0!</v>
      </c>
      <c r="W81" s="334" t="e">
        <f>H81/F81</f>
        <v>#DIV/0!</v>
      </c>
      <c r="X81" s="344"/>
      <c r="Y81" s="373"/>
      <c r="Z81" s="332"/>
      <c r="AA81" s="374"/>
      <c r="AB81" s="334"/>
      <c r="AC81" s="334"/>
      <c r="AD81" s="334"/>
      <c r="AE81" s="334"/>
      <c r="AF81" s="334"/>
      <c r="AG81" s="334"/>
      <c r="AH81" s="334"/>
      <c r="AI81" s="334"/>
      <c r="AJ81" s="334"/>
      <c r="AK81" s="332"/>
      <c r="AL81" s="332"/>
      <c r="AM81" s="332"/>
      <c r="AN81" s="335"/>
      <c r="AO81" s="334" t="e">
        <f>AA81/X81*1000</f>
        <v>#DIV/0!</v>
      </c>
      <c r="AP81" s="334" t="e">
        <f t="shared" si="83"/>
        <v>#DIV/0!</v>
      </c>
      <c r="AQ81" s="344"/>
      <c r="AR81" s="373"/>
      <c r="AS81" s="332"/>
      <c r="AT81" s="374"/>
      <c r="AU81" s="334"/>
      <c r="AV81" s="334"/>
      <c r="AW81" s="334"/>
      <c r="AX81" s="334"/>
      <c r="AY81" s="334"/>
      <c r="AZ81" s="334"/>
      <c r="BA81" s="334"/>
      <c r="BB81" s="334"/>
      <c r="BC81" s="334"/>
      <c r="BD81" s="332"/>
      <c r="BE81" s="332"/>
      <c r="BF81" s="332"/>
      <c r="BG81" s="335"/>
      <c r="BH81" s="334" t="e">
        <f>AT81/AQ81*1000</f>
        <v>#DIV/0!</v>
      </c>
      <c r="BI81" s="334" t="e">
        <f t="shared" si="84"/>
        <v>#DIV/0!</v>
      </c>
      <c r="BJ81" s="415">
        <f t="shared" si="76"/>
        <v>0</v>
      </c>
      <c r="BK81" s="415">
        <f t="shared" si="77"/>
        <v>0</v>
      </c>
      <c r="BL81" s="415">
        <f t="shared" si="78"/>
        <v>0</v>
      </c>
      <c r="BM81" s="415">
        <f t="shared" si="79"/>
        <v>0</v>
      </c>
    </row>
    <row r="82" spans="1:65" s="129" customFormat="1" ht="82.5">
      <c r="A82" s="264" t="s">
        <v>741</v>
      </c>
      <c r="B82" s="381" t="s">
        <v>742</v>
      </c>
      <c r="C82" s="381"/>
      <c r="D82" s="266"/>
      <c r="E82" s="382">
        <f>E83</f>
        <v>0</v>
      </c>
      <c r="F82" s="383">
        <f aca="true" t="shared" si="88" ref="F82:Q82">F83</f>
        <v>0</v>
      </c>
      <c r="G82" s="383">
        <f t="shared" si="88"/>
        <v>0</v>
      </c>
      <c r="H82" s="384">
        <f t="shared" si="88"/>
        <v>0</v>
      </c>
      <c r="I82" s="384">
        <f t="shared" si="88"/>
        <v>0</v>
      </c>
      <c r="J82" s="384">
        <f t="shared" si="88"/>
        <v>0</v>
      </c>
      <c r="K82" s="384">
        <f t="shared" si="88"/>
        <v>0</v>
      </c>
      <c r="L82" s="384">
        <f t="shared" si="88"/>
        <v>0</v>
      </c>
      <c r="M82" s="384">
        <f t="shared" si="88"/>
        <v>0</v>
      </c>
      <c r="N82" s="384">
        <f t="shared" si="88"/>
        <v>0</v>
      </c>
      <c r="O82" s="384">
        <f t="shared" si="88"/>
        <v>0</v>
      </c>
      <c r="P82" s="384">
        <f t="shared" si="88"/>
        <v>0</v>
      </c>
      <c r="Q82" s="384">
        <f t="shared" si="88"/>
        <v>0</v>
      </c>
      <c r="R82" s="385"/>
      <c r="S82" s="385"/>
      <c r="T82" s="385"/>
      <c r="U82" s="386"/>
      <c r="V82" s="387"/>
      <c r="W82" s="387" t="e">
        <f>H82/F82</f>
        <v>#DIV/0!</v>
      </c>
      <c r="X82" s="383">
        <f>X83</f>
        <v>0</v>
      </c>
      <c r="Y82" s="383">
        <f aca="true" t="shared" si="89" ref="Y82:AJ82">Y83</f>
        <v>0</v>
      </c>
      <c r="Z82" s="383">
        <f t="shared" si="89"/>
        <v>0</v>
      </c>
      <c r="AA82" s="384">
        <f t="shared" si="89"/>
        <v>0</v>
      </c>
      <c r="AB82" s="384">
        <f t="shared" si="89"/>
        <v>0</v>
      </c>
      <c r="AC82" s="384">
        <f t="shared" si="89"/>
        <v>0</v>
      </c>
      <c r="AD82" s="384">
        <f t="shared" si="89"/>
        <v>0</v>
      </c>
      <c r="AE82" s="384">
        <f t="shared" si="89"/>
        <v>0</v>
      </c>
      <c r="AF82" s="384">
        <f t="shared" si="89"/>
        <v>0</v>
      </c>
      <c r="AG82" s="384">
        <f t="shared" si="89"/>
        <v>0</v>
      </c>
      <c r="AH82" s="384">
        <f t="shared" si="89"/>
        <v>0</v>
      </c>
      <c r="AI82" s="384">
        <f t="shared" si="89"/>
        <v>0</v>
      </c>
      <c r="AJ82" s="384">
        <f t="shared" si="89"/>
        <v>0</v>
      </c>
      <c r="AK82" s="385"/>
      <c r="AL82" s="385"/>
      <c r="AM82" s="385"/>
      <c r="AN82" s="386"/>
      <c r="AO82" s="387"/>
      <c r="AP82" s="387" t="e">
        <f t="shared" si="83"/>
        <v>#DIV/0!</v>
      </c>
      <c r="AQ82" s="382">
        <f>AQ83</f>
        <v>0</v>
      </c>
      <c r="AR82" s="383">
        <f aca="true" t="shared" si="90" ref="AR82:BC82">AR83</f>
        <v>0</v>
      </c>
      <c r="AS82" s="383">
        <f t="shared" si="90"/>
        <v>0</v>
      </c>
      <c r="AT82" s="384">
        <f t="shared" si="90"/>
        <v>0</v>
      </c>
      <c r="AU82" s="384">
        <f t="shared" si="90"/>
        <v>0</v>
      </c>
      <c r="AV82" s="384">
        <f t="shared" si="90"/>
        <v>0</v>
      </c>
      <c r="AW82" s="384">
        <f t="shared" si="90"/>
        <v>0</v>
      </c>
      <c r="AX82" s="384">
        <f t="shared" si="90"/>
        <v>0</v>
      </c>
      <c r="AY82" s="384">
        <f t="shared" si="90"/>
        <v>0</v>
      </c>
      <c r="AZ82" s="384">
        <f t="shared" si="90"/>
        <v>0</v>
      </c>
      <c r="BA82" s="384">
        <f t="shared" si="90"/>
        <v>0</v>
      </c>
      <c r="BB82" s="384">
        <f t="shared" si="90"/>
        <v>0</v>
      </c>
      <c r="BC82" s="384">
        <f t="shared" si="90"/>
        <v>0</v>
      </c>
      <c r="BD82" s="385"/>
      <c r="BE82" s="385"/>
      <c r="BF82" s="385"/>
      <c r="BG82" s="386"/>
      <c r="BH82" s="387"/>
      <c r="BI82" s="387" t="e">
        <f t="shared" si="84"/>
        <v>#DIV/0!</v>
      </c>
      <c r="BJ82" s="415">
        <f t="shared" si="76"/>
        <v>0</v>
      </c>
      <c r="BK82" s="415">
        <f t="shared" si="77"/>
        <v>0</v>
      </c>
      <c r="BL82" s="415">
        <f t="shared" si="78"/>
        <v>0</v>
      </c>
      <c r="BM82" s="415">
        <f t="shared" si="79"/>
        <v>0</v>
      </c>
    </row>
    <row r="83" spans="1:65" s="129" customFormat="1" ht="24.75" customHeight="1">
      <c r="A83" s="130" t="s">
        <v>114</v>
      </c>
      <c r="B83" s="131" t="s">
        <v>805</v>
      </c>
      <c r="C83" s="131"/>
      <c r="D83" s="133">
        <v>6</v>
      </c>
      <c r="E83" s="324">
        <f aca="true" t="shared" si="91" ref="E83:Q83">SUM(E84:E85)</f>
        <v>0</v>
      </c>
      <c r="F83" s="325">
        <f t="shared" si="91"/>
        <v>0</v>
      </c>
      <c r="G83" s="325">
        <f t="shared" si="91"/>
        <v>0</v>
      </c>
      <c r="H83" s="326">
        <f t="shared" si="91"/>
        <v>0</v>
      </c>
      <c r="I83" s="326">
        <f t="shared" si="91"/>
        <v>0</v>
      </c>
      <c r="J83" s="326">
        <f t="shared" si="91"/>
        <v>0</v>
      </c>
      <c r="K83" s="326">
        <f t="shared" si="91"/>
        <v>0</v>
      </c>
      <c r="L83" s="326">
        <f t="shared" si="91"/>
        <v>0</v>
      </c>
      <c r="M83" s="326">
        <f t="shared" si="91"/>
        <v>0</v>
      </c>
      <c r="N83" s="326">
        <f t="shared" si="91"/>
        <v>0</v>
      </c>
      <c r="O83" s="326">
        <f t="shared" si="91"/>
        <v>0</v>
      </c>
      <c r="P83" s="326">
        <f t="shared" si="91"/>
        <v>0</v>
      </c>
      <c r="Q83" s="326">
        <f t="shared" si="91"/>
        <v>0</v>
      </c>
      <c r="R83" s="327"/>
      <c r="S83" s="327"/>
      <c r="T83" s="327"/>
      <c r="U83" s="328"/>
      <c r="V83" s="329"/>
      <c r="W83" s="329" t="e">
        <f>H83/F83</f>
        <v>#DIV/0!</v>
      </c>
      <c r="X83" s="325">
        <f aca="true" t="shared" si="92" ref="X83:AJ83">SUM(X84:X85)</f>
        <v>0</v>
      </c>
      <c r="Y83" s="325">
        <f t="shared" si="92"/>
        <v>0</v>
      </c>
      <c r="Z83" s="325">
        <f t="shared" si="92"/>
        <v>0</v>
      </c>
      <c r="AA83" s="326">
        <f t="shared" si="92"/>
        <v>0</v>
      </c>
      <c r="AB83" s="326">
        <f t="shared" si="92"/>
        <v>0</v>
      </c>
      <c r="AC83" s="326">
        <f t="shared" si="92"/>
        <v>0</v>
      </c>
      <c r="AD83" s="326">
        <f t="shared" si="92"/>
        <v>0</v>
      </c>
      <c r="AE83" s="326">
        <f t="shared" si="92"/>
        <v>0</v>
      </c>
      <c r="AF83" s="326">
        <f t="shared" si="92"/>
        <v>0</v>
      </c>
      <c r="AG83" s="326">
        <f t="shared" si="92"/>
        <v>0</v>
      </c>
      <c r="AH83" s="326">
        <f t="shared" si="92"/>
        <v>0</v>
      </c>
      <c r="AI83" s="326">
        <f t="shared" si="92"/>
        <v>0</v>
      </c>
      <c r="AJ83" s="326">
        <f t="shared" si="92"/>
        <v>0</v>
      </c>
      <c r="AK83" s="327"/>
      <c r="AL83" s="327"/>
      <c r="AM83" s="327"/>
      <c r="AN83" s="328"/>
      <c r="AO83" s="329"/>
      <c r="AP83" s="329" t="e">
        <f t="shared" si="83"/>
        <v>#DIV/0!</v>
      </c>
      <c r="AQ83" s="324">
        <f aca="true" t="shared" si="93" ref="AQ83:BC83">SUM(AQ84:AQ85)</f>
        <v>0</v>
      </c>
      <c r="AR83" s="325">
        <f t="shared" si="93"/>
        <v>0</v>
      </c>
      <c r="AS83" s="325">
        <f t="shared" si="93"/>
        <v>0</v>
      </c>
      <c r="AT83" s="326">
        <f t="shared" si="93"/>
        <v>0</v>
      </c>
      <c r="AU83" s="326">
        <f t="shared" si="93"/>
        <v>0</v>
      </c>
      <c r="AV83" s="326">
        <f t="shared" si="93"/>
        <v>0</v>
      </c>
      <c r="AW83" s="326">
        <f t="shared" si="93"/>
        <v>0</v>
      </c>
      <c r="AX83" s="326">
        <f t="shared" si="93"/>
        <v>0</v>
      </c>
      <c r="AY83" s="326">
        <f t="shared" si="93"/>
        <v>0</v>
      </c>
      <c r="AZ83" s="326">
        <f t="shared" si="93"/>
        <v>0</v>
      </c>
      <c r="BA83" s="326">
        <f t="shared" si="93"/>
        <v>0</v>
      </c>
      <c r="BB83" s="326">
        <f t="shared" si="93"/>
        <v>0</v>
      </c>
      <c r="BC83" s="326">
        <f t="shared" si="93"/>
        <v>0</v>
      </c>
      <c r="BD83" s="327"/>
      <c r="BE83" s="327"/>
      <c r="BF83" s="327"/>
      <c r="BG83" s="328"/>
      <c r="BH83" s="329"/>
      <c r="BI83" s="329" t="e">
        <f t="shared" si="84"/>
        <v>#DIV/0!</v>
      </c>
      <c r="BJ83" s="415">
        <f t="shared" si="76"/>
        <v>0</v>
      </c>
      <c r="BK83" s="415">
        <f t="shared" si="77"/>
        <v>0</v>
      </c>
      <c r="BL83" s="415">
        <f t="shared" si="78"/>
        <v>0</v>
      </c>
      <c r="BM83" s="415">
        <f t="shared" si="79"/>
        <v>0</v>
      </c>
    </row>
    <row r="84" spans="1:65" s="129" customFormat="1" ht="14.25">
      <c r="A84" s="141" t="s">
        <v>116</v>
      </c>
      <c r="B84" s="351"/>
      <c r="C84" s="341"/>
      <c r="D84" s="144"/>
      <c r="E84" s="359"/>
      <c r="F84" s="373"/>
      <c r="G84" s="332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2"/>
      <c r="S84" s="332"/>
      <c r="T84" s="332"/>
      <c r="U84" s="335"/>
      <c r="V84" s="334"/>
      <c r="W84" s="334" t="e">
        <f>H84/F84</f>
        <v>#DIV/0!</v>
      </c>
      <c r="X84" s="332"/>
      <c r="Y84" s="373"/>
      <c r="Z84" s="332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2"/>
      <c r="AL84" s="332"/>
      <c r="AM84" s="332"/>
      <c r="AN84" s="335"/>
      <c r="AO84" s="334"/>
      <c r="AP84" s="334" t="e">
        <f t="shared" si="83"/>
        <v>#DIV/0!</v>
      </c>
      <c r="AQ84" s="359"/>
      <c r="AR84" s="373"/>
      <c r="AS84" s="332"/>
      <c r="AT84" s="334"/>
      <c r="AU84" s="334"/>
      <c r="AV84" s="334"/>
      <c r="AW84" s="334"/>
      <c r="AX84" s="334"/>
      <c r="AY84" s="334"/>
      <c r="AZ84" s="334"/>
      <c r="BA84" s="334"/>
      <c r="BB84" s="334"/>
      <c r="BC84" s="334"/>
      <c r="BD84" s="332"/>
      <c r="BE84" s="332"/>
      <c r="BF84" s="332"/>
      <c r="BG84" s="335"/>
      <c r="BH84" s="334"/>
      <c r="BI84" s="334" t="e">
        <f t="shared" si="84"/>
        <v>#DIV/0!</v>
      </c>
      <c r="BJ84" s="415">
        <f t="shared" si="76"/>
        <v>0</v>
      </c>
      <c r="BK84" s="415">
        <f t="shared" si="77"/>
        <v>0</v>
      </c>
      <c r="BL84" s="415">
        <f t="shared" si="78"/>
        <v>0</v>
      </c>
      <c r="BM84" s="415">
        <f t="shared" si="79"/>
        <v>0</v>
      </c>
    </row>
    <row r="85" spans="1:65" s="129" customFormat="1" ht="14.25">
      <c r="A85" s="141"/>
      <c r="B85" s="351"/>
      <c r="C85" s="341"/>
      <c r="D85" s="144"/>
      <c r="E85" s="359"/>
      <c r="F85" s="373"/>
      <c r="G85" s="332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2"/>
      <c r="S85" s="332"/>
      <c r="T85" s="332"/>
      <c r="U85" s="335"/>
      <c r="V85" s="334"/>
      <c r="W85" s="334" t="e">
        <f>H85/F85</f>
        <v>#DIV/0!</v>
      </c>
      <c r="X85" s="332"/>
      <c r="Y85" s="373"/>
      <c r="Z85" s="332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2"/>
      <c r="AL85" s="332"/>
      <c r="AM85" s="332"/>
      <c r="AN85" s="335"/>
      <c r="AO85" s="334"/>
      <c r="AP85" s="334" t="e">
        <f t="shared" si="83"/>
        <v>#DIV/0!</v>
      </c>
      <c r="AQ85" s="359"/>
      <c r="AR85" s="373"/>
      <c r="AS85" s="332"/>
      <c r="AT85" s="334"/>
      <c r="AU85" s="334"/>
      <c r="AV85" s="334"/>
      <c r="AW85" s="334"/>
      <c r="AX85" s="334"/>
      <c r="AY85" s="334"/>
      <c r="AZ85" s="334"/>
      <c r="BA85" s="334"/>
      <c r="BB85" s="334"/>
      <c r="BC85" s="334"/>
      <c r="BD85" s="332"/>
      <c r="BE85" s="332"/>
      <c r="BF85" s="332"/>
      <c r="BG85" s="335"/>
      <c r="BH85" s="334"/>
      <c r="BI85" s="334" t="e">
        <f t="shared" si="84"/>
        <v>#DIV/0!</v>
      </c>
      <c r="BJ85" s="415">
        <f t="shared" si="76"/>
        <v>0</v>
      </c>
      <c r="BK85" s="415">
        <f t="shared" si="77"/>
        <v>0</v>
      </c>
      <c r="BL85" s="415">
        <f t="shared" si="78"/>
        <v>0</v>
      </c>
      <c r="BM85" s="415">
        <f t="shared" si="79"/>
        <v>0</v>
      </c>
    </row>
    <row r="86" spans="1:65" s="129" customFormat="1" ht="114.75" customHeight="1">
      <c r="A86" s="264" t="s">
        <v>762</v>
      </c>
      <c r="B86" s="381" t="s">
        <v>763</v>
      </c>
      <c r="C86" s="381"/>
      <c r="D86" s="266"/>
      <c r="E86" s="382">
        <f aca="true" t="shared" si="94" ref="E86:Q86">E87+E90+E93+E96</f>
        <v>0</v>
      </c>
      <c r="F86" s="383">
        <f t="shared" si="94"/>
        <v>0</v>
      </c>
      <c r="G86" s="383">
        <f t="shared" si="94"/>
        <v>0</v>
      </c>
      <c r="H86" s="384">
        <f t="shared" si="94"/>
        <v>0</v>
      </c>
      <c r="I86" s="384">
        <f t="shared" si="94"/>
        <v>0</v>
      </c>
      <c r="J86" s="384">
        <f t="shared" si="94"/>
        <v>0</v>
      </c>
      <c r="K86" s="384">
        <f t="shared" si="94"/>
        <v>0</v>
      </c>
      <c r="L86" s="384">
        <f t="shared" si="94"/>
        <v>0</v>
      </c>
      <c r="M86" s="384">
        <f t="shared" si="94"/>
        <v>0</v>
      </c>
      <c r="N86" s="384">
        <f t="shared" si="94"/>
        <v>0</v>
      </c>
      <c r="O86" s="384">
        <f t="shared" si="94"/>
        <v>0</v>
      </c>
      <c r="P86" s="384">
        <f t="shared" si="94"/>
        <v>0</v>
      </c>
      <c r="Q86" s="384">
        <f t="shared" si="94"/>
        <v>0</v>
      </c>
      <c r="R86" s="385"/>
      <c r="S86" s="385"/>
      <c r="T86" s="385"/>
      <c r="U86" s="386"/>
      <c r="V86" s="387"/>
      <c r="W86" s="387" t="e">
        <f>H86/F86</f>
        <v>#DIV/0!</v>
      </c>
      <c r="X86" s="383">
        <f aca="true" t="shared" si="95" ref="X86:AJ86">X87+X90+X93+X96</f>
        <v>0</v>
      </c>
      <c r="Y86" s="383">
        <f t="shared" si="95"/>
        <v>0</v>
      </c>
      <c r="Z86" s="383">
        <f t="shared" si="95"/>
        <v>0</v>
      </c>
      <c r="AA86" s="384">
        <f t="shared" si="95"/>
        <v>0</v>
      </c>
      <c r="AB86" s="384">
        <f t="shared" si="95"/>
        <v>0</v>
      </c>
      <c r="AC86" s="384">
        <f t="shared" si="95"/>
        <v>0</v>
      </c>
      <c r="AD86" s="384">
        <f t="shared" si="95"/>
        <v>0</v>
      </c>
      <c r="AE86" s="384">
        <f t="shared" si="95"/>
        <v>0</v>
      </c>
      <c r="AF86" s="384">
        <f t="shared" si="95"/>
        <v>0</v>
      </c>
      <c r="AG86" s="384">
        <f t="shared" si="95"/>
        <v>0</v>
      </c>
      <c r="AH86" s="384">
        <f t="shared" si="95"/>
        <v>0</v>
      </c>
      <c r="AI86" s="384">
        <f t="shared" si="95"/>
        <v>0</v>
      </c>
      <c r="AJ86" s="384">
        <f t="shared" si="95"/>
        <v>0</v>
      </c>
      <c r="AK86" s="385"/>
      <c r="AL86" s="385"/>
      <c r="AM86" s="385"/>
      <c r="AN86" s="386"/>
      <c r="AO86" s="387"/>
      <c r="AP86" s="387" t="e">
        <f t="shared" si="83"/>
        <v>#DIV/0!</v>
      </c>
      <c r="AQ86" s="382">
        <f aca="true" t="shared" si="96" ref="AQ86:BC86">AQ87+AQ90+AQ93+AQ96</f>
        <v>0</v>
      </c>
      <c r="AR86" s="383">
        <f t="shared" si="96"/>
        <v>0</v>
      </c>
      <c r="AS86" s="383">
        <f t="shared" si="96"/>
        <v>0</v>
      </c>
      <c r="AT86" s="384">
        <f t="shared" si="96"/>
        <v>0</v>
      </c>
      <c r="AU86" s="384">
        <f t="shared" si="96"/>
        <v>0</v>
      </c>
      <c r="AV86" s="384">
        <f t="shared" si="96"/>
        <v>0</v>
      </c>
      <c r="AW86" s="384">
        <f t="shared" si="96"/>
        <v>0</v>
      </c>
      <c r="AX86" s="384">
        <f t="shared" si="96"/>
        <v>0</v>
      </c>
      <c r="AY86" s="384">
        <f t="shared" si="96"/>
        <v>0</v>
      </c>
      <c r="AZ86" s="384">
        <f t="shared" si="96"/>
        <v>0</v>
      </c>
      <c r="BA86" s="384">
        <f t="shared" si="96"/>
        <v>0</v>
      </c>
      <c r="BB86" s="384">
        <f t="shared" si="96"/>
        <v>0</v>
      </c>
      <c r="BC86" s="384">
        <f t="shared" si="96"/>
        <v>0</v>
      </c>
      <c r="BD86" s="385"/>
      <c r="BE86" s="385"/>
      <c r="BF86" s="385"/>
      <c r="BG86" s="386"/>
      <c r="BH86" s="387"/>
      <c r="BI86" s="387" t="e">
        <f t="shared" si="84"/>
        <v>#DIV/0!</v>
      </c>
      <c r="BJ86" s="415">
        <f t="shared" si="76"/>
        <v>0</v>
      </c>
      <c r="BK86" s="415">
        <f t="shared" si="77"/>
        <v>0</v>
      </c>
      <c r="BL86" s="415">
        <f t="shared" si="78"/>
        <v>0</v>
      </c>
      <c r="BM86" s="415">
        <f t="shared" si="79"/>
        <v>0</v>
      </c>
    </row>
    <row r="87" spans="1:65" s="129" customFormat="1" ht="24.75" customHeight="1">
      <c r="A87" s="130" t="s">
        <v>114</v>
      </c>
      <c r="B87" s="131" t="s">
        <v>764</v>
      </c>
      <c r="C87" s="131"/>
      <c r="D87" s="133">
        <v>6</v>
      </c>
      <c r="E87" s="324">
        <f aca="true" t="shared" si="97" ref="E87:Q87">SUM(E88:E89)</f>
        <v>0</v>
      </c>
      <c r="F87" s="325">
        <f t="shared" si="97"/>
        <v>0</v>
      </c>
      <c r="G87" s="325">
        <f t="shared" si="97"/>
        <v>0</v>
      </c>
      <c r="H87" s="326">
        <f t="shared" si="97"/>
        <v>0</v>
      </c>
      <c r="I87" s="326">
        <f t="shared" si="97"/>
        <v>0</v>
      </c>
      <c r="J87" s="326">
        <f t="shared" si="97"/>
        <v>0</v>
      </c>
      <c r="K87" s="326">
        <f t="shared" si="97"/>
        <v>0</v>
      </c>
      <c r="L87" s="326">
        <f t="shared" si="97"/>
        <v>0</v>
      </c>
      <c r="M87" s="326">
        <f t="shared" si="97"/>
        <v>0</v>
      </c>
      <c r="N87" s="326">
        <f t="shared" si="97"/>
        <v>0</v>
      </c>
      <c r="O87" s="326">
        <f t="shared" si="97"/>
        <v>0</v>
      </c>
      <c r="P87" s="326">
        <f t="shared" si="97"/>
        <v>0</v>
      </c>
      <c r="Q87" s="326">
        <f t="shared" si="97"/>
        <v>0</v>
      </c>
      <c r="R87" s="327"/>
      <c r="S87" s="327"/>
      <c r="T87" s="327"/>
      <c r="U87" s="328"/>
      <c r="V87" s="329"/>
      <c r="W87" s="329" t="e">
        <f>H87/F87</f>
        <v>#DIV/0!</v>
      </c>
      <c r="X87" s="325">
        <f aca="true" t="shared" si="98" ref="X87:AJ87">SUM(X88:X89)</f>
        <v>0</v>
      </c>
      <c r="Y87" s="325">
        <f t="shared" si="98"/>
        <v>0</v>
      </c>
      <c r="Z87" s="325">
        <f t="shared" si="98"/>
        <v>0</v>
      </c>
      <c r="AA87" s="326">
        <f t="shared" si="98"/>
        <v>0</v>
      </c>
      <c r="AB87" s="326">
        <f t="shared" si="98"/>
        <v>0</v>
      </c>
      <c r="AC87" s="326">
        <f t="shared" si="98"/>
        <v>0</v>
      </c>
      <c r="AD87" s="326">
        <f t="shared" si="98"/>
        <v>0</v>
      </c>
      <c r="AE87" s="326">
        <f t="shared" si="98"/>
        <v>0</v>
      </c>
      <c r="AF87" s="326">
        <f t="shared" si="98"/>
        <v>0</v>
      </c>
      <c r="AG87" s="326">
        <f t="shared" si="98"/>
        <v>0</v>
      </c>
      <c r="AH87" s="326">
        <f t="shared" si="98"/>
        <v>0</v>
      </c>
      <c r="AI87" s="326">
        <f t="shared" si="98"/>
        <v>0</v>
      </c>
      <c r="AJ87" s="326">
        <f t="shared" si="98"/>
        <v>0</v>
      </c>
      <c r="AK87" s="327"/>
      <c r="AL87" s="327"/>
      <c r="AM87" s="327"/>
      <c r="AN87" s="328"/>
      <c r="AO87" s="329"/>
      <c r="AP87" s="329" t="e">
        <f t="shared" si="83"/>
        <v>#DIV/0!</v>
      </c>
      <c r="AQ87" s="324">
        <f aca="true" t="shared" si="99" ref="AQ87:BC87">SUM(AQ88:AQ89)</f>
        <v>0</v>
      </c>
      <c r="AR87" s="325">
        <f t="shared" si="99"/>
        <v>0</v>
      </c>
      <c r="AS87" s="325">
        <f t="shared" si="99"/>
        <v>0</v>
      </c>
      <c r="AT87" s="326">
        <f t="shared" si="99"/>
        <v>0</v>
      </c>
      <c r="AU87" s="326">
        <f t="shared" si="99"/>
        <v>0</v>
      </c>
      <c r="AV87" s="326">
        <f t="shared" si="99"/>
        <v>0</v>
      </c>
      <c r="AW87" s="326">
        <f t="shared" si="99"/>
        <v>0</v>
      </c>
      <c r="AX87" s="326">
        <f t="shared" si="99"/>
        <v>0</v>
      </c>
      <c r="AY87" s="326">
        <f t="shared" si="99"/>
        <v>0</v>
      </c>
      <c r="AZ87" s="326">
        <f t="shared" si="99"/>
        <v>0</v>
      </c>
      <c r="BA87" s="326">
        <f t="shared" si="99"/>
        <v>0</v>
      </c>
      <c r="BB87" s="326">
        <f t="shared" si="99"/>
        <v>0</v>
      </c>
      <c r="BC87" s="326">
        <f t="shared" si="99"/>
        <v>0</v>
      </c>
      <c r="BD87" s="327"/>
      <c r="BE87" s="327"/>
      <c r="BF87" s="327"/>
      <c r="BG87" s="328"/>
      <c r="BH87" s="329"/>
      <c r="BI87" s="329" t="e">
        <f t="shared" si="84"/>
        <v>#DIV/0!</v>
      </c>
      <c r="BJ87" s="415">
        <f t="shared" si="76"/>
        <v>0</v>
      </c>
      <c r="BK87" s="415">
        <f t="shared" si="77"/>
        <v>0</v>
      </c>
      <c r="BL87" s="415">
        <f t="shared" si="78"/>
        <v>0</v>
      </c>
      <c r="BM87" s="415">
        <f t="shared" si="79"/>
        <v>0</v>
      </c>
    </row>
    <row r="88" spans="1:65" s="129" customFormat="1" ht="14.25">
      <c r="A88" s="141" t="s">
        <v>116</v>
      </c>
      <c r="B88" s="388"/>
      <c r="C88" s="341"/>
      <c r="D88" s="144"/>
      <c r="E88" s="389"/>
      <c r="F88" s="390"/>
      <c r="G88" s="390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2"/>
      <c r="S88" s="332"/>
      <c r="T88" s="332"/>
      <c r="U88" s="335"/>
      <c r="V88" s="334"/>
      <c r="W88" s="334" t="e">
        <f>H88/F88</f>
        <v>#DIV/0!</v>
      </c>
      <c r="X88" s="390"/>
      <c r="Y88" s="390"/>
      <c r="Z88" s="390"/>
      <c r="AA88" s="334"/>
      <c r="AB88" s="334"/>
      <c r="AC88" s="334"/>
      <c r="AD88" s="334"/>
      <c r="AE88" s="334"/>
      <c r="AF88" s="334"/>
      <c r="AG88" s="334"/>
      <c r="AH88" s="334"/>
      <c r="AI88" s="334"/>
      <c r="AJ88" s="334"/>
      <c r="AK88" s="332"/>
      <c r="AL88" s="332"/>
      <c r="AM88" s="332"/>
      <c r="AN88" s="335"/>
      <c r="AO88" s="334"/>
      <c r="AP88" s="334" t="e">
        <f t="shared" si="83"/>
        <v>#DIV/0!</v>
      </c>
      <c r="AQ88" s="389"/>
      <c r="AR88" s="390"/>
      <c r="AS88" s="390"/>
      <c r="AT88" s="334"/>
      <c r="AU88" s="334"/>
      <c r="AV88" s="334"/>
      <c r="AW88" s="334"/>
      <c r="AX88" s="334"/>
      <c r="AY88" s="334"/>
      <c r="AZ88" s="334"/>
      <c r="BA88" s="334"/>
      <c r="BB88" s="334"/>
      <c r="BC88" s="334"/>
      <c r="BD88" s="332"/>
      <c r="BE88" s="332"/>
      <c r="BF88" s="332"/>
      <c r="BG88" s="335"/>
      <c r="BH88" s="334"/>
      <c r="BI88" s="334" t="e">
        <f t="shared" si="84"/>
        <v>#DIV/0!</v>
      </c>
      <c r="BJ88" s="415">
        <f t="shared" si="76"/>
        <v>0</v>
      </c>
      <c r="BK88" s="415">
        <f t="shared" si="77"/>
        <v>0</v>
      </c>
      <c r="BL88" s="415">
        <f t="shared" si="78"/>
        <v>0</v>
      </c>
      <c r="BM88" s="415">
        <f t="shared" si="79"/>
        <v>0</v>
      </c>
    </row>
    <row r="89" spans="1:65" s="129" customFormat="1" ht="14.25">
      <c r="A89" s="141"/>
      <c r="B89" s="351"/>
      <c r="C89" s="341"/>
      <c r="D89" s="144"/>
      <c r="E89" s="389"/>
      <c r="F89" s="391"/>
      <c r="G89" s="390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2"/>
      <c r="S89" s="332"/>
      <c r="T89" s="332"/>
      <c r="U89" s="335"/>
      <c r="V89" s="334"/>
      <c r="W89" s="334" t="e">
        <f>H89/F89</f>
        <v>#DIV/0!</v>
      </c>
      <c r="X89" s="390"/>
      <c r="Y89" s="391"/>
      <c r="Z89" s="390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2"/>
      <c r="AL89" s="332"/>
      <c r="AM89" s="332"/>
      <c r="AN89" s="335"/>
      <c r="AO89" s="334"/>
      <c r="AP89" s="334" t="e">
        <f t="shared" si="83"/>
        <v>#DIV/0!</v>
      </c>
      <c r="AQ89" s="389"/>
      <c r="AR89" s="391"/>
      <c r="AS89" s="390"/>
      <c r="AT89" s="334"/>
      <c r="AU89" s="334"/>
      <c r="AV89" s="334"/>
      <c r="AW89" s="334"/>
      <c r="AX89" s="334"/>
      <c r="AY89" s="334"/>
      <c r="AZ89" s="334"/>
      <c r="BA89" s="334"/>
      <c r="BB89" s="334"/>
      <c r="BC89" s="334"/>
      <c r="BD89" s="332"/>
      <c r="BE89" s="332"/>
      <c r="BF89" s="332"/>
      <c r="BG89" s="335"/>
      <c r="BH89" s="334"/>
      <c r="BI89" s="334" t="e">
        <f t="shared" si="84"/>
        <v>#DIV/0!</v>
      </c>
      <c r="BJ89" s="415">
        <f t="shared" si="76"/>
        <v>0</v>
      </c>
      <c r="BK89" s="415">
        <f t="shared" si="77"/>
        <v>0</v>
      </c>
      <c r="BL89" s="415">
        <f t="shared" si="78"/>
        <v>0</v>
      </c>
      <c r="BM89" s="415">
        <f t="shared" si="79"/>
        <v>0</v>
      </c>
    </row>
    <row r="90" spans="1:65" s="129" customFormat="1" ht="24.75" customHeight="1">
      <c r="A90" s="130" t="s">
        <v>144</v>
      </c>
      <c r="B90" s="131" t="s">
        <v>768</v>
      </c>
      <c r="C90" s="131"/>
      <c r="D90" s="133">
        <v>6</v>
      </c>
      <c r="E90" s="324">
        <f aca="true" t="shared" si="100" ref="E90:Q90">SUM(E91:E92)</f>
        <v>0</v>
      </c>
      <c r="F90" s="325">
        <f t="shared" si="100"/>
        <v>0</v>
      </c>
      <c r="G90" s="325">
        <f t="shared" si="100"/>
        <v>0</v>
      </c>
      <c r="H90" s="326">
        <f t="shared" si="100"/>
        <v>0</v>
      </c>
      <c r="I90" s="326">
        <f t="shared" si="100"/>
        <v>0</v>
      </c>
      <c r="J90" s="326">
        <f t="shared" si="100"/>
        <v>0</v>
      </c>
      <c r="K90" s="326">
        <f t="shared" si="100"/>
        <v>0</v>
      </c>
      <c r="L90" s="326">
        <f t="shared" si="100"/>
        <v>0</v>
      </c>
      <c r="M90" s="326">
        <f t="shared" si="100"/>
        <v>0</v>
      </c>
      <c r="N90" s="326">
        <f t="shared" si="100"/>
        <v>0</v>
      </c>
      <c r="O90" s="326">
        <f t="shared" si="100"/>
        <v>0</v>
      </c>
      <c r="P90" s="326">
        <f t="shared" si="100"/>
        <v>0</v>
      </c>
      <c r="Q90" s="326">
        <f t="shared" si="100"/>
        <v>0</v>
      </c>
      <c r="R90" s="327"/>
      <c r="S90" s="327"/>
      <c r="T90" s="327"/>
      <c r="U90" s="328"/>
      <c r="V90" s="329"/>
      <c r="W90" s="329" t="e">
        <f>H90/F90</f>
        <v>#DIV/0!</v>
      </c>
      <c r="X90" s="325">
        <f aca="true" t="shared" si="101" ref="X90:AJ90">SUM(X91:X92)</f>
        <v>0</v>
      </c>
      <c r="Y90" s="325">
        <f t="shared" si="101"/>
        <v>0</v>
      </c>
      <c r="Z90" s="325">
        <f t="shared" si="101"/>
        <v>0</v>
      </c>
      <c r="AA90" s="326">
        <f t="shared" si="101"/>
        <v>0</v>
      </c>
      <c r="AB90" s="326">
        <f t="shared" si="101"/>
        <v>0</v>
      </c>
      <c r="AC90" s="326">
        <f t="shared" si="101"/>
        <v>0</v>
      </c>
      <c r="AD90" s="326">
        <f t="shared" si="101"/>
        <v>0</v>
      </c>
      <c r="AE90" s="326">
        <f t="shared" si="101"/>
        <v>0</v>
      </c>
      <c r="AF90" s="326">
        <f t="shared" si="101"/>
        <v>0</v>
      </c>
      <c r="AG90" s="326">
        <f t="shared" si="101"/>
        <v>0</v>
      </c>
      <c r="AH90" s="326">
        <f t="shared" si="101"/>
        <v>0</v>
      </c>
      <c r="AI90" s="326">
        <f t="shared" si="101"/>
        <v>0</v>
      </c>
      <c r="AJ90" s="326">
        <f t="shared" si="101"/>
        <v>0</v>
      </c>
      <c r="AK90" s="327"/>
      <c r="AL90" s="327"/>
      <c r="AM90" s="327"/>
      <c r="AN90" s="328"/>
      <c r="AO90" s="329"/>
      <c r="AP90" s="329" t="e">
        <f t="shared" si="83"/>
        <v>#DIV/0!</v>
      </c>
      <c r="AQ90" s="324">
        <f aca="true" t="shared" si="102" ref="AQ90:BC90">SUM(AQ91:AQ92)</f>
        <v>0</v>
      </c>
      <c r="AR90" s="325">
        <f t="shared" si="102"/>
        <v>0</v>
      </c>
      <c r="AS90" s="325">
        <f t="shared" si="102"/>
        <v>0</v>
      </c>
      <c r="AT90" s="326">
        <f t="shared" si="102"/>
        <v>0</v>
      </c>
      <c r="AU90" s="326">
        <f t="shared" si="102"/>
        <v>0</v>
      </c>
      <c r="AV90" s="326">
        <f t="shared" si="102"/>
        <v>0</v>
      </c>
      <c r="AW90" s="326">
        <f t="shared" si="102"/>
        <v>0</v>
      </c>
      <c r="AX90" s="326">
        <f t="shared" si="102"/>
        <v>0</v>
      </c>
      <c r="AY90" s="326">
        <f t="shared" si="102"/>
        <v>0</v>
      </c>
      <c r="AZ90" s="326">
        <f t="shared" si="102"/>
        <v>0</v>
      </c>
      <c r="BA90" s="326">
        <f t="shared" si="102"/>
        <v>0</v>
      </c>
      <c r="BB90" s="326">
        <f t="shared" si="102"/>
        <v>0</v>
      </c>
      <c r="BC90" s="326">
        <f t="shared" si="102"/>
        <v>0</v>
      </c>
      <c r="BD90" s="327"/>
      <c r="BE90" s="327"/>
      <c r="BF90" s="327"/>
      <c r="BG90" s="328"/>
      <c r="BH90" s="329"/>
      <c r="BI90" s="329" t="e">
        <f t="shared" si="84"/>
        <v>#DIV/0!</v>
      </c>
      <c r="BJ90" s="415">
        <f t="shared" si="76"/>
        <v>0</v>
      </c>
      <c r="BK90" s="415">
        <f t="shared" si="77"/>
        <v>0</v>
      </c>
      <c r="BL90" s="415">
        <f t="shared" si="78"/>
        <v>0</v>
      </c>
      <c r="BM90" s="415">
        <f t="shared" si="79"/>
        <v>0</v>
      </c>
    </row>
    <row r="91" spans="1:65" s="129" customFormat="1" ht="14.25">
      <c r="A91" s="141" t="s">
        <v>146</v>
      </c>
      <c r="B91" s="351"/>
      <c r="C91" s="341"/>
      <c r="D91" s="144"/>
      <c r="E91" s="389"/>
      <c r="F91" s="390"/>
      <c r="G91" s="390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2"/>
      <c r="S91" s="332"/>
      <c r="T91" s="332"/>
      <c r="U91" s="335"/>
      <c r="V91" s="334"/>
      <c r="W91" s="334" t="e">
        <f>H91/F91</f>
        <v>#DIV/0!</v>
      </c>
      <c r="X91" s="390"/>
      <c r="Y91" s="390"/>
      <c r="Z91" s="390"/>
      <c r="AA91" s="334"/>
      <c r="AB91" s="334"/>
      <c r="AC91" s="334"/>
      <c r="AD91" s="334"/>
      <c r="AE91" s="334"/>
      <c r="AF91" s="334"/>
      <c r="AG91" s="334"/>
      <c r="AH91" s="334"/>
      <c r="AI91" s="334"/>
      <c r="AJ91" s="334"/>
      <c r="AK91" s="332"/>
      <c r="AL91" s="332"/>
      <c r="AM91" s="332"/>
      <c r="AN91" s="335"/>
      <c r="AO91" s="334"/>
      <c r="AP91" s="334" t="e">
        <f t="shared" si="83"/>
        <v>#DIV/0!</v>
      </c>
      <c r="AQ91" s="389"/>
      <c r="AR91" s="390"/>
      <c r="AS91" s="390"/>
      <c r="AT91" s="334"/>
      <c r="AU91" s="334"/>
      <c r="AV91" s="334"/>
      <c r="AW91" s="334"/>
      <c r="AX91" s="334"/>
      <c r="AY91" s="334"/>
      <c r="AZ91" s="334"/>
      <c r="BA91" s="334"/>
      <c r="BB91" s="334"/>
      <c r="BC91" s="334"/>
      <c r="BD91" s="332"/>
      <c r="BE91" s="332"/>
      <c r="BF91" s="332"/>
      <c r="BG91" s="335"/>
      <c r="BH91" s="334"/>
      <c r="BI91" s="334" t="e">
        <f t="shared" si="84"/>
        <v>#DIV/0!</v>
      </c>
      <c r="BJ91" s="415">
        <f t="shared" si="76"/>
        <v>0</v>
      </c>
      <c r="BK91" s="415">
        <f t="shared" si="77"/>
        <v>0</v>
      </c>
      <c r="BL91" s="415">
        <f t="shared" si="78"/>
        <v>0</v>
      </c>
      <c r="BM91" s="415">
        <f t="shared" si="79"/>
        <v>0</v>
      </c>
    </row>
    <row r="92" spans="1:65" s="129" customFormat="1" ht="14.25">
      <c r="A92" s="141"/>
      <c r="B92" s="351"/>
      <c r="C92" s="341"/>
      <c r="D92" s="144"/>
      <c r="E92" s="389"/>
      <c r="F92" s="391"/>
      <c r="G92" s="390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2"/>
      <c r="S92" s="332"/>
      <c r="T92" s="332"/>
      <c r="U92" s="335"/>
      <c r="V92" s="334"/>
      <c r="W92" s="334" t="e">
        <f>H92/F92</f>
        <v>#DIV/0!</v>
      </c>
      <c r="X92" s="390"/>
      <c r="Y92" s="391"/>
      <c r="Z92" s="390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2"/>
      <c r="AL92" s="332"/>
      <c r="AM92" s="332"/>
      <c r="AN92" s="335"/>
      <c r="AO92" s="334"/>
      <c r="AP92" s="334" t="e">
        <f t="shared" si="83"/>
        <v>#DIV/0!</v>
      </c>
      <c r="AQ92" s="389"/>
      <c r="AR92" s="391"/>
      <c r="AS92" s="390"/>
      <c r="AT92" s="334"/>
      <c r="AU92" s="334"/>
      <c r="AV92" s="334"/>
      <c r="AW92" s="334"/>
      <c r="AX92" s="334"/>
      <c r="AY92" s="334"/>
      <c r="AZ92" s="334"/>
      <c r="BA92" s="334"/>
      <c r="BB92" s="334"/>
      <c r="BC92" s="334"/>
      <c r="BD92" s="332"/>
      <c r="BE92" s="332"/>
      <c r="BF92" s="332"/>
      <c r="BG92" s="335"/>
      <c r="BH92" s="334"/>
      <c r="BI92" s="334" t="e">
        <f t="shared" si="84"/>
        <v>#DIV/0!</v>
      </c>
      <c r="BJ92" s="415">
        <f t="shared" si="76"/>
        <v>0</v>
      </c>
      <c r="BK92" s="415">
        <f t="shared" si="77"/>
        <v>0</v>
      </c>
      <c r="BL92" s="415">
        <f t="shared" si="78"/>
        <v>0</v>
      </c>
      <c r="BM92" s="415">
        <f t="shared" si="79"/>
        <v>0</v>
      </c>
    </row>
    <row r="93" spans="1:65" s="129" customFormat="1" ht="24.75" customHeight="1">
      <c r="A93" s="130" t="s">
        <v>335</v>
      </c>
      <c r="B93" s="131" t="s">
        <v>769</v>
      </c>
      <c r="C93" s="131"/>
      <c r="D93" s="133">
        <v>6</v>
      </c>
      <c r="E93" s="324">
        <f aca="true" t="shared" si="103" ref="E93:Q93">SUM(E94:E95)</f>
        <v>0</v>
      </c>
      <c r="F93" s="325">
        <f t="shared" si="103"/>
        <v>0</v>
      </c>
      <c r="G93" s="325">
        <f t="shared" si="103"/>
        <v>0</v>
      </c>
      <c r="H93" s="326">
        <f t="shared" si="103"/>
        <v>0</v>
      </c>
      <c r="I93" s="326">
        <f t="shared" si="103"/>
        <v>0</v>
      </c>
      <c r="J93" s="326">
        <f t="shared" si="103"/>
        <v>0</v>
      </c>
      <c r="K93" s="326">
        <f t="shared" si="103"/>
        <v>0</v>
      </c>
      <c r="L93" s="326">
        <f t="shared" si="103"/>
        <v>0</v>
      </c>
      <c r="M93" s="326">
        <f t="shared" si="103"/>
        <v>0</v>
      </c>
      <c r="N93" s="326">
        <f t="shared" si="103"/>
        <v>0</v>
      </c>
      <c r="O93" s="326">
        <f t="shared" si="103"/>
        <v>0</v>
      </c>
      <c r="P93" s="326">
        <f t="shared" si="103"/>
        <v>0</v>
      </c>
      <c r="Q93" s="326">
        <f t="shared" si="103"/>
        <v>0</v>
      </c>
      <c r="R93" s="327"/>
      <c r="S93" s="327"/>
      <c r="T93" s="327"/>
      <c r="U93" s="328"/>
      <c r="V93" s="329"/>
      <c r="W93" s="329" t="e">
        <f>H93/F93</f>
        <v>#DIV/0!</v>
      </c>
      <c r="X93" s="325">
        <f aca="true" t="shared" si="104" ref="X93:AJ93">SUM(X94:X95)</f>
        <v>0</v>
      </c>
      <c r="Y93" s="325">
        <f t="shared" si="104"/>
        <v>0</v>
      </c>
      <c r="Z93" s="325">
        <f t="shared" si="104"/>
        <v>0</v>
      </c>
      <c r="AA93" s="326">
        <f t="shared" si="104"/>
        <v>0</v>
      </c>
      <c r="AB93" s="326">
        <f t="shared" si="104"/>
        <v>0</v>
      </c>
      <c r="AC93" s="326">
        <f t="shared" si="104"/>
        <v>0</v>
      </c>
      <c r="AD93" s="326">
        <f t="shared" si="104"/>
        <v>0</v>
      </c>
      <c r="AE93" s="326">
        <f t="shared" si="104"/>
        <v>0</v>
      </c>
      <c r="AF93" s="326">
        <f t="shared" si="104"/>
        <v>0</v>
      </c>
      <c r="AG93" s="326">
        <f t="shared" si="104"/>
        <v>0</v>
      </c>
      <c r="AH93" s="326">
        <f t="shared" si="104"/>
        <v>0</v>
      </c>
      <c r="AI93" s="326">
        <f t="shared" si="104"/>
        <v>0</v>
      </c>
      <c r="AJ93" s="326">
        <f t="shared" si="104"/>
        <v>0</v>
      </c>
      <c r="AK93" s="327"/>
      <c r="AL93" s="327"/>
      <c r="AM93" s="327"/>
      <c r="AN93" s="328"/>
      <c r="AO93" s="329"/>
      <c r="AP93" s="329" t="e">
        <f t="shared" si="83"/>
        <v>#DIV/0!</v>
      </c>
      <c r="AQ93" s="324">
        <f aca="true" t="shared" si="105" ref="AQ93:BC93">SUM(AQ94:AQ95)</f>
        <v>0</v>
      </c>
      <c r="AR93" s="325">
        <f t="shared" si="105"/>
        <v>0</v>
      </c>
      <c r="AS93" s="325">
        <f t="shared" si="105"/>
        <v>0</v>
      </c>
      <c r="AT93" s="326">
        <f t="shared" si="105"/>
        <v>0</v>
      </c>
      <c r="AU93" s="326">
        <f t="shared" si="105"/>
        <v>0</v>
      </c>
      <c r="AV93" s="326">
        <f t="shared" si="105"/>
        <v>0</v>
      </c>
      <c r="AW93" s="326">
        <f t="shared" si="105"/>
        <v>0</v>
      </c>
      <c r="AX93" s="326">
        <f t="shared" si="105"/>
        <v>0</v>
      </c>
      <c r="AY93" s="326">
        <f t="shared" si="105"/>
        <v>0</v>
      </c>
      <c r="AZ93" s="326">
        <f t="shared" si="105"/>
        <v>0</v>
      </c>
      <c r="BA93" s="326">
        <f t="shared" si="105"/>
        <v>0</v>
      </c>
      <c r="BB93" s="326">
        <f t="shared" si="105"/>
        <v>0</v>
      </c>
      <c r="BC93" s="326">
        <f t="shared" si="105"/>
        <v>0</v>
      </c>
      <c r="BD93" s="327"/>
      <c r="BE93" s="327"/>
      <c r="BF93" s="327"/>
      <c r="BG93" s="328"/>
      <c r="BH93" s="329"/>
      <c r="BI93" s="329" t="e">
        <f t="shared" si="84"/>
        <v>#DIV/0!</v>
      </c>
      <c r="BJ93" s="415">
        <f t="shared" si="76"/>
        <v>0</v>
      </c>
      <c r="BK93" s="415">
        <f t="shared" si="77"/>
        <v>0</v>
      </c>
      <c r="BL93" s="415">
        <f t="shared" si="78"/>
        <v>0</v>
      </c>
      <c r="BM93" s="415">
        <f t="shared" si="79"/>
        <v>0</v>
      </c>
    </row>
    <row r="94" spans="1:65" s="129" customFormat="1" ht="14.25">
      <c r="A94" s="141" t="s">
        <v>337</v>
      </c>
      <c r="B94" s="351"/>
      <c r="C94" s="341"/>
      <c r="D94" s="144"/>
      <c r="E94" s="389"/>
      <c r="F94" s="390"/>
      <c r="G94" s="390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2"/>
      <c r="S94" s="332"/>
      <c r="T94" s="332"/>
      <c r="U94" s="335"/>
      <c r="V94" s="334"/>
      <c r="W94" s="334" t="e">
        <f>H94/F94</f>
        <v>#DIV/0!</v>
      </c>
      <c r="X94" s="390"/>
      <c r="Y94" s="390"/>
      <c r="Z94" s="390"/>
      <c r="AA94" s="334"/>
      <c r="AB94" s="334"/>
      <c r="AC94" s="334"/>
      <c r="AD94" s="334"/>
      <c r="AE94" s="334"/>
      <c r="AF94" s="334"/>
      <c r="AG94" s="334"/>
      <c r="AH94" s="334"/>
      <c r="AI94" s="334"/>
      <c r="AJ94" s="334"/>
      <c r="AK94" s="332"/>
      <c r="AL94" s="332"/>
      <c r="AM94" s="332"/>
      <c r="AN94" s="335"/>
      <c r="AO94" s="334"/>
      <c r="AP94" s="334" t="e">
        <f t="shared" si="83"/>
        <v>#DIV/0!</v>
      </c>
      <c r="AQ94" s="389"/>
      <c r="AR94" s="390"/>
      <c r="AS94" s="390"/>
      <c r="AT94" s="334"/>
      <c r="AU94" s="334"/>
      <c r="AV94" s="334"/>
      <c r="AW94" s="334"/>
      <c r="AX94" s="334"/>
      <c r="AY94" s="334"/>
      <c r="AZ94" s="334"/>
      <c r="BA94" s="334"/>
      <c r="BB94" s="334"/>
      <c r="BC94" s="334"/>
      <c r="BD94" s="332"/>
      <c r="BE94" s="332"/>
      <c r="BF94" s="332"/>
      <c r="BG94" s="335"/>
      <c r="BH94" s="334"/>
      <c r="BI94" s="334" t="e">
        <f t="shared" si="84"/>
        <v>#DIV/0!</v>
      </c>
      <c r="BJ94" s="415">
        <f t="shared" si="76"/>
        <v>0</v>
      </c>
      <c r="BK94" s="415">
        <f t="shared" si="77"/>
        <v>0</v>
      </c>
      <c r="BL94" s="415">
        <f t="shared" si="78"/>
        <v>0</v>
      </c>
      <c r="BM94" s="415">
        <f t="shared" si="79"/>
        <v>0</v>
      </c>
    </row>
    <row r="95" spans="1:65" s="129" customFormat="1" ht="14.25">
      <c r="A95" s="141"/>
      <c r="B95" s="351"/>
      <c r="C95" s="341"/>
      <c r="D95" s="144"/>
      <c r="E95" s="389"/>
      <c r="F95" s="391"/>
      <c r="G95" s="390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2"/>
      <c r="S95" s="332"/>
      <c r="T95" s="332"/>
      <c r="U95" s="335"/>
      <c r="V95" s="334"/>
      <c r="W95" s="334" t="e">
        <f>H95/F95</f>
        <v>#DIV/0!</v>
      </c>
      <c r="X95" s="390"/>
      <c r="Y95" s="391"/>
      <c r="Z95" s="390"/>
      <c r="AA95" s="334"/>
      <c r="AB95" s="334"/>
      <c r="AC95" s="334"/>
      <c r="AD95" s="334"/>
      <c r="AE95" s="334"/>
      <c r="AF95" s="334"/>
      <c r="AG95" s="334"/>
      <c r="AH95" s="334"/>
      <c r="AI95" s="334"/>
      <c r="AJ95" s="334"/>
      <c r="AK95" s="332"/>
      <c r="AL95" s="332"/>
      <c r="AM95" s="332"/>
      <c r="AN95" s="335"/>
      <c r="AO95" s="334"/>
      <c r="AP95" s="334" t="e">
        <f t="shared" si="83"/>
        <v>#DIV/0!</v>
      </c>
      <c r="AQ95" s="389"/>
      <c r="AR95" s="391"/>
      <c r="AS95" s="390"/>
      <c r="AT95" s="334"/>
      <c r="AU95" s="334"/>
      <c r="AV95" s="334"/>
      <c r="AW95" s="334"/>
      <c r="AX95" s="334"/>
      <c r="AY95" s="334"/>
      <c r="AZ95" s="334"/>
      <c r="BA95" s="334"/>
      <c r="BB95" s="334"/>
      <c r="BC95" s="334"/>
      <c r="BD95" s="332"/>
      <c r="BE95" s="332"/>
      <c r="BF95" s="332"/>
      <c r="BG95" s="335"/>
      <c r="BH95" s="334"/>
      <c r="BI95" s="334" t="e">
        <f t="shared" si="84"/>
        <v>#DIV/0!</v>
      </c>
      <c r="BJ95" s="415">
        <f t="shared" si="76"/>
        <v>0</v>
      </c>
      <c r="BK95" s="415">
        <f t="shared" si="77"/>
        <v>0</v>
      </c>
      <c r="BL95" s="415">
        <f t="shared" si="78"/>
        <v>0</v>
      </c>
      <c r="BM95" s="415">
        <f t="shared" si="79"/>
        <v>0</v>
      </c>
    </row>
    <row r="96" spans="1:65" s="129" customFormat="1" ht="24.75" customHeight="1">
      <c r="A96" s="130" t="s">
        <v>364</v>
      </c>
      <c r="B96" s="131" t="s">
        <v>770</v>
      </c>
      <c r="C96" s="131"/>
      <c r="D96" s="133">
        <v>6</v>
      </c>
      <c r="E96" s="324">
        <f aca="true" t="shared" si="106" ref="E96:Q96">SUM(E97:E98)</f>
        <v>0</v>
      </c>
      <c r="F96" s="325">
        <f t="shared" si="106"/>
        <v>0</v>
      </c>
      <c r="G96" s="325">
        <f t="shared" si="106"/>
        <v>0</v>
      </c>
      <c r="H96" s="326">
        <f t="shared" si="106"/>
        <v>0</v>
      </c>
      <c r="I96" s="326">
        <f t="shared" si="106"/>
        <v>0</v>
      </c>
      <c r="J96" s="326">
        <f t="shared" si="106"/>
        <v>0</v>
      </c>
      <c r="K96" s="326">
        <f t="shared" si="106"/>
        <v>0</v>
      </c>
      <c r="L96" s="326">
        <f t="shared" si="106"/>
        <v>0</v>
      </c>
      <c r="M96" s="326">
        <f t="shared" si="106"/>
        <v>0</v>
      </c>
      <c r="N96" s="326">
        <f t="shared" si="106"/>
        <v>0</v>
      </c>
      <c r="O96" s="326">
        <f t="shared" si="106"/>
        <v>0</v>
      </c>
      <c r="P96" s="326">
        <f t="shared" si="106"/>
        <v>0</v>
      </c>
      <c r="Q96" s="326">
        <f t="shared" si="106"/>
        <v>0</v>
      </c>
      <c r="R96" s="327"/>
      <c r="S96" s="327"/>
      <c r="T96" s="327"/>
      <c r="U96" s="328"/>
      <c r="V96" s="329"/>
      <c r="W96" s="329" t="e">
        <f>H96/F96</f>
        <v>#DIV/0!</v>
      </c>
      <c r="X96" s="325">
        <f aca="true" t="shared" si="107" ref="X96:AJ96">SUM(X97:X98)</f>
        <v>0</v>
      </c>
      <c r="Y96" s="325">
        <f t="shared" si="107"/>
        <v>0</v>
      </c>
      <c r="Z96" s="325">
        <f t="shared" si="107"/>
        <v>0</v>
      </c>
      <c r="AA96" s="326">
        <f t="shared" si="107"/>
        <v>0</v>
      </c>
      <c r="AB96" s="326">
        <f t="shared" si="107"/>
        <v>0</v>
      </c>
      <c r="AC96" s="326">
        <f t="shared" si="107"/>
        <v>0</v>
      </c>
      <c r="AD96" s="326">
        <f t="shared" si="107"/>
        <v>0</v>
      </c>
      <c r="AE96" s="326">
        <f t="shared" si="107"/>
        <v>0</v>
      </c>
      <c r="AF96" s="326">
        <f t="shared" si="107"/>
        <v>0</v>
      </c>
      <c r="AG96" s="326">
        <f t="shared" si="107"/>
        <v>0</v>
      </c>
      <c r="AH96" s="326">
        <f t="shared" si="107"/>
        <v>0</v>
      </c>
      <c r="AI96" s="326">
        <f t="shared" si="107"/>
        <v>0</v>
      </c>
      <c r="AJ96" s="326">
        <f t="shared" si="107"/>
        <v>0</v>
      </c>
      <c r="AK96" s="327"/>
      <c r="AL96" s="327"/>
      <c r="AM96" s="327"/>
      <c r="AN96" s="328"/>
      <c r="AO96" s="329"/>
      <c r="AP96" s="329" t="e">
        <f t="shared" si="83"/>
        <v>#DIV/0!</v>
      </c>
      <c r="AQ96" s="324">
        <f aca="true" t="shared" si="108" ref="AQ96:BC96">SUM(AQ97:AQ98)</f>
        <v>0</v>
      </c>
      <c r="AR96" s="325">
        <f t="shared" si="108"/>
        <v>0</v>
      </c>
      <c r="AS96" s="325">
        <f t="shared" si="108"/>
        <v>0</v>
      </c>
      <c r="AT96" s="326">
        <f t="shared" si="108"/>
        <v>0</v>
      </c>
      <c r="AU96" s="326">
        <f t="shared" si="108"/>
        <v>0</v>
      </c>
      <c r="AV96" s="326">
        <f t="shared" si="108"/>
        <v>0</v>
      </c>
      <c r="AW96" s="326">
        <f t="shared" si="108"/>
        <v>0</v>
      </c>
      <c r="AX96" s="326">
        <f t="shared" si="108"/>
        <v>0</v>
      </c>
      <c r="AY96" s="326">
        <f t="shared" si="108"/>
        <v>0</v>
      </c>
      <c r="AZ96" s="326">
        <f t="shared" si="108"/>
        <v>0</v>
      </c>
      <c r="BA96" s="326">
        <f t="shared" si="108"/>
        <v>0</v>
      </c>
      <c r="BB96" s="326">
        <f t="shared" si="108"/>
        <v>0</v>
      </c>
      <c r="BC96" s="326">
        <f t="shared" si="108"/>
        <v>0</v>
      </c>
      <c r="BD96" s="327"/>
      <c r="BE96" s="327"/>
      <c r="BF96" s="327"/>
      <c r="BG96" s="328"/>
      <c r="BH96" s="329"/>
      <c r="BI96" s="329" t="e">
        <f t="shared" si="84"/>
        <v>#DIV/0!</v>
      </c>
      <c r="BJ96" s="415">
        <f t="shared" si="76"/>
        <v>0</v>
      </c>
      <c r="BK96" s="415">
        <f t="shared" si="77"/>
        <v>0</v>
      </c>
      <c r="BL96" s="415">
        <f t="shared" si="78"/>
        <v>0</v>
      </c>
      <c r="BM96" s="415">
        <f t="shared" si="79"/>
        <v>0</v>
      </c>
    </row>
    <row r="97" spans="1:65" s="129" customFormat="1" ht="14.25">
      <c r="A97" s="141" t="s">
        <v>366</v>
      </c>
      <c r="B97" s="351"/>
      <c r="C97" s="341"/>
      <c r="D97" s="144"/>
      <c r="E97" s="389"/>
      <c r="F97" s="390"/>
      <c r="G97" s="390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2"/>
      <c r="S97" s="332"/>
      <c r="T97" s="332"/>
      <c r="U97" s="335"/>
      <c r="V97" s="334"/>
      <c r="W97" s="334" t="e">
        <f>H97/F97</f>
        <v>#DIV/0!</v>
      </c>
      <c r="X97" s="390"/>
      <c r="Y97" s="390"/>
      <c r="Z97" s="390"/>
      <c r="AA97" s="334"/>
      <c r="AB97" s="334"/>
      <c r="AC97" s="334"/>
      <c r="AD97" s="334"/>
      <c r="AE97" s="334"/>
      <c r="AF97" s="334"/>
      <c r="AG97" s="334"/>
      <c r="AH97" s="334"/>
      <c r="AI97" s="334"/>
      <c r="AJ97" s="334"/>
      <c r="AK97" s="332"/>
      <c r="AL97" s="332"/>
      <c r="AM97" s="332"/>
      <c r="AN97" s="335"/>
      <c r="AO97" s="334"/>
      <c r="AP97" s="334" t="e">
        <f t="shared" si="83"/>
        <v>#DIV/0!</v>
      </c>
      <c r="AQ97" s="389"/>
      <c r="AR97" s="390"/>
      <c r="AS97" s="390"/>
      <c r="AT97" s="334"/>
      <c r="AU97" s="334"/>
      <c r="AV97" s="334"/>
      <c r="AW97" s="334"/>
      <c r="AX97" s="334"/>
      <c r="AY97" s="334"/>
      <c r="AZ97" s="334"/>
      <c r="BA97" s="334"/>
      <c r="BB97" s="334"/>
      <c r="BC97" s="334"/>
      <c r="BD97" s="332"/>
      <c r="BE97" s="332"/>
      <c r="BF97" s="332"/>
      <c r="BG97" s="335"/>
      <c r="BH97" s="334"/>
      <c r="BI97" s="334" t="e">
        <f t="shared" si="84"/>
        <v>#DIV/0!</v>
      </c>
      <c r="BJ97" s="415">
        <f t="shared" si="76"/>
        <v>0</v>
      </c>
      <c r="BK97" s="415">
        <f t="shared" si="77"/>
        <v>0</v>
      </c>
      <c r="BL97" s="415">
        <f t="shared" si="78"/>
        <v>0</v>
      </c>
      <c r="BM97" s="415">
        <f t="shared" si="79"/>
        <v>0</v>
      </c>
    </row>
    <row r="98" spans="1:65" s="129" customFormat="1" ht="14.25">
      <c r="A98" s="141"/>
      <c r="B98" s="351"/>
      <c r="C98" s="341"/>
      <c r="D98" s="144"/>
      <c r="E98" s="389"/>
      <c r="F98" s="391"/>
      <c r="G98" s="390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2"/>
      <c r="S98" s="332"/>
      <c r="T98" s="332"/>
      <c r="U98" s="335"/>
      <c r="V98" s="334"/>
      <c r="W98" s="334" t="e">
        <f>H98/F98</f>
        <v>#DIV/0!</v>
      </c>
      <c r="X98" s="390"/>
      <c r="Y98" s="391"/>
      <c r="Z98" s="390"/>
      <c r="AA98" s="334"/>
      <c r="AB98" s="334"/>
      <c r="AC98" s="334"/>
      <c r="AD98" s="334"/>
      <c r="AE98" s="334"/>
      <c r="AF98" s="334"/>
      <c r="AG98" s="334"/>
      <c r="AH98" s="334"/>
      <c r="AI98" s="334"/>
      <c r="AJ98" s="334"/>
      <c r="AK98" s="332"/>
      <c r="AL98" s="332"/>
      <c r="AM98" s="332"/>
      <c r="AN98" s="335"/>
      <c r="AO98" s="334"/>
      <c r="AP98" s="334" t="e">
        <f t="shared" si="83"/>
        <v>#DIV/0!</v>
      </c>
      <c r="AQ98" s="389"/>
      <c r="AR98" s="391"/>
      <c r="AS98" s="390"/>
      <c r="AT98" s="334"/>
      <c r="AU98" s="334"/>
      <c r="AV98" s="334"/>
      <c r="AW98" s="334"/>
      <c r="AX98" s="334"/>
      <c r="AY98" s="334"/>
      <c r="AZ98" s="334"/>
      <c r="BA98" s="334"/>
      <c r="BB98" s="334"/>
      <c r="BC98" s="334"/>
      <c r="BD98" s="332"/>
      <c r="BE98" s="332"/>
      <c r="BF98" s="332"/>
      <c r="BG98" s="335"/>
      <c r="BH98" s="334"/>
      <c r="BI98" s="334" t="e">
        <f t="shared" si="84"/>
        <v>#DIV/0!</v>
      </c>
      <c r="BJ98" s="415">
        <f t="shared" si="76"/>
        <v>0</v>
      </c>
      <c r="BK98" s="415">
        <f t="shared" si="77"/>
        <v>0</v>
      </c>
      <c r="BL98" s="415">
        <f t="shared" si="78"/>
        <v>0</v>
      </c>
      <c r="BM98" s="415">
        <f t="shared" si="79"/>
        <v>0</v>
      </c>
    </row>
    <row r="99" spans="1:59" s="92" customFormat="1" ht="14.25">
      <c r="A99" s="78"/>
      <c r="B99" s="79"/>
      <c r="C99" s="79"/>
      <c r="D99" s="81"/>
      <c r="E99" s="297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U99" s="299"/>
      <c r="V99" s="300"/>
      <c r="W99" s="300"/>
      <c r="AN99" s="299"/>
      <c r="AQ99" s="297"/>
      <c r="BG99" s="299"/>
    </row>
    <row r="100" spans="1:65" s="92" customFormat="1" ht="14.25">
      <c r="A100" s="78"/>
      <c r="B100" s="79"/>
      <c r="C100" s="410" t="s">
        <v>813</v>
      </c>
      <c r="D100" s="81">
        <v>0.4</v>
      </c>
      <c r="E100" s="438"/>
      <c r="F100" s="439"/>
      <c r="G100" s="439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39"/>
      <c r="S100" s="439"/>
      <c r="T100" s="439"/>
      <c r="U100" s="441"/>
      <c r="V100" s="442"/>
      <c r="W100" s="442"/>
      <c r="X100" s="438"/>
      <c r="Y100" s="439"/>
      <c r="Z100" s="439"/>
      <c r="AA100" s="440"/>
      <c r="AB100" s="439"/>
      <c r="AC100" s="439"/>
      <c r="AD100" s="439"/>
      <c r="AE100" s="439"/>
      <c r="AF100" s="439"/>
      <c r="AG100" s="439"/>
      <c r="AH100" s="439"/>
      <c r="AI100" s="439"/>
      <c r="AJ100" s="439"/>
      <c r="AK100" s="439"/>
      <c r="AL100" s="439"/>
      <c r="AM100" s="439"/>
      <c r="AN100" s="441"/>
      <c r="AO100" s="439"/>
      <c r="AP100" s="439"/>
      <c r="AQ100" s="438"/>
      <c r="AR100" s="439"/>
      <c r="AS100" s="439"/>
      <c r="AT100" s="440"/>
      <c r="AU100" s="443"/>
      <c r="AV100" s="444"/>
      <c r="AW100" s="445"/>
      <c r="AX100" s="445"/>
      <c r="AY100" s="444"/>
      <c r="BG100" s="299"/>
      <c r="BJ100" s="415">
        <f>BJ11+BJ14+BJ26+BJ29+BJ33+BJ36+BJ49+BJ52</f>
        <v>2518</v>
      </c>
      <c r="BK100" s="415">
        <f>BK11+BK14+BK26+BK29+BK33+BK36+BK49+BK52</f>
        <v>308</v>
      </c>
      <c r="BL100" s="415">
        <f>BL11+BL14+BL26+BL29+BL33+BL36+BL49+BL52</f>
        <v>308</v>
      </c>
      <c r="BM100" s="415">
        <f>BM11+BM14+BM26+BM29+BM33+BM36+BM49+BM52</f>
        <v>1594.2559800000001</v>
      </c>
    </row>
    <row r="101" spans="1:65" s="92" customFormat="1" ht="14.25">
      <c r="A101" s="78"/>
      <c r="B101" s="79"/>
      <c r="C101" s="410" t="s">
        <v>813</v>
      </c>
      <c r="D101" s="81">
        <v>6</v>
      </c>
      <c r="E101" s="438"/>
      <c r="F101" s="439"/>
      <c r="G101" s="439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39"/>
      <c r="S101" s="439"/>
      <c r="T101" s="439"/>
      <c r="U101" s="441"/>
      <c r="V101" s="442"/>
      <c r="W101" s="442"/>
      <c r="X101" s="438"/>
      <c r="Y101" s="439"/>
      <c r="Z101" s="439"/>
      <c r="AA101" s="440"/>
      <c r="AB101" s="439"/>
      <c r="AC101" s="439"/>
      <c r="AD101" s="439"/>
      <c r="AE101" s="439"/>
      <c r="AF101" s="439"/>
      <c r="AG101" s="439"/>
      <c r="AH101" s="439"/>
      <c r="AI101" s="439"/>
      <c r="AJ101" s="439"/>
      <c r="AK101" s="439"/>
      <c r="AL101" s="439"/>
      <c r="AM101" s="439"/>
      <c r="AN101" s="441"/>
      <c r="AO101" s="439"/>
      <c r="AP101" s="439"/>
      <c r="AQ101" s="438"/>
      <c r="AR101" s="439"/>
      <c r="AS101" s="439"/>
      <c r="AT101" s="440"/>
      <c r="AU101" s="443"/>
      <c r="AV101" s="444"/>
      <c r="AW101" s="445"/>
      <c r="AX101" s="445"/>
      <c r="AY101" s="444"/>
      <c r="BG101" s="299"/>
      <c r="BJ101" s="417">
        <f>BJ45+BJ42</f>
        <v>0</v>
      </c>
      <c r="BK101" s="417">
        <f>BK45+BK42</f>
        <v>0</v>
      </c>
      <c r="BL101" s="417">
        <f>BL45+BL42</f>
        <v>0</v>
      </c>
      <c r="BM101" s="417">
        <f>BM45+BM42</f>
        <v>0</v>
      </c>
    </row>
    <row r="102" spans="1:65" s="92" customFormat="1" ht="14.25">
      <c r="A102" s="78"/>
      <c r="B102" s="79"/>
      <c r="C102" s="410" t="s">
        <v>812</v>
      </c>
      <c r="D102" s="81">
        <v>0.4</v>
      </c>
      <c r="E102" s="438"/>
      <c r="F102" s="439"/>
      <c r="G102" s="439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39"/>
      <c r="S102" s="439"/>
      <c r="T102" s="439"/>
      <c r="U102" s="441"/>
      <c r="V102" s="442"/>
      <c r="W102" s="442"/>
      <c r="X102" s="438"/>
      <c r="Y102" s="439"/>
      <c r="Z102" s="439"/>
      <c r="AA102" s="440"/>
      <c r="AB102" s="439"/>
      <c r="AC102" s="439"/>
      <c r="AD102" s="439"/>
      <c r="AE102" s="439"/>
      <c r="AF102" s="439"/>
      <c r="AG102" s="439"/>
      <c r="AH102" s="439"/>
      <c r="AI102" s="439"/>
      <c r="AJ102" s="439"/>
      <c r="AK102" s="439"/>
      <c r="AL102" s="439"/>
      <c r="AM102" s="439"/>
      <c r="AN102" s="441"/>
      <c r="AO102" s="439"/>
      <c r="AP102" s="439"/>
      <c r="AQ102" s="438"/>
      <c r="AR102" s="439"/>
      <c r="AS102" s="439"/>
      <c r="AT102" s="440"/>
      <c r="AU102" s="443"/>
      <c r="AV102" s="444"/>
      <c r="AW102" s="445"/>
      <c r="AX102" s="445"/>
      <c r="AY102" s="444"/>
      <c r="BG102" s="299"/>
      <c r="BJ102" s="417">
        <f>BJ76+BJ63+BJ60+BJ56</f>
        <v>0</v>
      </c>
      <c r="BK102" s="417">
        <f>BK76+BK63+BK60+BK56</f>
        <v>0</v>
      </c>
      <c r="BL102" s="417">
        <f>BL76+BL63+BL60+BL56</f>
        <v>0</v>
      </c>
      <c r="BM102" s="417">
        <f>BM76+BM63+BM60+BM56</f>
        <v>0</v>
      </c>
    </row>
    <row r="103" spans="1:65" s="92" customFormat="1" ht="14.25">
      <c r="A103" s="78"/>
      <c r="B103" s="79"/>
      <c r="C103" s="410" t="s">
        <v>812</v>
      </c>
      <c r="D103" s="81">
        <v>6</v>
      </c>
      <c r="E103" s="438"/>
      <c r="F103" s="439"/>
      <c r="G103" s="439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39"/>
      <c r="S103" s="439"/>
      <c r="T103" s="439"/>
      <c r="U103" s="441"/>
      <c r="V103" s="442"/>
      <c r="W103" s="442"/>
      <c r="X103" s="438"/>
      <c r="Y103" s="439"/>
      <c r="Z103" s="439"/>
      <c r="AA103" s="440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39"/>
      <c r="AL103" s="439"/>
      <c r="AM103" s="439"/>
      <c r="AN103" s="441"/>
      <c r="AO103" s="439"/>
      <c r="AP103" s="439"/>
      <c r="AQ103" s="438"/>
      <c r="AR103" s="439"/>
      <c r="AS103" s="439"/>
      <c r="AT103" s="440"/>
      <c r="AU103" s="443"/>
      <c r="AV103" s="444"/>
      <c r="AW103" s="445"/>
      <c r="AX103" s="445"/>
      <c r="AY103" s="444"/>
      <c r="BG103" s="299"/>
      <c r="BJ103" s="417">
        <f>BJ79+BJ72+BJ69+BJ66</f>
        <v>0</v>
      </c>
      <c r="BK103" s="417">
        <f>BK79+BK72+BK69+BK66</f>
        <v>0</v>
      </c>
      <c r="BL103" s="417">
        <f>BL79+BL72+BL69+BL66</f>
        <v>0</v>
      </c>
      <c r="BM103" s="417">
        <f>BM79+BM72+BM69+BM66</f>
        <v>0</v>
      </c>
    </row>
    <row r="104" spans="1:65" s="92" customFormat="1" ht="14.25">
      <c r="A104" s="78"/>
      <c r="B104" s="79"/>
      <c r="C104" s="410" t="s">
        <v>810</v>
      </c>
      <c r="D104" s="81"/>
      <c r="E104" s="438"/>
      <c r="F104" s="439"/>
      <c r="G104" s="439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39"/>
      <c r="S104" s="439"/>
      <c r="T104" s="439"/>
      <c r="U104" s="441"/>
      <c r="V104" s="442"/>
      <c r="W104" s="442"/>
      <c r="X104" s="438"/>
      <c r="Y104" s="439"/>
      <c r="Z104" s="439"/>
      <c r="AA104" s="440"/>
      <c r="AB104" s="439"/>
      <c r="AC104" s="439"/>
      <c r="AD104" s="439"/>
      <c r="AE104" s="439"/>
      <c r="AF104" s="439"/>
      <c r="AG104" s="439"/>
      <c r="AH104" s="439"/>
      <c r="AI104" s="439"/>
      <c r="AJ104" s="439"/>
      <c r="AK104" s="439"/>
      <c r="AL104" s="439"/>
      <c r="AM104" s="439"/>
      <c r="AN104" s="441"/>
      <c r="AO104" s="439"/>
      <c r="AP104" s="439"/>
      <c r="AQ104" s="438"/>
      <c r="AR104" s="439"/>
      <c r="AS104" s="439"/>
      <c r="AT104" s="440"/>
      <c r="AU104" s="443"/>
      <c r="AV104" s="444"/>
      <c r="AW104" s="445"/>
      <c r="AX104" s="445"/>
      <c r="AY104" s="444"/>
      <c r="BG104" s="299"/>
      <c r="BJ104" s="417">
        <f>BJ96+BJ93+BJ90+BJ87+BJ83</f>
        <v>0</v>
      </c>
      <c r="BK104" s="417">
        <f>BK96+BK93+BK90+BK87+BK83</f>
        <v>0</v>
      </c>
      <c r="BL104" s="417">
        <f>BL96+BL93+BL90+BL87+BL83</f>
        <v>0</v>
      </c>
      <c r="BM104" s="417">
        <f>BM96+BM93+BM90+BM87+BM83</f>
        <v>0</v>
      </c>
    </row>
    <row r="105" spans="1:59" s="92" customFormat="1" ht="14.25">
      <c r="A105" s="78"/>
      <c r="B105" s="79"/>
      <c r="C105" s="79"/>
      <c r="D105" s="81"/>
      <c r="E105" s="297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U105" s="299"/>
      <c r="V105" s="300"/>
      <c r="W105" s="300"/>
      <c r="AN105" s="299"/>
      <c r="AQ105" s="297"/>
      <c r="BG105" s="299"/>
    </row>
    <row r="106" spans="1:59" s="92" customFormat="1" ht="14.25">
      <c r="A106" s="78"/>
      <c r="B106" s="79"/>
      <c r="C106" s="79"/>
      <c r="D106" s="81"/>
      <c r="E106" s="297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U106" s="299"/>
      <c r="V106" s="300"/>
      <c r="W106" s="300"/>
      <c r="AN106" s="299"/>
      <c r="AQ106" s="297"/>
      <c r="BG106" s="299"/>
    </row>
    <row r="107" spans="1:59" s="92" customFormat="1" ht="14.25">
      <c r="A107" s="78"/>
      <c r="B107" s="79"/>
      <c r="C107" s="79"/>
      <c r="D107" s="81"/>
      <c r="E107" s="297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U107" s="299"/>
      <c r="V107" s="300"/>
      <c r="W107" s="300"/>
      <c r="AN107" s="299"/>
      <c r="AQ107" s="297"/>
      <c r="BG107" s="299"/>
    </row>
    <row r="108" spans="1:59" s="92" customFormat="1" ht="14.25">
      <c r="A108" s="78"/>
      <c r="B108" s="79"/>
      <c r="C108" s="79"/>
      <c r="D108" s="81"/>
      <c r="E108" s="297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U108" s="299"/>
      <c r="V108" s="300"/>
      <c r="W108" s="300"/>
      <c r="AN108" s="299"/>
      <c r="AQ108" s="297"/>
      <c r="BG108" s="299"/>
    </row>
    <row r="109" spans="1:59" s="92" customFormat="1" ht="14.25">
      <c r="A109" s="78"/>
      <c r="B109" s="79"/>
      <c r="C109" s="79"/>
      <c r="D109" s="81"/>
      <c r="E109" s="297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U109" s="299"/>
      <c r="V109" s="300"/>
      <c r="W109" s="300"/>
      <c r="AN109" s="299"/>
      <c r="AQ109" s="297"/>
      <c r="BG109" s="299"/>
    </row>
    <row r="110" spans="1:59" s="92" customFormat="1" ht="14.25">
      <c r="A110" s="78"/>
      <c r="B110" s="79"/>
      <c r="C110" s="79"/>
      <c r="D110" s="81"/>
      <c r="E110" s="297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U110" s="299"/>
      <c r="V110" s="300"/>
      <c r="W110" s="300"/>
      <c r="AN110" s="299"/>
      <c r="AQ110" s="297"/>
      <c r="BG110" s="299"/>
    </row>
    <row r="111" spans="1:59" s="92" customFormat="1" ht="14.25">
      <c r="A111" s="78"/>
      <c r="B111" s="79"/>
      <c r="C111" s="79"/>
      <c r="D111" s="81"/>
      <c r="E111" s="297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U111" s="299"/>
      <c r="V111" s="300"/>
      <c r="W111" s="300"/>
      <c r="AN111" s="299"/>
      <c r="AQ111" s="297"/>
      <c r="BG111" s="299"/>
    </row>
    <row r="112" spans="1:59" s="92" customFormat="1" ht="14.25">
      <c r="A112" s="78"/>
      <c r="B112" s="79"/>
      <c r="C112" s="79"/>
      <c r="D112" s="81"/>
      <c r="E112" s="297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U112" s="299"/>
      <c r="V112" s="300"/>
      <c r="W112" s="300"/>
      <c r="AN112" s="299"/>
      <c r="AQ112" s="297"/>
      <c r="BG112" s="299"/>
    </row>
    <row r="113" spans="1:59" s="92" customFormat="1" ht="14.25">
      <c r="A113" s="78"/>
      <c r="B113" s="79"/>
      <c r="C113" s="79"/>
      <c r="D113" s="81"/>
      <c r="E113" s="297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U113" s="299"/>
      <c r="V113" s="300"/>
      <c r="W113" s="300"/>
      <c r="AN113" s="299"/>
      <c r="AQ113" s="297"/>
      <c r="BG113" s="299"/>
    </row>
    <row r="114" spans="1:59" s="92" customFormat="1" ht="14.25">
      <c r="A114" s="78"/>
      <c r="B114" s="79"/>
      <c r="C114" s="79"/>
      <c r="D114" s="81"/>
      <c r="E114" s="297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U114" s="299"/>
      <c r="V114" s="300"/>
      <c r="W114" s="300"/>
      <c r="AN114" s="299"/>
      <c r="AQ114" s="297"/>
      <c r="BG114" s="299"/>
    </row>
    <row r="115" spans="1:59" s="92" customFormat="1" ht="14.25">
      <c r="A115" s="78"/>
      <c r="B115" s="79"/>
      <c r="C115" s="79"/>
      <c r="D115" s="81"/>
      <c r="E115" s="297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U115" s="299"/>
      <c r="V115" s="300"/>
      <c r="W115" s="300"/>
      <c r="AN115" s="299"/>
      <c r="AQ115" s="297"/>
      <c r="BG115" s="299"/>
    </row>
    <row r="116" spans="1:59" s="92" customFormat="1" ht="14.25">
      <c r="A116" s="78"/>
      <c r="B116" s="79"/>
      <c r="C116" s="79"/>
      <c r="D116" s="81"/>
      <c r="E116" s="297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U116" s="299"/>
      <c r="V116" s="300"/>
      <c r="W116" s="300"/>
      <c r="AN116" s="299"/>
      <c r="AQ116" s="297"/>
      <c r="BG116" s="299"/>
    </row>
    <row r="117" spans="1:59" s="92" customFormat="1" ht="14.25">
      <c r="A117" s="78"/>
      <c r="B117" s="79"/>
      <c r="C117" s="79"/>
      <c r="D117" s="81"/>
      <c r="E117" s="297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U117" s="299"/>
      <c r="V117" s="300"/>
      <c r="W117" s="300"/>
      <c r="AN117" s="299"/>
      <c r="AQ117" s="297"/>
      <c r="BG117" s="299"/>
    </row>
    <row r="118" spans="1:59" s="92" customFormat="1" ht="14.25">
      <c r="A118" s="78"/>
      <c r="B118" s="79"/>
      <c r="C118" s="79"/>
      <c r="D118" s="81"/>
      <c r="E118" s="297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U118" s="299"/>
      <c r="V118" s="300"/>
      <c r="W118" s="300"/>
      <c r="AN118" s="299"/>
      <c r="AQ118" s="297"/>
      <c r="BG118" s="299"/>
    </row>
    <row r="119" spans="1:59" s="92" customFormat="1" ht="14.25">
      <c r="A119" s="78"/>
      <c r="B119" s="79"/>
      <c r="C119" s="79"/>
      <c r="D119" s="81"/>
      <c r="E119" s="297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U119" s="299"/>
      <c r="V119" s="300"/>
      <c r="W119" s="300"/>
      <c r="AN119" s="299"/>
      <c r="AQ119" s="297"/>
      <c r="BG119" s="299"/>
    </row>
    <row r="120" spans="1:59" s="92" customFormat="1" ht="14.25">
      <c r="A120" s="78"/>
      <c r="B120" s="79"/>
      <c r="C120" s="79"/>
      <c r="D120" s="81"/>
      <c r="E120" s="297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U120" s="299"/>
      <c r="V120" s="300"/>
      <c r="W120" s="300"/>
      <c r="AN120" s="299"/>
      <c r="AQ120" s="297"/>
      <c r="BG120" s="299"/>
    </row>
    <row r="121" spans="1:59" s="92" customFormat="1" ht="14.25">
      <c r="A121" s="78"/>
      <c r="B121" s="79"/>
      <c r="C121" s="79"/>
      <c r="D121" s="81"/>
      <c r="E121" s="297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U121" s="299"/>
      <c r="V121" s="300"/>
      <c r="W121" s="300"/>
      <c r="AN121" s="299"/>
      <c r="AQ121" s="297"/>
      <c r="BG121" s="299"/>
    </row>
    <row r="122" spans="1:59" s="92" customFormat="1" ht="14.25">
      <c r="A122" s="78"/>
      <c r="B122" s="79"/>
      <c r="C122" s="79"/>
      <c r="D122" s="81"/>
      <c r="E122" s="297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U122" s="299"/>
      <c r="V122" s="300"/>
      <c r="W122" s="300"/>
      <c r="AN122" s="299"/>
      <c r="AQ122" s="297"/>
      <c r="BG122" s="299"/>
    </row>
    <row r="123" spans="1:59" s="92" customFormat="1" ht="14.25">
      <c r="A123" s="78"/>
      <c r="B123" s="79"/>
      <c r="C123" s="79"/>
      <c r="D123" s="81"/>
      <c r="E123" s="297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U123" s="299"/>
      <c r="V123" s="300"/>
      <c r="W123" s="300"/>
      <c r="AN123" s="299"/>
      <c r="AQ123" s="297"/>
      <c r="BG123" s="299"/>
    </row>
    <row r="124" spans="1:59" s="92" customFormat="1" ht="14.25">
      <c r="A124" s="78"/>
      <c r="B124" s="79"/>
      <c r="C124" s="79"/>
      <c r="D124" s="81"/>
      <c r="E124" s="297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U124" s="299"/>
      <c r="V124" s="300"/>
      <c r="W124" s="300"/>
      <c r="AN124" s="299"/>
      <c r="AQ124" s="297"/>
      <c r="BG124" s="299"/>
    </row>
    <row r="125" spans="1:59" s="92" customFormat="1" ht="14.25">
      <c r="A125" s="78"/>
      <c r="B125" s="79"/>
      <c r="C125" s="79"/>
      <c r="D125" s="81"/>
      <c r="E125" s="297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U125" s="299"/>
      <c r="V125" s="300"/>
      <c r="W125" s="300"/>
      <c r="AN125" s="299"/>
      <c r="AQ125" s="297"/>
      <c r="BG125" s="299"/>
    </row>
    <row r="126" spans="1:59" s="92" customFormat="1" ht="14.25">
      <c r="A126" s="78"/>
      <c r="B126" s="79"/>
      <c r="C126" s="79"/>
      <c r="D126" s="81"/>
      <c r="E126" s="297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U126" s="299"/>
      <c r="V126" s="300"/>
      <c r="W126" s="300"/>
      <c r="AN126" s="299"/>
      <c r="AQ126" s="297"/>
      <c r="BG126" s="299"/>
    </row>
    <row r="127" spans="1:59" s="92" customFormat="1" ht="14.25">
      <c r="A127" s="78"/>
      <c r="B127" s="79"/>
      <c r="C127" s="79"/>
      <c r="D127" s="81"/>
      <c r="E127" s="297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U127" s="299"/>
      <c r="V127" s="300"/>
      <c r="W127" s="300"/>
      <c r="AN127" s="299"/>
      <c r="AQ127" s="297"/>
      <c r="BG127" s="299"/>
    </row>
    <row r="128" spans="1:59" s="92" customFormat="1" ht="14.25">
      <c r="A128" s="78"/>
      <c r="B128" s="79"/>
      <c r="C128" s="79"/>
      <c r="D128" s="81"/>
      <c r="E128" s="297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U128" s="299"/>
      <c r="V128" s="300"/>
      <c r="W128" s="300"/>
      <c r="AN128" s="299"/>
      <c r="AQ128" s="297"/>
      <c r="BG128" s="299"/>
    </row>
    <row r="129" spans="1:59" s="92" customFormat="1" ht="14.25">
      <c r="A129" s="78"/>
      <c r="B129" s="79"/>
      <c r="C129" s="79"/>
      <c r="D129" s="81"/>
      <c r="E129" s="297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U129" s="299"/>
      <c r="V129" s="300"/>
      <c r="W129" s="300"/>
      <c r="AN129" s="299"/>
      <c r="AQ129" s="297"/>
      <c r="BG129" s="299"/>
    </row>
    <row r="130" spans="1:59" s="92" customFormat="1" ht="14.25">
      <c r="A130" s="78"/>
      <c r="B130" s="79"/>
      <c r="C130" s="79"/>
      <c r="D130" s="81"/>
      <c r="E130" s="297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U130" s="299"/>
      <c r="V130" s="300"/>
      <c r="W130" s="300"/>
      <c r="AN130" s="299"/>
      <c r="AQ130" s="297"/>
      <c r="BG130" s="299"/>
    </row>
    <row r="131" spans="1:59" s="92" customFormat="1" ht="14.25">
      <c r="A131" s="78"/>
      <c r="B131" s="79"/>
      <c r="C131" s="79"/>
      <c r="D131" s="81"/>
      <c r="E131" s="297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U131" s="299"/>
      <c r="V131" s="300"/>
      <c r="W131" s="300"/>
      <c r="AN131" s="299"/>
      <c r="AQ131" s="297"/>
      <c r="BG131" s="299"/>
    </row>
    <row r="132" spans="1:59" s="92" customFormat="1" ht="14.25">
      <c r="A132" s="78"/>
      <c r="B132" s="79"/>
      <c r="C132" s="79"/>
      <c r="D132" s="81"/>
      <c r="E132" s="297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U132" s="299"/>
      <c r="V132" s="300"/>
      <c r="W132" s="300"/>
      <c r="AN132" s="299"/>
      <c r="AQ132" s="297"/>
      <c r="BG132" s="299"/>
    </row>
    <row r="133" spans="1:59" s="92" customFormat="1" ht="14.25">
      <c r="A133" s="78"/>
      <c r="B133" s="79"/>
      <c r="C133" s="79"/>
      <c r="D133" s="81"/>
      <c r="E133" s="297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U133" s="299"/>
      <c r="V133" s="300"/>
      <c r="W133" s="300"/>
      <c r="AN133" s="299"/>
      <c r="AQ133" s="297"/>
      <c r="BG133" s="299"/>
    </row>
    <row r="134" spans="1:59" s="92" customFormat="1" ht="14.25">
      <c r="A134" s="78"/>
      <c r="B134" s="79"/>
      <c r="C134" s="79"/>
      <c r="D134" s="81"/>
      <c r="E134" s="297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U134" s="299"/>
      <c r="V134" s="300"/>
      <c r="W134" s="300"/>
      <c r="AN134" s="299"/>
      <c r="AQ134" s="297"/>
      <c r="BG134" s="299"/>
    </row>
    <row r="135" spans="1:59" s="92" customFormat="1" ht="14.25">
      <c r="A135" s="78"/>
      <c r="B135" s="79"/>
      <c r="C135" s="79"/>
      <c r="D135" s="81"/>
      <c r="E135" s="297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U135" s="299"/>
      <c r="V135" s="300"/>
      <c r="W135" s="300"/>
      <c r="AN135" s="299"/>
      <c r="AQ135" s="297"/>
      <c r="BG135" s="299"/>
    </row>
    <row r="136" spans="1:59" s="92" customFormat="1" ht="14.25">
      <c r="A136" s="78"/>
      <c r="B136" s="79"/>
      <c r="C136" s="79"/>
      <c r="D136" s="81"/>
      <c r="E136" s="297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U136" s="299"/>
      <c r="V136" s="300"/>
      <c r="W136" s="300"/>
      <c r="AN136" s="299"/>
      <c r="AQ136" s="297"/>
      <c r="BG136" s="299"/>
    </row>
    <row r="137" spans="1:59" s="92" customFormat="1" ht="14.25">
      <c r="A137" s="78"/>
      <c r="B137" s="79"/>
      <c r="C137" s="79"/>
      <c r="D137" s="81"/>
      <c r="E137" s="297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U137" s="299"/>
      <c r="V137" s="300"/>
      <c r="W137" s="300"/>
      <c r="AN137" s="299"/>
      <c r="AQ137" s="297"/>
      <c r="BG137" s="299"/>
    </row>
    <row r="138" spans="1:59" s="92" customFormat="1" ht="14.25">
      <c r="A138" s="78"/>
      <c r="B138" s="79"/>
      <c r="C138" s="79"/>
      <c r="D138" s="81"/>
      <c r="E138" s="297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U138" s="299"/>
      <c r="V138" s="300"/>
      <c r="W138" s="300"/>
      <c r="AN138" s="299"/>
      <c r="AQ138" s="297"/>
      <c r="BG138" s="299"/>
    </row>
    <row r="139" spans="1:59" s="92" customFormat="1" ht="14.25">
      <c r="A139" s="78"/>
      <c r="B139" s="79"/>
      <c r="C139" s="79"/>
      <c r="D139" s="81"/>
      <c r="E139" s="297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U139" s="299"/>
      <c r="V139" s="300"/>
      <c r="W139" s="300"/>
      <c r="AN139" s="299"/>
      <c r="AQ139" s="297"/>
      <c r="BG139" s="299"/>
    </row>
    <row r="140" spans="1:59" s="92" customFormat="1" ht="14.25">
      <c r="A140" s="78"/>
      <c r="B140" s="79"/>
      <c r="C140" s="79"/>
      <c r="D140" s="81"/>
      <c r="E140" s="297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U140" s="299"/>
      <c r="V140" s="300"/>
      <c r="W140" s="300"/>
      <c r="AN140" s="299"/>
      <c r="AQ140" s="297"/>
      <c r="BG140" s="299"/>
    </row>
    <row r="141" spans="1:59" s="92" customFormat="1" ht="14.25">
      <c r="A141" s="78"/>
      <c r="B141" s="79"/>
      <c r="C141" s="79"/>
      <c r="D141" s="81"/>
      <c r="E141" s="297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U141" s="299"/>
      <c r="V141" s="300"/>
      <c r="W141" s="300"/>
      <c r="AN141" s="299"/>
      <c r="AQ141" s="297"/>
      <c r="BG141" s="299"/>
    </row>
    <row r="142" spans="1:59" s="92" customFormat="1" ht="14.25">
      <c r="A142" s="78"/>
      <c r="B142" s="79"/>
      <c r="C142" s="79"/>
      <c r="D142" s="81"/>
      <c r="E142" s="297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U142" s="299"/>
      <c r="V142" s="300"/>
      <c r="W142" s="300"/>
      <c r="AN142" s="299"/>
      <c r="AQ142" s="297"/>
      <c r="BG142" s="299"/>
    </row>
    <row r="143" spans="1:59" s="92" customFormat="1" ht="14.25">
      <c r="A143" s="78"/>
      <c r="B143" s="79"/>
      <c r="C143" s="79"/>
      <c r="D143" s="81"/>
      <c r="E143" s="297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U143" s="299"/>
      <c r="V143" s="300"/>
      <c r="W143" s="300"/>
      <c r="AN143" s="299"/>
      <c r="AQ143" s="297"/>
      <c r="BG143" s="299"/>
    </row>
    <row r="144" spans="1:59" s="92" customFormat="1" ht="14.25">
      <c r="A144" s="78"/>
      <c r="B144" s="79"/>
      <c r="C144" s="79"/>
      <c r="D144" s="81"/>
      <c r="E144" s="297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U144" s="299"/>
      <c r="V144" s="300"/>
      <c r="W144" s="300"/>
      <c r="AN144" s="299"/>
      <c r="AQ144" s="297"/>
      <c r="BG144" s="299"/>
    </row>
    <row r="145" spans="1:59" s="92" customFormat="1" ht="14.25">
      <c r="A145" s="78"/>
      <c r="B145" s="79"/>
      <c r="C145" s="79"/>
      <c r="D145" s="81"/>
      <c r="E145" s="297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U145" s="299"/>
      <c r="V145" s="300"/>
      <c r="W145" s="300"/>
      <c r="AN145" s="299"/>
      <c r="AQ145" s="297"/>
      <c r="BG145" s="299"/>
    </row>
    <row r="146" spans="1:59" s="92" customFormat="1" ht="14.25">
      <c r="A146" s="78"/>
      <c r="B146" s="79"/>
      <c r="C146" s="79"/>
      <c r="D146" s="81"/>
      <c r="E146" s="297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U146" s="299"/>
      <c r="V146" s="300"/>
      <c r="W146" s="300"/>
      <c r="AN146" s="299"/>
      <c r="AQ146" s="297"/>
      <c r="BG146" s="299"/>
    </row>
    <row r="147" spans="1:59" s="92" customFormat="1" ht="14.25">
      <c r="A147" s="78"/>
      <c r="B147" s="79"/>
      <c r="C147" s="79"/>
      <c r="D147" s="81"/>
      <c r="E147" s="297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U147" s="299"/>
      <c r="V147" s="300"/>
      <c r="W147" s="300"/>
      <c r="AN147" s="299"/>
      <c r="AQ147" s="297"/>
      <c r="BG147" s="299"/>
    </row>
    <row r="148" spans="1:59" s="92" customFormat="1" ht="14.25">
      <c r="A148" s="78"/>
      <c r="B148" s="79"/>
      <c r="C148" s="79"/>
      <c r="D148" s="81"/>
      <c r="E148" s="297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U148" s="299"/>
      <c r="V148" s="300"/>
      <c r="W148" s="300"/>
      <c r="AN148" s="299"/>
      <c r="AQ148" s="297"/>
      <c r="BG148" s="299"/>
    </row>
    <row r="149" spans="1:59" s="92" customFormat="1" ht="14.25">
      <c r="A149" s="78"/>
      <c r="B149" s="79"/>
      <c r="C149" s="79"/>
      <c r="D149" s="81"/>
      <c r="E149" s="297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U149" s="299"/>
      <c r="V149" s="300"/>
      <c r="W149" s="300"/>
      <c r="AN149" s="299"/>
      <c r="AQ149" s="297"/>
      <c r="BG149" s="299"/>
    </row>
    <row r="150" spans="1:59" s="92" customFormat="1" ht="14.25">
      <c r="A150" s="78"/>
      <c r="B150" s="79"/>
      <c r="C150" s="79"/>
      <c r="D150" s="81"/>
      <c r="E150" s="297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U150" s="299"/>
      <c r="V150" s="300"/>
      <c r="W150" s="300"/>
      <c r="AN150" s="299"/>
      <c r="AQ150" s="297"/>
      <c r="BG150" s="299"/>
    </row>
    <row r="151" spans="1:59" s="92" customFormat="1" ht="14.25">
      <c r="A151" s="78"/>
      <c r="B151" s="79"/>
      <c r="C151" s="79"/>
      <c r="D151" s="81"/>
      <c r="E151" s="297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U151" s="299"/>
      <c r="V151" s="300"/>
      <c r="W151" s="300"/>
      <c r="AN151" s="299"/>
      <c r="AQ151" s="297"/>
      <c r="BG151" s="299"/>
    </row>
    <row r="152" spans="1:59" s="92" customFormat="1" ht="14.25">
      <c r="A152" s="78"/>
      <c r="B152" s="79"/>
      <c r="C152" s="79"/>
      <c r="D152" s="81"/>
      <c r="E152" s="297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U152" s="299"/>
      <c r="V152" s="300"/>
      <c r="W152" s="300"/>
      <c r="AN152" s="299"/>
      <c r="AQ152" s="297"/>
      <c r="BG152" s="299"/>
    </row>
    <row r="153" spans="1:59" s="92" customFormat="1" ht="14.25">
      <c r="A153" s="78"/>
      <c r="B153" s="79"/>
      <c r="C153" s="79"/>
      <c r="D153" s="81"/>
      <c r="E153" s="297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U153" s="299"/>
      <c r="V153" s="300"/>
      <c r="W153" s="300"/>
      <c r="AN153" s="299"/>
      <c r="AQ153" s="297"/>
      <c r="BG153" s="299"/>
    </row>
    <row r="154" spans="1:59" s="92" customFormat="1" ht="14.25">
      <c r="A154" s="78"/>
      <c r="B154" s="79"/>
      <c r="C154" s="79"/>
      <c r="D154" s="81"/>
      <c r="E154" s="297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U154" s="299"/>
      <c r="V154" s="300"/>
      <c r="W154" s="300"/>
      <c r="AN154" s="299"/>
      <c r="AQ154" s="297"/>
      <c r="BG154" s="299"/>
    </row>
    <row r="155" spans="1:59" s="92" customFormat="1" ht="14.25">
      <c r="A155" s="78"/>
      <c r="B155" s="79"/>
      <c r="C155" s="79"/>
      <c r="D155" s="81"/>
      <c r="E155" s="297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U155" s="299"/>
      <c r="V155" s="300"/>
      <c r="W155" s="300"/>
      <c r="AN155" s="299"/>
      <c r="AQ155" s="297"/>
      <c r="BG155" s="299"/>
    </row>
    <row r="156" spans="1:59" s="92" customFormat="1" ht="14.25">
      <c r="A156" s="78"/>
      <c r="B156" s="79"/>
      <c r="C156" s="79"/>
      <c r="D156" s="81"/>
      <c r="E156" s="297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U156" s="299"/>
      <c r="V156" s="300"/>
      <c r="W156" s="300"/>
      <c r="AN156" s="299"/>
      <c r="AQ156" s="297"/>
      <c r="BG156" s="299"/>
    </row>
    <row r="157" spans="1:59" s="92" customFormat="1" ht="14.25">
      <c r="A157" s="78"/>
      <c r="B157" s="79"/>
      <c r="C157" s="79"/>
      <c r="D157" s="81"/>
      <c r="E157" s="297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U157" s="299"/>
      <c r="V157" s="300"/>
      <c r="W157" s="300"/>
      <c r="AN157" s="299"/>
      <c r="AQ157" s="297"/>
      <c r="BG157" s="299"/>
    </row>
    <row r="158" spans="1:59" s="92" customFormat="1" ht="14.25">
      <c r="A158" s="78"/>
      <c r="B158" s="79"/>
      <c r="C158" s="79"/>
      <c r="D158" s="81"/>
      <c r="E158" s="297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U158" s="299"/>
      <c r="V158" s="300"/>
      <c r="W158" s="300"/>
      <c r="AN158" s="299"/>
      <c r="AQ158" s="297"/>
      <c r="BG158" s="299"/>
    </row>
    <row r="159" spans="1:59" s="92" customFormat="1" ht="14.25">
      <c r="A159" s="78"/>
      <c r="B159" s="79"/>
      <c r="C159" s="79"/>
      <c r="D159" s="81"/>
      <c r="E159" s="297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U159" s="299"/>
      <c r="V159" s="300"/>
      <c r="W159" s="300"/>
      <c r="AN159" s="299"/>
      <c r="AQ159" s="297"/>
      <c r="BG159" s="299"/>
    </row>
    <row r="160" spans="1:59" s="92" customFormat="1" ht="14.25">
      <c r="A160" s="78"/>
      <c r="B160" s="79"/>
      <c r="C160" s="79"/>
      <c r="D160" s="81"/>
      <c r="E160" s="297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U160" s="299"/>
      <c r="V160" s="300"/>
      <c r="W160" s="300"/>
      <c r="AN160" s="299"/>
      <c r="AQ160" s="297"/>
      <c r="BG160" s="299"/>
    </row>
    <row r="161" spans="1:59" s="92" customFormat="1" ht="14.25">
      <c r="A161" s="78"/>
      <c r="B161" s="79"/>
      <c r="C161" s="79"/>
      <c r="D161" s="81"/>
      <c r="E161" s="297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U161" s="299"/>
      <c r="V161" s="300"/>
      <c r="W161" s="300"/>
      <c r="AN161" s="299"/>
      <c r="AQ161" s="297"/>
      <c r="BG161" s="299"/>
    </row>
    <row r="162" spans="1:59" s="92" customFormat="1" ht="14.25">
      <c r="A162" s="78"/>
      <c r="B162" s="79"/>
      <c r="C162" s="79"/>
      <c r="D162" s="81"/>
      <c r="E162" s="297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U162" s="299"/>
      <c r="V162" s="300"/>
      <c r="W162" s="300"/>
      <c r="AN162" s="299"/>
      <c r="AQ162" s="297"/>
      <c r="BG162" s="299"/>
    </row>
    <row r="163" spans="1:59" s="92" customFormat="1" ht="14.25">
      <c r="A163" s="78"/>
      <c r="B163" s="79"/>
      <c r="C163" s="79"/>
      <c r="D163" s="81"/>
      <c r="E163" s="297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U163" s="299"/>
      <c r="V163" s="300"/>
      <c r="W163" s="300"/>
      <c r="AN163" s="299"/>
      <c r="AQ163" s="297"/>
      <c r="BG163" s="299"/>
    </row>
    <row r="164" spans="1:59" s="92" customFormat="1" ht="14.25">
      <c r="A164" s="78"/>
      <c r="B164" s="79"/>
      <c r="C164" s="79"/>
      <c r="D164" s="81"/>
      <c r="E164" s="297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U164" s="299"/>
      <c r="V164" s="300"/>
      <c r="W164" s="300"/>
      <c r="AN164" s="299"/>
      <c r="AQ164" s="297"/>
      <c r="BG164" s="299"/>
    </row>
    <row r="165" spans="1:59" s="92" customFormat="1" ht="14.25">
      <c r="A165" s="78"/>
      <c r="B165" s="79"/>
      <c r="C165" s="79"/>
      <c r="D165" s="81"/>
      <c r="E165" s="297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U165" s="299"/>
      <c r="V165" s="300"/>
      <c r="W165" s="300"/>
      <c r="AN165" s="299"/>
      <c r="AQ165" s="297"/>
      <c r="BG165" s="299"/>
    </row>
    <row r="166" spans="1:59" s="92" customFormat="1" ht="14.25">
      <c r="A166" s="78"/>
      <c r="B166" s="79"/>
      <c r="C166" s="79"/>
      <c r="D166" s="81"/>
      <c r="E166" s="297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U166" s="299"/>
      <c r="V166" s="300"/>
      <c r="W166" s="300"/>
      <c r="AN166" s="299"/>
      <c r="AQ166" s="297"/>
      <c r="BG166" s="299"/>
    </row>
    <row r="167" spans="1:59" s="92" customFormat="1" ht="14.25">
      <c r="A167" s="78"/>
      <c r="B167" s="79"/>
      <c r="C167" s="79"/>
      <c r="D167" s="81"/>
      <c r="E167" s="297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U167" s="299"/>
      <c r="V167" s="300"/>
      <c r="W167" s="300"/>
      <c r="AN167" s="299"/>
      <c r="AQ167" s="297"/>
      <c r="BG167" s="299"/>
    </row>
    <row r="168" spans="1:59" s="92" customFormat="1" ht="14.25">
      <c r="A168" s="78"/>
      <c r="B168" s="79"/>
      <c r="C168" s="79"/>
      <c r="D168" s="81"/>
      <c r="E168" s="297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U168" s="299"/>
      <c r="V168" s="300"/>
      <c r="W168" s="300"/>
      <c r="AN168" s="299"/>
      <c r="AQ168" s="297"/>
      <c r="BG168" s="299"/>
    </row>
    <row r="169" spans="1:59" s="92" customFormat="1" ht="14.25">
      <c r="A169" s="78"/>
      <c r="B169" s="79"/>
      <c r="C169" s="79"/>
      <c r="D169" s="81"/>
      <c r="E169" s="297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U169" s="299"/>
      <c r="V169" s="300"/>
      <c r="W169" s="300"/>
      <c r="AN169" s="299"/>
      <c r="AQ169" s="297"/>
      <c r="BG169" s="299"/>
    </row>
    <row r="170" spans="1:59" s="92" customFormat="1" ht="14.25">
      <c r="A170" s="78"/>
      <c r="B170" s="79"/>
      <c r="C170" s="79"/>
      <c r="D170" s="81"/>
      <c r="E170" s="297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U170" s="299"/>
      <c r="V170" s="300"/>
      <c r="W170" s="300"/>
      <c r="AN170" s="299"/>
      <c r="AQ170" s="297"/>
      <c r="BG170" s="299"/>
    </row>
    <row r="171" spans="1:59" s="92" customFormat="1" ht="14.25">
      <c r="A171" s="78"/>
      <c r="B171" s="79"/>
      <c r="C171" s="79"/>
      <c r="D171" s="81"/>
      <c r="E171" s="297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U171" s="299"/>
      <c r="V171" s="300"/>
      <c r="W171" s="300"/>
      <c r="AN171" s="299"/>
      <c r="AQ171" s="297"/>
      <c r="BG171" s="299"/>
    </row>
    <row r="172" spans="1:59" s="92" customFormat="1" ht="14.25">
      <c r="A172" s="78"/>
      <c r="B172" s="79"/>
      <c r="C172" s="79"/>
      <c r="D172" s="81"/>
      <c r="E172" s="297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U172" s="299"/>
      <c r="V172" s="300"/>
      <c r="W172" s="300"/>
      <c r="AN172" s="299"/>
      <c r="AQ172" s="297"/>
      <c r="BG172" s="299"/>
    </row>
    <row r="173" spans="1:59" s="92" customFormat="1" ht="14.25">
      <c r="A173" s="78"/>
      <c r="B173" s="79"/>
      <c r="C173" s="79"/>
      <c r="D173" s="81"/>
      <c r="E173" s="297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U173" s="299"/>
      <c r="V173" s="300"/>
      <c r="W173" s="300"/>
      <c r="AN173" s="299"/>
      <c r="AQ173" s="297"/>
      <c r="BG173" s="299"/>
    </row>
    <row r="174" spans="1:59" s="92" customFormat="1" ht="14.25">
      <c r="A174" s="78"/>
      <c r="B174" s="79"/>
      <c r="C174" s="79"/>
      <c r="D174" s="81"/>
      <c r="E174" s="297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U174" s="299"/>
      <c r="V174" s="300"/>
      <c r="W174" s="300"/>
      <c r="AN174" s="299"/>
      <c r="AQ174" s="297"/>
      <c r="BG174" s="299"/>
    </row>
    <row r="175" spans="1:59" s="92" customFormat="1" ht="14.25">
      <c r="A175" s="78"/>
      <c r="B175" s="79"/>
      <c r="C175" s="79"/>
      <c r="D175" s="81"/>
      <c r="E175" s="297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U175" s="299"/>
      <c r="V175" s="300"/>
      <c r="W175" s="300"/>
      <c r="AN175" s="299"/>
      <c r="AQ175" s="297"/>
      <c r="BG175" s="299"/>
    </row>
    <row r="176" spans="1:59" s="92" customFormat="1" ht="14.25">
      <c r="A176" s="78"/>
      <c r="B176" s="79"/>
      <c r="C176" s="79"/>
      <c r="D176" s="81"/>
      <c r="E176" s="297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U176" s="299"/>
      <c r="V176" s="300"/>
      <c r="W176" s="300"/>
      <c r="AN176" s="299"/>
      <c r="AQ176" s="297"/>
      <c r="BG176" s="299"/>
    </row>
    <row r="177" spans="1:59" s="92" customFormat="1" ht="14.25">
      <c r="A177" s="78"/>
      <c r="B177" s="79"/>
      <c r="C177" s="79"/>
      <c r="D177" s="81"/>
      <c r="E177" s="297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U177" s="299"/>
      <c r="V177" s="300"/>
      <c r="W177" s="300"/>
      <c r="AN177" s="299"/>
      <c r="AQ177" s="297"/>
      <c r="BG177" s="299"/>
    </row>
    <row r="178" spans="1:59" s="92" customFormat="1" ht="14.25">
      <c r="A178" s="78"/>
      <c r="B178" s="79"/>
      <c r="C178" s="79"/>
      <c r="D178" s="81"/>
      <c r="E178" s="297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U178" s="299"/>
      <c r="V178" s="300"/>
      <c r="W178" s="300"/>
      <c r="AN178" s="299"/>
      <c r="AQ178" s="297"/>
      <c r="BG178" s="299"/>
    </row>
    <row r="179" spans="1:59" s="92" customFormat="1" ht="14.25">
      <c r="A179" s="78"/>
      <c r="B179" s="79"/>
      <c r="C179" s="79"/>
      <c r="D179" s="81"/>
      <c r="E179" s="297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U179" s="299"/>
      <c r="V179" s="300"/>
      <c r="W179" s="300"/>
      <c r="AN179" s="299"/>
      <c r="AQ179" s="297"/>
      <c r="BG179" s="299"/>
    </row>
    <row r="180" spans="1:59" s="92" customFormat="1" ht="14.25">
      <c r="A180" s="78"/>
      <c r="B180" s="79"/>
      <c r="C180" s="79"/>
      <c r="D180" s="81"/>
      <c r="E180" s="297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U180" s="299"/>
      <c r="V180" s="300"/>
      <c r="W180" s="300"/>
      <c r="AN180" s="299"/>
      <c r="AQ180" s="297"/>
      <c r="BG180" s="299"/>
    </row>
    <row r="181" spans="1:59" s="92" customFormat="1" ht="14.25">
      <c r="A181" s="78"/>
      <c r="B181" s="79"/>
      <c r="C181" s="79"/>
      <c r="D181" s="81"/>
      <c r="E181" s="297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U181" s="299"/>
      <c r="V181" s="300"/>
      <c r="W181" s="300"/>
      <c r="AN181" s="299"/>
      <c r="AQ181" s="297"/>
      <c r="BG181" s="299"/>
    </row>
    <row r="182" spans="1:59" s="92" customFormat="1" ht="14.25">
      <c r="A182" s="78"/>
      <c r="B182" s="79"/>
      <c r="C182" s="79"/>
      <c r="D182" s="81"/>
      <c r="E182" s="297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U182" s="299"/>
      <c r="V182" s="300"/>
      <c r="W182" s="300"/>
      <c r="AN182" s="299"/>
      <c r="AQ182" s="297"/>
      <c r="BG182" s="299"/>
    </row>
    <row r="183" spans="1:59" s="92" customFormat="1" ht="14.25">
      <c r="A183" s="78"/>
      <c r="B183" s="79"/>
      <c r="C183" s="79"/>
      <c r="D183" s="81"/>
      <c r="E183" s="297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U183" s="299"/>
      <c r="V183" s="300"/>
      <c r="W183" s="300"/>
      <c r="AN183" s="299"/>
      <c r="AQ183" s="297"/>
      <c r="BG183" s="299"/>
    </row>
    <row r="184" spans="1:59" s="92" customFormat="1" ht="14.25">
      <c r="A184" s="78"/>
      <c r="B184" s="79"/>
      <c r="C184" s="79"/>
      <c r="D184" s="81"/>
      <c r="E184" s="297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U184" s="299"/>
      <c r="V184" s="300"/>
      <c r="W184" s="300"/>
      <c r="AN184" s="299"/>
      <c r="AQ184" s="297"/>
      <c r="BG184" s="299"/>
    </row>
    <row r="185" spans="1:59" s="92" customFormat="1" ht="14.25">
      <c r="A185" s="78"/>
      <c r="B185" s="79"/>
      <c r="C185" s="79"/>
      <c r="D185" s="81"/>
      <c r="E185" s="297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U185" s="299"/>
      <c r="V185" s="300"/>
      <c r="W185" s="300"/>
      <c r="AN185" s="299"/>
      <c r="AQ185" s="297"/>
      <c r="BG185" s="299"/>
    </row>
    <row r="186" spans="1:59" s="92" customFormat="1" ht="14.25">
      <c r="A186" s="78"/>
      <c r="B186" s="79"/>
      <c r="C186" s="79"/>
      <c r="D186" s="81"/>
      <c r="E186" s="297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U186" s="299"/>
      <c r="V186" s="300"/>
      <c r="W186" s="300"/>
      <c r="AN186" s="299"/>
      <c r="AQ186" s="297"/>
      <c r="BG186" s="299"/>
    </row>
    <row r="187" spans="1:59" s="92" customFormat="1" ht="14.25">
      <c r="A187" s="78"/>
      <c r="B187" s="79"/>
      <c r="C187" s="79"/>
      <c r="D187" s="81"/>
      <c r="E187" s="297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U187" s="299"/>
      <c r="V187" s="300"/>
      <c r="W187" s="300"/>
      <c r="AN187" s="299"/>
      <c r="AQ187" s="297"/>
      <c r="BG187" s="299"/>
    </row>
    <row r="188" spans="1:59" s="92" customFormat="1" ht="14.25">
      <c r="A188" s="78"/>
      <c r="B188" s="79"/>
      <c r="C188" s="79"/>
      <c r="D188" s="81"/>
      <c r="E188" s="297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U188" s="299"/>
      <c r="V188" s="300"/>
      <c r="W188" s="300"/>
      <c r="AN188" s="299"/>
      <c r="AQ188" s="297"/>
      <c r="BG188" s="299"/>
    </row>
    <row r="189" spans="1:59" s="92" customFormat="1" ht="14.25">
      <c r="A189" s="78"/>
      <c r="B189" s="79"/>
      <c r="C189" s="79"/>
      <c r="D189" s="81"/>
      <c r="E189" s="297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U189" s="299"/>
      <c r="V189" s="300"/>
      <c r="W189" s="300"/>
      <c r="AN189" s="299"/>
      <c r="AQ189" s="297"/>
      <c r="BG189" s="299"/>
    </row>
    <row r="190" spans="1:59" s="92" customFormat="1" ht="14.25">
      <c r="A190" s="78"/>
      <c r="B190" s="79"/>
      <c r="C190" s="79"/>
      <c r="D190" s="81"/>
      <c r="E190" s="297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U190" s="299"/>
      <c r="V190" s="300"/>
      <c r="W190" s="300"/>
      <c r="AN190" s="299"/>
      <c r="AQ190" s="297"/>
      <c r="BG190" s="299"/>
    </row>
    <row r="191" spans="1:59" s="92" customFormat="1" ht="14.25">
      <c r="A191" s="78"/>
      <c r="B191" s="79"/>
      <c r="C191" s="79"/>
      <c r="D191" s="81"/>
      <c r="E191" s="297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U191" s="299"/>
      <c r="V191" s="300"/>
      <c r="W191" s="300"/>
      <c r="AN191" s="299"/>
      <c r="AQ191" s="297"/>
      <c r="BG191" s="299"/>
    </row>
    <row r="192" spans="1:59" s="92" customFormat="1" ht="14.25">
      <c r="A192" s="78"/>
      <c r="B192" s="79"/>
      <c r="C192" s="79"/>
      <c r="D192" s="81"/>
      <c r="E192" s="297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U192" s="299"/>
      <c r="V192" s="300"/>
      <c r="W192" s="300"/>
      <c r="AN192" s="299"/>
      <c r="AQ192" s="297"/>
      <c r="BG192" s="299"/>
    </row>
    <row r="193" spans="1:59" s="92" customFormat="1" ht="14.25">
      <c r="A193" s="78"/>
      <c r="B193" s="79"/>
      <c r="C193" s="79"/>
      <c r="D193" s="81"/>
      <c r="E193" s="297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U193" s="299"/>
      <c r="V193" s="300"/>
      <c r="W193" s="300"/>
      <c r="AN193" s="299"/>
      <c r="AQ193" s="297"/>
      <c r="BG193" s="299"/>
    </row>
    <row r="194" spans="1:59" s="92" customFormat="1" ht="14.25">
      <c r="A194" s="78"/>
      <c r="B194" s="79"/>
      <c r="C194" s="79"/>
      <c r="D194" s="81"/>
      <c r="E194" s="297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U194" s="299"/>
      <c r="V194" s="300"/>
      <c r="W194" s="300"/>
      <c r="AN194" s="299"/>
      <c r="AQ194" s="297"/>
      <c r="BG194" s="299"/>
    </row>
    <row r="195" spans="1:59" s="92" customFormat="1" ht="14.25">
      <c r="A195" s="78"/>
      <c r="B195" s="79"/>
      <c r="C195" s="79"/>
      <c r="D195" s="81"/>
      <c r="E195" s="297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U195" s="299"/>
      <c r="V195" s="300"/>
      <c r="W195" s="300"/>
      <c r="AN195" s="299"/>
      <c r="AQ195" s="297"/>
      <c r="BG195" s="299"/>
    </row>
    <row r="196" spans="1:59" s="92" customFormat="1" ht="14.25">
      <c r="A196" s="78"/>
      <c r="B196" s="79"/>
      <c r="C196" s="79"/>
      <c r="D196" s="81"/>
      <c r="E196" s="297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U196" s="299"/>
      <c r="V196" s="300"/>
      <c r="W196" s="300"/>
      <c r="AN196" s="299"/>
      <c r="AQ196" s="297"/>
      <c r="BG196" s="299"/>
    </row>
    <row r="197" spans="1:59" s="92" customFormat="1" ht="14.25">
      <c r="A197" s="78"/>
      <c r="B197" s="79"/>
      <c r="C197" s="79"/>
      <c r="D197" s="81"/>
      <c r="E197" s="297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U197" s="299"/>
      <c r="V197" s="300"/>
      <c r="W197" s="300"/>
      <c r="AN197" s="299"/>
      <c r="AQ197" s="297"/>
      <c r="BG197" s="299"/>
    </row>
    <row r="198" spans="1:59" s="92" customFormat="1" ht="14.25">
      <c r="A198" s="78"/>
      <c r="B198" s="79"/>
      <c r="C198" s="79"/>
      <c r="D198" s="81"/>
      <c r="E198" s="297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U198" s="299"/>
      <c r="V198" s="300"/>
      <c r="W198" s="300"/>
      <c r="AN198" s="299"/>
      <c r="AQ198" s="297"/>
      <c r="BG198" s="299"/>
    </row>
    <row r="199" spans="1:59" s="92" customFormat="1" ht="14.25">
      <c r="A199" s="78"/>
      <c r="B199" s="79"/>
      <c r="C199" s="79"/>
      <c r="D199" s="81"/>
      <c r="E199" s="297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U199" s="299"/>
      <c r="V199" s="300"/>
      <c r="W199" s="300"/>
      <c r="AN199" s="299"/>
      <c r="AQ199" s="297"/>
      <c r="BG199" s="299"/>
    </row>
    <row r="200" spans="1:59" s="92" customFormat="1" ht="14.25">
      <c r="A200" s="78"/>
      <c r="B200" s="79"/>
      <c r="C200" s="79"/>
      <c r="D200" s="81"/>
      <c r="E200" s="297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U200" s="299"/>
      <c r="V200" s="300"/>
      <c r="W200" s="300"/>
      <c r="AN200" s="299"/>
      <c r="AQ200" s="297"/>
      <c r="BG200" s="299"/>
    </row>
    <row r="201" spans="1:59" s="92" customFormat="1" ht="14.25">
      <c r="A201" s="78"/>
      <c r="B201" s="79"/>
      <c r="C201" s="79"/>
      <c r="D201" s="81"/>
      <c r="E201" s="297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U201" s="299"/>
      <c r="V201" s="300"/>
      <c r="W201" s="300"/>
      <c r="AN201" s="299"/>
      <c r="AQ201" s="297"/>
      <c r="BG201" s="299"/>
    </row>
    <row r="202" spans="1:59" s="92" customFormat="1" ht="14.25">
      <c r="A202" s="78"/>
      <c r="B202" s="79"/>
      <c r="C202" s="79"/>
      <c r="D202" s="81"/>
      <c r="E202" s="297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U202" s="299"/>
      <c r="V202" s="300"/>
      <c r="W202" s="300"/>
      <c r="AN202" s="299"/>
      <c r="AQ202" s="297"/>
      <c r="BG202" s="299"/>
    </row>
    <row r="203" spans="1:59" s="92" customFormat="1" ht="14.25">
      <c r="A203" s="78"/>
      <c r="B203" s="79"/>
      <c r="C203" s="79"/>
      <c r="D203" s="81"/>
      <c r="E203" s="297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U203" s="299"/>
      <c r="V203" s="300"/>
      <c r="W203" s="300"/>
      <c r="AN203" s="299"/>
      <c r="AQ203" s="297"/>
      <c r="BG203" s="299"/>
    </row>
    <row r="204" spans="1:59" s="92" customFormat="1" ht="14.25">
      <c r="A204" s="78"/>
      <c r="B204" s="79"/>
      <c r="C204" s="79"/>
      <c r="D204" s="81"/>
      <c r="E204" s="297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U204" s="299"/>
      <c r="V204" s="300"/>
      <c r="W204" s="300"/>
      <c r="AN204" s="299"/>
      <c r="AQ204" s="297"/>
      <c r="BG204" s="299"/>
    </row>
    <row r="205" spans="1:59" s="92" customFormat="1" ht="14.25">
      <c r="A205" s="78"/>
      <c r="B205" s="79"/>
      <c r="C205" s="79"/>
      <c r="D205" s="81"/>
      <c r="E205" s="297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U205" s="299"/>
      <c r="V205" s="300"/>
      <c r="W205" s="300"/>
      <c r="AN205" s="299"/>
      <c r="AQ205" s="297"/>
      <c r="BG205" s="299"/>
    </row>
    <row r="206" spans="1:59" s="92" customFormat="1" ht="14.25">
      <c r="A206" s="78"/>
      <c r="B206" s="79"/>
      <c r="C206" s="79"/>
      <c r="D206" s="81"/>
      <c r="E206" s="297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U206" s="299"/>
      <c r="V206" s="300"/>
      <c r="W206" s="300"/>
      <c r="AN206" s="299"/>
      <c r="AQ206" s="297"/>
      <c r="BG206" s="299"/>
    </row>
    <row r="207" spans="1:59" s="92" customFormat="1" ht="14.25">
      <c r="A207" s="78"/>
      <c r="B207" s="79"/>
      <c r="C207" s="79"/>
      <c r="D207" s="81"/>
      <c r="E207" s="297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U207" s="299"/>
      <c r="V207" s="300"/>
      <c r="W207" s="300"/>
      <c r="AN207" s="299"/>
      <c r="AQ207" s="297"/>
      <c r="BG207" s="299"/>
    </row>
    <row r="208" spans="1:59" s="92" customFormat="1" ht="14.25">
      <c r="A208" s="78"/>
      <c r="B208" s="79"/>
      <c r="C208" s="79"/>
      <c r="D208" s="81"/>
      <c r="E208" s="297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U208" s="299"/>
      <c r="V208" s="300"/>
      <c r="W208" s="300"/>
      <c r="AN208" s="299"/>
      <c r="AQ208" s="297"/>
      <c r="BG208" s="299"/>
    </row>
    <row r="209" spans="1:59" s="92" customFormat="1" ht="14.25">
      <c r="A209" s="78"/>
      <c r="B209" s="79"/>
      <c r="C209" s="79"/>
      <c r="D209" s="81"/>
      <c r="E209" s="297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U209" s="299"/>
      <c r="V209" s="300"/>
      <c r="W209" s="300"/>
      <c r="AN209" s="299"/>
      <c r="AQ209" s="297"/>
      <c r="BG209" s="299"/>
    </row>
    <row r="210" spans="1:59" s="92" customFormat="1" ht="14.25">
      <c r="A210" s="78"/>
      <c r="B210" s="79"/>
      <c r="C210" s="79"/>
      <c r="D210" s="81"/>
      <c r="E210" s="297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U210" s="299"/>
      <c r="V210" s="300"/>
      <c r="W210" s="300"/>
      <c r="AN210" s="299"/>
      <c r="AQ210" s="297"/>
      <c r="BG210" s="299"/>
    </row>
    <row r="211" spans="1:59" s="92" customFormat="1" ht="14.25">
      <c r="A211" s="78"/>
      <c r="B211" s="79"/>
      <c r="C211" s="79"/>
      <c r="D211" s="81"/>
      <c r="E211" s="297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U211" s="299"/>
      <c r="V211" s="300"/>
      <c r="W211" s="300"/>
      <c r="AN211" s="299"/>
      <c r="AQ211" s="297"/>
      <c r="BG211" s="299"/>
    </row>
    <row r="212" spans="1:59" s="92" customFormat="1" ht="14.25">
      <c r="A212" s="78"/>
      <c r="B212" s="79"/>
      <c r="C212" s="79"/>
      <c r="D212" s="81"/>
      <c r="E212" s="297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U212" s="299"/>
      <c r="V212" s="300"/>
      <c r="W212" s="300"/>
      <c r="AN212" s="299"/>
      <c r="AQ212" s="297"/>
      <c r="BG212" s="299"/>
    </row>
    <row r="213" spans="1:59" s="92" customFormat="1" ht="14.25">
      <c r="A213" s="78"/>
      <c r="B213" s="79"/>
      <c r="C213" s="79"/>
      <c r="D213" s="81"/>
      <c r="E213" s="297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U213" s="299"/>
      <c r="V213" s="300"/>
      <c r="W213" s="300"/>
      <c r="AN213" s="299"/>
      <c r="AQ213" s="297"/>
      <c r="BG213" s="299"/>
    </row>
    <row r="214" spans="1:59" s="92" customFormat="1" ht="14.25">
      <c r="A214" s="78"/>
      <c r="B214" s="79"/>
      <c r="C214" s="79"/>
      <c r="D214" s="81"/>
      <c r="E214" s="297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U214" s="299"/>
      <c r="V214" s="300"/>
      <c r="W214" s="300"/>
      <c r="AN214" s="299"/>
      <c r="AQ214" s="297"/>
      <c r="BG214" s="299"/>
    </row>
    <row r="215" spans="1:59" s="92" customFormat="1" ht="14.25">
      <c r="A215" s="78"/>
      <c r="B215" s="79"/>
      <c r="C215" s="79"/>
      <c r="D215" s="81"/>
      <c r="E215" s="297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U215" s="299"/>
      <c r="V215" s="300"/>
      <c r="W215" s="300"/>
      <c r="AN215" s="299"/>
      <c r="AQ215" s="297"/>
      <c r="BG215" s="299"/>
    </row>
    <row r="216" spans="1:59" s="92" customFormat="1" ht="14.25">
      <c r="A216" s="78"/>
      <c r="D216" s="81"/>
      <c r="E216" s="297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U216" s="299"/>
      <c r="V216" s="300"/>
      <c r="W216" s="300"/>
      <c r="AN216" s="299"/>
      <c r="AQ216" s="297"/>
      <c r="BG216" s="299"/>
    </row>
    <row r="217" spans="1:59" s="92" customFormat="1" ht="14.25">
      <c r="A217" s="78"/>
      <c r="D217" s="81"/>
      <c r="E217" s="297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U217" s="299"/>
      <c r="V217" s="300"/>
      <c r="W217" s="300"/>
      <c r="AN217" s="299"/>
      <c r="AQ217" s="297"/>
      <c r="BG217" s="299"/>
    </row>
    <row r="218" spans="1:59" s="92" customFormat="1" ht="14.25">
      <c r="A218" s="78"/>
      <c r="D218" s="81"/>
      <c r="E218" s="297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U218" s="299"/>
      <c r="V218" s="300"/>
      <c r="W218" s="300"/>
      <c r="AN218" s="299"/>
      <c r="AQ218" s="297"/>
      <c r="BG218" s="299"/>
    </row>
    <row r="219" spans="1:59" s="92" customFormat="1" ht="14.25">
      <c r="A219" s="78"/>
      <c r="D219" s="81"/>
      <c r="E219" s="297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U219" s="299"/>
      <c r="V219" s="300"/>
      <c r="W219" s="300"/>
      <c r="AN219" s="299"/>
      <c r="AQ219" s="297"/>
      <c r="BG219" s="299"/>
    </row>
    <row r="220" spans="1:59" s="92" customFormat="1" ht="14.25">
      <c r="A220" s="78"/>
      <c r="B220" s="79"/>
      <c r="C220" s="79"/>
      <c r="D220" s="81"/>
      <c r="E220" s="297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U220" s="299"/>
      <c r="V220" s="300"/>
      <c r="W220" s="300"/>
      <c r="AN220" s="299"/>
      <c r="AQ220" s="297"/>
      <c r="BG220" s="299"/>
    </row>
    <row r="221" spans="1:59" s="92" customFormat="1" ht="14.25">
      <c r="A221" s="78"/>
      <c r="B221" s="79"/>
      <c r="C221" s="79"/>
      <c r="D221" s="81"/>
      <c r="E221" s="297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U221" s="299"/>
      <c r="V221" s="300"/>
      <c r="W221" s="300"/>
      <c r="AN221" s="299"/>
      <c r="AQ221" s="297"/>
      <c r="BG221" s="299"/>
    </row>
    <row r="222" spans="1:59" s="92" customFormat="1" ht="14.25">
      <c r="A222" s="78"/>
      <c r="B222" s="79"/>
      <c r="C222" s="79"/>
      <c r="D222" s="81"/>
      <c r="E222" s="297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U222" s="299"/>
      <c r="V222" s="300"/>
      <c r="W222" s="300"/>
      <c r="AN222" s="299"/>
      <c r="AQ222" s="297"/>
      <c r="BG222" s="299"/>
    </row>
    <row r="223" spans="1:59" s="92" customFormat="1" ht="14.25">
      <c r="A223" s="78"/>
      <c r="B223" s="79"/>
      <c r="C223" s="79"/>
      <c r="D223" s="81"/>
      <c r="E223" s="297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U223" s="299"/>
      <c r="V223" s="300"/>
      <c r="W223" s="300"/>
      <c r="AN223" s="299"/>
      <c r="AQ223" s="297"/>
      <c r="BG223" s="299"/>
    </row>
    <row r="224" spans="1:59" s="92" customFormat="1" ht="14.25">
      <c r="A224" s="78"/>
      <c r="B224" s="79"/>
      <c r="C224" s="79"/>
      <c r="D224" s="81"/>
      <c r="E224" s="297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U224" s="299"/>
      <c r="V224" s="300"/>
      <c r="W224" s="300"/>
      <c r="AN224" s="299"/>
      <c r="AQ224" s="297"/>
      <c r="BG224" s="299"/>
    </row>
    <row r="225" spans="1:59" s="92" customFormat="1" ht="14.25">
      <c r="A225" s="78"/>
      <c r="B225" s="79"/>
      <c r="C225" s="79"/>
      <c r="D225" s="81"/>
      <c r="E225" s="297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U225" s="299"/>
      <c r="V225" s="300"/>
      <c r="W225" s="300"/>
      <c r="AN225" s="299"/>
      <c r="AQ225" s="297"/>
      <c r="BG225" s="299"/>
    </row>
    <row r="226" spans="1:59" s="92" customFormat="1" ht="14.25">
      <c r="A226" s="78"/>
      <c r="B226" s="79"/>
      <c r="C226" s="79"/>
      <c r="D226" s="81"/>
      <c r="E226" s="297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U226" s="299"/>
      <c r="V226" s="300"/>
      <c r="W226" s="300"/>
      <c r="AN226" s="299"/>
      <c r="AQ226" s="297"/>
      <c r="BG226" s="299"/>
    </row>
    <row r="227" spans="1:59" s="92" customFormat="1" ht="14.25">
      <c r="A227" s="78"/>
      <c r="B227" s="79"/>
      <c r="C227" s="79"/>
      <c r="D227" s="81"/>
      <c r="E227" s="297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U227" s="299"/>
      <c r="V227" s="300"/>
      <c r="W227" s="300"/>
      <c r="AN227" s="299"/>
      <c r="AQ227" s="297"/>
      <c r="BG227" s="299"/>
    </row>
    <row r="228" spans="1:59" s="92" customFormat="1" ht="14.25">
      <c r="A228" s="78"/>
      <c r="B228" s="79"/>
      <c r="C228" s="79"/>
      <c r="D228" s="81"/>
      <c r="E228" s="297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U228" s="299"/>
      <c r="V228" s="300"/>
      <c r="W228" s="300"/>
      <c r="AN228" s="299"/>
      <c r="AQ228" s="297"/>
      <c r="BG228" s="299"/>
    </row>
    <row r="229" spans="1:59" s="92" customFormat="1" ht="14.25">
      <c r="A229" s="78"/>
      <c r="B229" s="79"/>
      <c r="C229" s="79"/>
      <c r="D229" s="81"/>
      <c r="E229" s="297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U229" s="299"/>
      <c r="V229" s="300"/>
      <c r="W229" s="300"/>
      <c r="AN229" s="299"/>
      <c r="AQ229" s="297"/>
      <c r="BG229" s="299"/>
    </row>
    <row r="230" spans="1:59" s="92" customFormat="1" ht="14.25">
      <c r="A230" s="78"/>
      <c r="B230" s="79"/>
      <c r="C230" s="79"/>
      <c r="D230" s="81"/>
      <c r="E230" s="297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U230" s="299"/>
      <c r="V230" s="300"/>
      <c r="W230" s="300"/>
      <c r="AN230" s="299"/>
      <c r="AQ230" s="297"/>
      <c r="BG230" s="299"/>
    </row>
    <row r="231" spans="1:59" s="92" customFormat="1" ht="14.25">
      <c r="A231" s="78"/>
      <c r="B231" s="79"/>
      <c r="C231" s="79"/>
      <c r="D231" s="81"/>
      <c r="E231" s="297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U231" s="299"/>
      <c r="V231" s="300"/>
      <c r="W231" s="300"/>
      <c r="AN231" s="299"/>
      <c r="AQ231" s="297"/>
      <c r="BG231" s="299"/>
    </row>
    <row r="232" spans="1:59" s="92" customFormat="1" ht="14.25">
      <c r="A232" s="78"/>
      <c r="B232" s="79"/>
      <c r="C232" s="79"/>
      <c r="D232" s="81"/>
      <c r="E232" s="297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U232" s="299"/>
      <c r="V232" s="300"/>
      <c r="W232" s="300"/>
      <c r="AN232" s="299"/>
      <c r="AQ232" s="297"/>
      <c r="BG232" s="299"/>
    </row>
    <row r="233" spans="1:59" s="92" customFormat="1" ht="14.25">
      <c r="A233" s="78"/>
      <c r="B233" s="79"/>
      <c r="C233" s="79"/>
      <c r="D233" s="81"/>
      <c r="E233" s="297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U233" s="299"/>
      <c r="V233" s="300"/>
      <c r="W233" s="300"/>
      <c r="AN233" s="299"/>
      <c r="AQ233" s="297"/>
      <c r="BG233" s="299"/>
    </row>
    <row r="234" spans="1:59" s="92" customFormat="1" ht="14.25">
      <c r="A234" s="78"/>
      <c r="B234" s="79"/>
      <c r="C234" s="79"/>
      <c r="D234" s="81"/>
      <c r="E234" s="297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U234" s="299"/>
      <c r="V234" s="300"/>
      <c r="W234" s="300"/>
      <c r="AN234" s="299"/>
      <c r="AQ234" s="297"/>
      <c r="BG234" s="299"/>
    </row>
    <row r="235" spans="1:59" s="92" customFormat="1" ht="14.25">
      <c r="A235" s="78"/>
      <c r="B235" s="79"/>
      <c r="C235" s="79"/>
      <c r="D235" s="81"/>
      <c r="E235" s="297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U235" s="299"/>
      <c r="V235" s="300"/>
      <c r="W235" s="300"/>
      <c r="AN235" s="299"/>
      <c r="AQ235" s="297"/>
      <c r="BG235" s="299"/>
    </row>
    <row r="236" spans="1:59" s="92" customFormat="1" ht="14.25">
      <c r="A236" s="78"/>
      <c r="B236" s="79"/>
      <c r="C236" s="79"/>
      <c r="D236" s="81"/>
      <c r="E236" s="297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U236" s="299"/>
      <c r="V236" s="300"/>
      <c r="W236" s="300"/>
      <c r="AN236" s="299"/>
      <c r="AQ236" s="297"/>
      <c r="BG236" s="299"/>
    </row>
    <row r="237" spans="1:59" s="92" customFormat="1" ht="14.25">
      <c r="A237" s="78"/>
      <c r="B237" s="79"/>
      <c r="C237" s="79"/>
      <c r="D237" s="81"/>
      <c r="E237" s="297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U237" s="299"/>
      <c r="V237" s="300"/>
      <c r="W237" s="300"/>
      <c r="AN237" s="299"/>
      <c r="AQ237" s="297"/>
      <c r="BG237" s="299"/>
    </row>
    <row r="238" spans="1:59" s="92" customFormat="1" ht="14.25">
      <c r="A238" s="78"/>
      <c r="B238" s="79"/>
      <c r="C238" s="79"/>
      <c r="D238" s="81"/>
      <c r="E238" s="297"/>
      <c r="H238" s="298"/>
      <c r="I238" s="298"/>
      <c r="J238" s="298"/>
      <c r="K238" s="298"/>
      <c r="L238" s="298"/>
      <c r="M238" s="298"/>
      <c r="N238" s="298"/>
      <c r="O238" s="298"/>
      <c r="P238" s="298"/>
      <c r="Q238" s="298"/>
      <c r="U238" s="299"/>
      <c r="V238" s="300"/>
      <c r="W238" s="300"/>
      <c r="AN238" s="299"/>
      <c r="AQ238" s="297"/>
      <c r="BG238" s="299"/>
    </row>
    <row r="239" spans="1:59" s="92" customFormat="1" ht="14.25">
      <c r="A239" s="78"/>
      <c r="B239" s="79"/>
      <c r="C239" s="79"/>
      <c r="D239" s="81"/>
      <c r="E239" s="297"/>
      <c r="H239" s="298"/>
      <c r="I239" s="298"/>
      <c r="J239" s="298"/>
      <c r="K239" s="298"/>
      <c r="L239" s="298"/>
      <c r="M239" s="298"/>
      <c r="N239" s="298"/>
      <c r="O239" s="298"/>
      <c r="P239" s="298"/>
      <c r="Q239" s="298"/>
      <c r="U239" s="299"/>
      <c r="V239" s="300"/>
      <c r="W239" s="300"/>
      <c r="AN239" s="299"/>
      <c r="AQ239" s="297"/>
      <c r="BG239" s="299"/>
    </row>
    <row r="240" spans="1:59" s="92" customFormat="1" ht="14.25">
      <c r="A240" s="78"/>
      <c r="B240" s="79"/>
      <c r="C240" s="79"/>
      <c r="D240" s="81"/>
      <c r="E240" s="297"/>
      <c r="H240" s="298"/>
      <c r="I240" s="298"/>
      <c r="J240" s="298"/>
      <c r="K240" s="298"/>
      <c r="L240" s="298"/>
      <c r="M240" s="298"/>
      <c r="N240" s="298"/>
      <c r="O240" s="298"/>
      <c r="P240" s="298"/>
      <c r="Q240" s="298"/>
      <c r="U240" s="299"/>
      <c r="V240" s="300"/>
      <c r="W240" s="300"/>
      <c r="AN240" s="299"/>
      <c r="AQ240" s="297"/>
      <c r="BG240" s="299"/>
    </row>
    <row r="241" spans="1:59" s="92" customFormat="1" ht="14.25">
      <c r="A241" s="78"/>
      <c r="B241" s="79"/>
      <c r="C241" s="79"/>
      <c r="D241" s="81"/>
      <c r="E241" s="297"/>
      <c r="H241" s="298"/>
      <c r="I241" s="298"/>
      <c r="J241" s="298"/>
      <c r="K241" s="298"/>
      <c r="L241" s="298"/>
      <c r="M241" s="298"/>
      <c r="N241" s="298"/>
      <c r="O241" s="298"/>
      <c r="P241" s="298"/>
      <c r="Q241" s="298"/>
      <c r="U241" s="299"/>
      <c r="V241" s="300"/>
      <c r="W241" s="300"/>
      <c r="AN241" s="299"/>
      <c r="AQ241" s="297"/>
      <c r="BG241" s="299"/>
    </row>
    <row r="242" spans="1:59" s="92" customFormat="1" ht="14.25">
      <c r="A242" s="78"/>
      <c r="B242" s="79"/>
      <c r="C242" s="79"/>
      <c r="D242" s="81"/>
      <c r="E242" s="297"/>
      <c r="H242" s="298"/>
      <c r="I242" s="298"/>
      <c r="J242" s="298"/>
      <c r="K242" s="298"/>
      <c r="L242" s="298"/>
      <c r="M242" s="298"/>
      <c r="N242" s="298"/>
      <c r="O242" s="298"/>
      <c r="P242" s="298"/>
      <c r="Q242" s="298"/>
      <c r="U242" s="299"/>
      <c r="V242" s="300"/>
      <c r="W242" s="300"/>
      <c r="AN242" s="299"/>
      <c r="AQ242" s="297"/>
      <c r="BG242" s="299"/>
    </row>
    <row r="243" spans="1:59" s="92" customFormat="1" ht="14.25">
      <c r="A243" s="78"/>
      <c r="B243" s="79"/>
      <c r="C243" s="79"/>
      <c r="D243" s="81"/>
      <c r="E243" s="297"/>
      <c r="H243" s="298"/>
      <c r="I243" s="298"/>
      <c r="J243" s="298"/>
      <c r="K243" s="298"/>
      <c r="L243" s="298"/>
      <c r="M243" s="298"/>
      <c r="N243" s="298"/>
      <c r="O243" s="298"/>
      <c r="P243" s="298"/>
      <c r="Q243" s="298"/>
      <c r="U243" s="299"/>
      <c r="V243" s="300"/>
      <c r="W243" s="300"/>
      <c r="AN243" s="299"/>
      <c r="AQ243" s="297"/>
      <c r="BG243" s="299"/>
    </row>
    <row r="244" spans="1:59" s="92" customFormat="1" ht="14.25">
      <c r="A244" s="78"/>
      <c r="B244" s="79"/>
      <c r="C244" s="79"/>
      <c r="D244" s="81"/>
      <c r="E244" s="297"/>
      <c r="H244" s="298"/>
      <c r="I244" s="298"/>
      <c r="J244" s="298"/>
      <c r="K244" s="298"/>
      <c r="L244" s="298"/>
      <c r="M244" s="298"/>
      <c r="N244" s="298"/>
      <c r="O244" s="298"/>
      <c r="P244" s="298"/>
      <c r="Q244" s="298"/>
      <c r="U244" s="299"/>
      <c r="V244" s="300"/>
      <c r="W244" s="300"/>
      <c r="AN244" s="299"/>
      <c r="AQ244" s="297"/>
      <c r="BG244" s="299"/>
    </row>
    <row r="245" spans="1:59" s="92" customFormat="1" ht="14.25">
      <c r="A245" s="78"/>
      <c r="B245" s="79"/>
      <c r="C245" s="79"/>
      <c r="D245" s="81"/>
      <c r="E245" s="297"/>
      <c r="H245" s="298"/>
      <c r="I245" s="298"/>
      <c r="J245" s="298"/>
      <c r="K245" s="298"/>
      <c r="L245" s="298"/>
      <c r="M245" s="298"/>
      <c r="N245" s="298"/>
      <c r="O245" s="298"/>
      <c r="P245" s="298"/>
      <c r="Q245" s="298"/>
      <c r="U245" s="299"/>
      <c r="V245" s="300"/>
      <c r="W245" s="300"/>
      <c r="AN245" s="299"/>
      <c r="AQ245" s="297"/>
      <c r="BG245" s="299"/>
    </row>
    <row r="246" spans="1:59" s="92" customFormat="1" ht="14.25">
      <c r="A246" s="78"/>
      <c r="B246" s="79"/>
      <c r="C246" s="79"/>
      <c r="D246" s="81"/>
      <c r="E246" s="297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U246" s="299"/>
      <c r="V246" s="300"/>
      <c r="W246" s="300"/>
      <c r="AN246" s="299"/>
      <c r="AQ246" s="297"/>
      <c r="BG246" s="299"/>
    </row>
    <row r="247" spans="1:59" s="92" customFormat="1" ht="14.25">
      <c r="A247" s="78"/>
      <c r="B247" s="79"/>
      <c r="C247" s="79"/>
      <c r="D247" s="81"/>
      <c r="E247" s="297"/>
      <c r="H247" s="298"/>
      <c r="I247" s="298"/>
      <c r="J247" s="298"/>
      <c r="K247" s="298"/>
      <c r="L247" s="298"/>
      <c r="M247" s="298"/>
      <c r="N247" s="298"/>
      <c r="O247" s="298"/>
      <c r="P247" s="298"/>
      <c r="Q247" s="298"/>
      <c r="U247" s="299"/>
      <c r="V247" s="300"/>
      <c r="W247" s="300"/>
      <c r="AN247" s="299"/>
      <c r="AQ247" s="297"/>
      <c r="BG247" s="299"/>
    </row>
    <row r="248" spans="1:59" s="92" customFormat="1" ht="14.25">
      <c r="A248" s="78"/>
      <c r="B248" s="79"/>
      <c r="C248" s="79"/>
      <c r="D248" s="81"/>
      <c r="E248" s="297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U248" s="299"/>
      <c r="V248" s="300"/>
      <c r="W248" s="300"/>
      <c r="AN248" s="299"/>
      <c r="AQ248" s="297"/>
      <c r="BG248" s="299"/>
    </row>
    <row r="249" spans="1:59" s="92" customFormat="1" ht="14.25">
      <c r="A249" s="78"/>
      <c r="B249" s="79"/>
      <c r="C249" s="79"/>
      <c r="D249" s="81"/>
      <c r="E249" s="297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U249" s="299"/>
      <c r="V249" s="300"/>
      <c r="W249" s="300"/>
      <c r="AN249" s="299"/>
      <c r="AQ249" s="297"/>
      <c r="BG249" s="299"/>
    </row>
    <row r="250" spans="1:59" s="92" customFormat="1" ht="14.25">
      <c r="A250" s="78"/>
      <c r="B250" s="79"/>
      <c r="C250" s="79"/>
      <c r="D250" s="81"/>
      <c r="E250" s="297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U250" s="299"/>
      <c r="V250" s="300"/>
      <c r="W250" s="300"/>
      <c r="AN250" s="299"/>
      <c r="AQ250" s="297"/>
      <c r="BG250" s="299"/>
    </row>
    <row r="251" spans="1:59" s="92" customFormat="1" ht="14.25">
      <c r="A251" s="78"/>
      <c r="B251" s="79"/>
      <c r="C251" s="79"/>
      <c r="D251" s="81"/>
      <c r="E251" s="297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U251" s="299"/>
      <c r="V251" s="300"/>
      <c r="W251" s="300"/>
      <c r="AN251" s="299"/>
      <c r="AQ251" s="297"/>
      <c r="BG251" s="299"/>
    </row>
  </sheetData>
  <sheetProtection/>
  <mergeCells count="8">
    <mergeCell ref="E7:W7"/>
    <mergeCell ref="X7:AP7"/>
    <mergeCell ref="AQ7:BI7"/>
    <mergeCell ref="E2:U3"/>
    <mergeCell ref="B4:W4"/>
    <mergeCell ref="B5:W5"/>
    <mergeCell ref="AU100:AU104"/>
    <mergeCell ref="BJ7:BM7"/>
  </mergeCells>
  <conditionalFormatting sqref="C35">
    <cfRule type="duplicateValues" priority="40" dxfId="174">
      <formula>AND(COUNTIF($C$35:$C$35,C35)&gt;1,NOT(ISBLANK(C35)))</formula>
    </cfRule>
  </conditionalFormatting>
  <conditionalFormatting sqref="C35">
    <cfRule type="duplicateValues" priority="41" dxfId="174">
      <formula>AND(COUNTIF($C$35:$C$35,C35)&gt;1,NOT(ISBLANK(C35)))</formula>
    </cfRule>
  </conditionalFormatting>
  <conditionalFormatting sqref="C41">
    <cfRule type="duplicateValues" priority="38" dxfId="174">
      <formula>AND(COUNTIF($C$41:$C$41,C41)&gt;1,NOT(ISBLANK(C41)))</formula>
    </cfRule>
  </conditionalFormatting>
  <conditionalFormatting sqref="C41">
    <cfRule type="duplicateValues" priority="39" dxfId="174">
      <formula>AND(COUNTIF($C$41:$C$41,C41)&gt;1,NOT(ISBLANK(C41)))</formula>
    </cfRule>
  </conditionalFormatting>
  <conditionalFormatting sqref="C43:C44">
    <cfRule type="duplicateValues" priority="36" dxfId="174">
      <formula>AND(COUNTIF($C$43:$C$44,C43)&gt;1,NOT(ISBLANK(C43)))</formula>
    </cfRule>
  </conditionalFormatting>
  <conditionalFormatting sqref="C43">
    <cfRule type="duplicateValues" priority="37" dxfId="174">
      <formula>AND(COUNTIF($C$43:$C$43,C43)&gt;1,NOT(ISBLANK(C43)))</formula>
    </cfRule>
  </conditionalFormatting>
  <conditionalFormatting sqref="C47">
    <cfRule type="duplicateValues" priority="34" dxfId="174">
      <formula>AND(COUNTIF($C$47:$C$47,C47)&gt;1,NOT(ISBLANK(C47)))</formula>
    </cfRule>
  </conditionalFormatting>
  <conditionalFormatting sqref="C47">
    <cfRule type="duplicateValues" priority="35" dxfId="174">
      <formula>AND(COUNTIF($C$47:$C$47,C47)&gt;1,NOT(ISBLANK(C47)))</formula>
    </cfRule>
  </conditionalFormatting>
  <conditionalFormatting sqref="C51">
    <cfRule type="duplicateValues" priority="32" dxfId="174">
      <formula>AND(COUNTIF($C$51:$C$51,C51)&gt;1,NOT(ISBLANK(C51)))</formula>
    </cfRule>
  </conditionalFormatting>
  <conditionalFormatting sqref="C51">
    <cfRule type="duplicateValues" priority="33" dxfId="174">
      <formula>AND(COUNTIF($C$51:$C$51,C51)&gt;1,NOT(ISBLANK(C51)))</formula>
    </cfRule>
  </conditionalFormatting>
  <conditionalFormatting sqref="C58">
    <cfRule type="duplicateValues" priority="30" dxfId="174">
      <formula>AND(COUNTIF($C$58:$C$58,C58)&gt;1,NOT(ISBLANK(C58)))</formula>
    </cfRule>
  </conditionalFormatting>
  <conditionalFormatting sqref="C58">
    <cfRule type="duplicateValues" priority="31" dxfId="174">
      <formula>AND(COUNTIF($C$58:$C$58,C58)&gt;1,NOT(ISBLANK(C58)))</formula>
    </cfRule>
  </conditionalFormatting>
  <conditionalFormatting sqref="C61">
    <cfRule type="duplicateValues" priority="28" dxfId="174">
      <formula>AND(COUNTIF($C$61:$C$61,C61)&gt;1,NOT(ISBLANK(C61)))</formula>
    </cfRule>
  </conditionalFormatting>
  <conditionalFormatting sqref="C61">
    <cfRule type="duplicateValues" priority="29" dxfId="174">
      <formula>AND(COUNTIF($C$61:$C$61,C61)&gt;1,NOT(ISBLANK(C61)))</formula>
    </cfRule>
  </conditionalFormatting>
  <conditionalFormatting sqref="C62">
    <cfRule type="duplicateValues" priority="27" dxfId="174">
      <formula>AND(COUNTIF($C$62:$C$62,C62)&gt;1,NOT(ISBLANK(C62)))</formula>
    </cfRule>
  </conditionalFormatting>
  <conditionalFormatting sqref="C77">
    <cfRule type="duplicateValues" priority="25" dxfId="174">
      <formula>AND(COUNTIF($C$77:$C$77,C77)&gt;1,NOT(ISBLANK(C77)))</formula>
    </cfRule>
  </conditionalFormatting>
  <conditionalFormatting sqref="C77">
    <cfRule type="duplicateValues" priority="26" dxfId="174">
      <formula>AND(COUNTIF($C$77:$C$77,C77)&gt;1,NOT(ISBLANK(C77)))</formula>
    </cfRule>
  </conditionalFormatting>
  <conditionalFormatting sqref="C80">
    <cfRule type="duplicateValues" priority="23" dxfId="174">
      <formula>AND(COUNTIF($C$80:$C$80,C80)&gt;1,NOT(ISBLANK(C80)))</formula>
    </cfRule>
  </conditionalFormatting>
  <conditionalFormatting sqref="C80">
    <cfRule type="duplicateValues" priority="24" dxfId="174">
      <formula>AND(COUNTIF($C$80:$C$80,C80)&gt;1,NOT(ISBLANK(C80)))</formula>
    </cfRule>
  </conditionalFormatting>
  <conditionalFormatting sqref="C81">
    <cfRule type="duplicateValues" priority="21" dxfId="174">
      <formula>AND(COUNTIF($C$81:$C$81,C81)&gt;1,NOT(ISBLANK(C81)))</formula>
    </cfRule>
  </conditionalFormatting>
  <conditionalFormatting sqref="C81">
    <cfRule type="duplicateValues" priority="22" dxfId="174">
      <formula>AND(COUNTIF($C$81:$C$81,C81)&gt;1,NOT(ISBLANK(C81)))</formula>
    </cfRule>
  </conditionalFormatting>
  <conditionalFormatting sqref="C92">
    <cfRule type="duplicateValues" priority="19" dxfId="174">
      <formula>AND(COUNTIF($C$92:$C$92,C92)&gt;1,NOT(ISBLANK(C92)))</formula>
    </cfRule>
  </conditionalFormatting>
  <conditionalFormatting sqref="C92">
    <cfRule type="duplicateValues" priority="20" dxfId="174">
      <formula>AND(COUNTIF($C$92:$C$92,C92)&gt;1,NOT(ISBLANK(C92)))</formula>
    </cfRule>
  </conditionalFormatting>
  <conditionalFormatting sqref="C46">
    <cfRule type="duplicateValues" priority="17" dxfId="174">
      <formula>AND(COUNTIF($C$46:$C$46,C46)&gt;1,NOT(ISBLANK(C46)))</formula>
    </cfRule>
  </conditionalFormatting>
  <conditionalFormatting sqref="C46">
    <cfRule type="duplicateValues" priority="18" dxfId="174">
      <formula>AND(COUNTIF($C$46:$C$46,C46)&gt;1,NOT(ISBLANK(C46)))</formula>
    </cfRule>
  </conditionalFormatting>
  <conditionalFormatting sqref="C64">
    <cfRule type="duplicateValues" priority="15" dxfId="174">
      <formula>AND(COUNTIF($C$64:$C$64,C64)&gt;1,NOT(ISBLANK(C64)))</formula>
    </cfRule>
  </conditionalFormatting>
  <conditionalFormatting sqref="C64">
    <cfRule type="duplicateValues" priority="16" dxfId="174">
      <formula>AND(COUNTIF($C$64:$C$64,C64)&gt;1,NOT(ISBLANK(C64)))</formula>
    </cfRule>
  </conditionalFormatting>
  <conditionalFormatting sqref="C74">
    <cfRule type="duplicateValues" priority="13" dxfId="174">
      <formula>AND(COUNTIF($C$74:$C$74,C74)&gt;1,NOT(ISBLANK(C74)))</formula>
    </cfRule>
  </conditionalFormatting>
  <conditionalFormatting sqref="C74">
    <cfRule type="duplicateValues" priority="14" dxfId="174">
      <formula>AND(COUNTIF($C$74:$C$74,C74)&gt;1,NOT(ISBLANK(C74)))</formula>
    </cfRule>
  </conditionalFormatting>
  <conditionalFormatting sqref="C20">
    <cfRule type="duplicateValues" priority="12" dxfId="174">
      <formula>AND(COUNTIF($C$20:$C$20,C20)&gt;1,NOT(ISBLANK(C20)))</formula>
    </cfRule>
  </conditionalFormatting>
  <conditionalFormatting sqref="C30">
    <cfRule type="duplicateValues" priority="11" dxfId="174">
      <formula>AND(COUNTIF($C$30:$C$30,C30)&gt;1,NOT(ISBLANK(C30)))</formula>
    </cfRule>
  </conditionalFormatting>
  <conditionalFormatting sqref="C24">
    <cfRule type="duplicateValues" priority="10" dxfId="174">
      <formula>AND(COUNTIF($C$24:$C$24,C24)&gt;1,NOT(ISBLANK(C24)))</formula>
    </cfRule>
  </conditionalFormatting>
  <conditionalFormatting sqref="C15:C19 C21:C23 C25">
    <cfRule type="duplicateValues" priority="42" dxfId="174">
      <formula>AND(COUNTIF($C$15:$C$19,C15)+COUNTIF($C$21:$C$23,C15)+COUNTIF($C$25:$C$25,C15)&gt;1,NOT(ISBLANK(C15)))</formula>
    </cfRule>
  </conditionalFormatting>
  <conditionalFormatting sqref="C27:C28">
    <cfRule type="duplicateValues" priority="43" dxfId="174">
      <formula>AND(COUNTIF($C$27:$C$28,C27)&gt;1,NOT(ISBLANK(C27)))</formula>
    </cfRule>
  </conditionalFormatting>
  <conditionalFormatting sqref="C31">
    <cfRule type="duplicateValues" priority="44" dxfId="174">
      <formula>AND(COUNTIF($C$31:$C$31,C31)&gt;1,NOT(ISBLANK(C31)))</formula>
    </cfRule>
  </conditionalFormatting>
  <conditionalFormatting sqref="C37:C39">
    <cfRule type="duplicateValues" priority="45" dxfId="174">
      <formula>AND(COUNTIF($C$37:$C$39,C37)&gt;1,NOT(ISBLANK(C37)))</formula>
    </cfRule>
  </conditionalFormatting>
  <conditionalFormatting sqref="C50">
    <cfRule type="duplicateValues" priority="46" dxfId="174">
      <formula>AND(COUNTIF($C$50:$C$50,C50)&gt;1,NOT(ISBLANK(C50)))</formula>
    </cfRule>
  </conditionalFormatting>
  <conditionalFormatting sqref="C54">
    <cfRule type="duplicateValues" priority="8" dxfId="174">
      <formula>AND(COUNTIF($C$54:$C$54,C54)&gt;1,NOT(ISBLANK(C54)))</formula>
    </cfRule>
  </conditionalFormatting>
  <conditionalFormatting sqref="C54">
    <cfRule type="duplicateValues" priority="9" dxfId="174">
      <formula>AND(COUNTIF($C$54:$C$54,C54)&gt;1,NOT(ISBLANK(C54)))</formula>
    </cfRule>
  </conditionalFormatting>
  <conditionalFormatting sqref="C53">
    <cfRule type="duplicateValues" priority="6" dxfId="174">
      <formula>AND(COUNTIF($C$53:$C$53,C53)&gt;1,NOT(ISBLANK(C53)))</formula>
    </cfRule>
  </conditionalFormatting>
  <conditionalFormatting sqref="C53">
    <cfRule type="duplicateValues" priority="7" dxfId="174">
      <formula>AND(COUNTIF($C$53:$C$53,C53)&gt;1,NOT(ISBLANK(C53)))</formula>
    </cfRule>
  </conditionalFormatting>
  <conditionalFormatting sqref="C57">
    <cfRule type="duplicateValues" priority="4" dxfId="174">
      <formula>AND(COUNTIF($C$57:$C$57,C57)&gt;1,NOT(ISBLANK(C57)))</formula>
    </cfRule>
  </conditionalFormatting>
  <conditionalFormatting sqref="C57">
    <cfRule type="duplicateValues" priority="5" dxfId="174">
      <formula>AND(COUNTIF($C$57:$C$57,C57)&gt;1,NOT(ISBLANK(C57)))</formula>
    </cfRule>
  </conditionalFormatting>
  <conditionalFormatting sqref="C67:C68">
    <cfRule type="duplicateValues" priority="47" dxfId="174">
      <formula>AND(COUNTIF($C$67:$C$68,C67)&gt;1,NOT(ISBLANK(C67)))</formula>
    </cfRule>
  </conditionalFormatting>
  <conditionalFormatting sqref="C70">
    <cfRule type="duplicateValues" priority="48" dxfId="174">
      <formula>AND(COUNTIF($C$70:$C$70,C70)&gt;1,NOT(ISBLANK(C70)))</formula>
    </cfRule>
  </conditionalFormatting>
  <conditionalFormatting sqref="C71 C67:C68">
    <cfRule type="duplicateValues" priority="49" dxfId="174">
      <formula>AND(COUNTIF($C$71:$C$71,C67)+COUNTIF($C$67:$C$68,C67)&gt;1,NOT(ISBLANK(C67)))</formula>
    </cfRule>
  </conditionalFormatting>
  <conditionalFormatting sqref="C73">
    <cfRule type="duplicateValues" priority="50" dxfId="174">
      <formula>AND(COUNTIF($C$73:$C$73,C73)&gt;1,NOT(ISBLANK(C73)))</formula>
    </cfRule>
  </conditionalFormatting>
  <conditionalFormatting sqref="C78">
    <cfRule type="duplicateValues" priority="2" dxfId="174">
      <formula>AND(COUNTIF($C$78:$C$78,C78)&gt;1,NOT(ISBLANK(C78)))</formula>
    </cfRule>
  </conditionalFormatting>
  <conditionalFormatting sqref="C78">
    <cfRule type="duplicateValues" priority="3" dxfId="174">
      <formula>AND(COUNTIF($C$78:$C$78,C78)&gt;1,NOT(ISBLANK(C78)))</formula>
    </cfRule>
  </conditionalFormatting>
  <conditionalFormatting sqref="C84:C85">
    <cfRule type="duplicateValues" priority="51" dxfId="174">
      <formula>AND(COUNTIF($C$84:$C$85,C84)&gt;1,NOT(ISBLANK(C84)))</formula>
    </cfRule>
  </conditionalFormatting>
  <conditionalFormatting sqref="C88:C89">
    <cfRule type="duplicateValues" priority="52" dxfId="174">
      <formula>AND(COUNTIF($C$88:$C$89,C88)&gt;1,NOT(ISBLANK(C88)))</formula>
    </cfRule>
  </conditionalFormatting>
  <conditionalFormatting sqref="C91">
    <cfRule type="duplicateValues" priority="53" dxfId="174">
      <formula>AND(COUNTIF($C$91:$C$91,C91)&gt;1,NOT(ISBLANK(C91)))</formula>
    </cfRule>
  </conditionalFormatting>
  <conditionalFormatting sqref="C94:C95">
    <cfRule type="duplicateValues" priority="54" dxfId="174">
      <formula>AND(COUNTIF($C$94:$C$95,C94)&gt;1,NOT(ISBLANK(C94)))</formula>
    </cfRule>
  </conditionalFormatting>
  <conditionalFormatting sqref="C97:C98">
    <cfRule type="duplicateValues" priority="55" dxfId="174">
      <formula>AND(COUNTIF($C$97:$C$98,C97)&gt;1,NOT(ISBLANK(C97)))</formula>
    </cfRule>
  </conditionalFormatting>
  <conditionalFormatting sqref="C34">
    <cfRule type="duplicateValues" priority="1" dxfId="174">
      <formula>AND(COUNTIF($C$34:$C$34,C34)&gt;1,NOT(ISBLANK(C34)))</formula>
    </cfRule>
  </conditionalFormatting>
  <dataValidations count="1">
    <dataValidation type="list" allowBlank="1" showInputMessage="1" showErrorMessage="1" sqref="BD23:BE24 BD15:BE18 R15:S18 AK30:AL30 AK15:AL24 BD34:BE34 AK37:AL39 BD40:BE40">
      <formula1>способ</formula1>
    </dataValidation>
  </dataValidations>
  <printOptions/>
  <pageMargins left="0" right="0" top="0" bottom="0" header="0.31496062992125984" footer="0.31496062992125984"/>
  <pageSetup orientation="landscape" paperSize="9" scale="43" r:id="rId1"/>
  <colBreaks count="2" manualBreakCount="2">
    <brk id="23" max="65535" man="1"/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7">
      <selection activeCell="CF14" sqref="CF14:DA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2" t="s">
        <v>0</v>
      </c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</row>
    <row r="3" ht="3" customHeight="1"/>
    <row r="4" spans="69:105" s="3" customFormat="1" ht="24" customHeight="1">
      <c r="BQ4" s="10" t="s">
        <v>1</v>
      </c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6" ht="15">
      <c r="DA6" s="5"/>
    </row>
    <row r="8" spans="1:105" s="4" customFormat="1" ht="16.5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4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1:105" s="4" customFormat="1" ht="18.75" customHeight="1">
      <c r="A11" s="14" t="s">
        <v>807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  <row r="12" spans="1:105" s="4" customFormat="1" ht="23.25" customHeight="1">
      <c r="A12" s="14" t="s">
        <v>60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4" spans="1:105" s="2" customFormat="1" ht="93" customHeight="1">
      <c r="A14" s="400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1" t="s">
        <v>10</v>
      </c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01"/>
      <c r="BX14" s="401"/>
      <c r="BY14" s="401"/>
      <c r="BZ14" s="401"/>
      <c r="CA14" s="401"/>
      <c r="CB14" s="401"/>
      <c r="CC14" s="401"/>
      <c r="CD14" s="401"/>
      <c r="CE14" s="401"/>
      <c r="CF14" s="401" t="s">
        <v>9</v>
      </c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</row>
    <row r="15" spans="1:105" s="2" customFormat="1" ht="27" customHeight="1">
      <c r="A15" s="402" t="s">
        <v>3</v>
      </c>
      <c r="B15" s="402"/>
      <c r="C15" s="402"/>
      <c r="D15" s="402"/>
      <c r="E15" s="402"/>
      <c r="F15" s="403" t="s">
        <v>11</v>
      </c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</row>
    <row r="16" spans="1:105" s="2" customFormat="1" ht="40.5" customHeight="1">
      <c r="A16" s="402" t="s">
        <v>4</v>
      </c>
      <c r="B16" s="402"/>
      <c r="C16" s="402"/>
      <c r="D16" s="402"/>
      <c r="E16" s="402"/>
      <c r="F16" s="403" t="s">
        <v>13</v>
      </c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46">
        <f>39625.75/3</f>
        <v>13208.583333333334</v>
      </c>
      <c r="BK16" s="446"/>
      <c r="BL16" s="446"/>
      <c r="BM16" s="446"/>
      <c r="BN16" s="446"/>
      <c r="BO16" s="446"/>
      <c r="BP16" s="446"/>
      <c r="BQ16" s="446"/>
      <c r="BR16" s="446"/>
      <c r="BS16" s="446"/>
      <c r="BT16" s="446"/>
      <c r="BU16" s="446"/>
      <c r="BV16" s="446"/>
      <c r="BW16" s="446"/>
      <c r="BX16" s="446"/>
      <c r="BY16" s="446"/>
      <c r="BZ16" s="446"/>
      <c r="CA16" s="446"/>
      <c r="CB16" s="446"/>
      <c r="CC16" s="446"/>
      <c r="CD16" s="446"/>
      <c r="CE16" s="446"/>
      <c r="CF16" s="447">
        <f>17450/3</f>
        <v>5816.666666666667</v>
      </c>
      <c r="CG16" s="447"/>
      <c r="CH16" s="447"/>
      <c r="CI16" s="447"/>
      <c r="CJ16" s="447"/>
      <c r="CK16" s="447"/>
      <c r="CL16" s="447"/>
      <c r="CM16" s="447"/>
      <c r="CN16" s="447"/>
      <c r="CO16" s="447"/>
      <c r="CP16" s="447"/>
      <c r="CQ16" s="447"/>
      <c r="CR16" s="447"/>
      <c r="CS16" s="447"/>
      <c r="CT16" s="447"/>
      <c r="CU16" s="447"/>
      <c r="CV16" s="447"/>
      <c r="CW16" s="447"/>
      <c r="CX16" s="447"/>
      <c r="CY16" s="447"/>
      <c r="CZ16" s="447"/>
      <c r="DA16" s="447"/>
    </row>
    <row r="17" spans="1:105" s="2" customFormat="1" ht="27" customHeight="1">
      <c r="A17" s="402" t="s">
        <v>5</v>
      </c>
      <c r="B17" s="402"/>
      <c r="C17" s="402"/>
      <c r="D17" s="402"/>
      <c r="E17" s="402"/>
      <c r="F17" s="403" t="s">
        <v>12</v>
      </c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</row>
    <row r="21" spans="2:102" s="9" customFormat="1" ht="13.5">
      <c r="B21" s="11" t="s">
        <v>54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</row>
    <row r="22" s="9" customFormat="1" ht="13.5"/>
    <row r="23" s="9" customFormat="1" ht="13.5">
      <c r="A23" s="9" t="s">
        <v>52</v>
      </c>
    </row>
    <row r="24" s="9" customFormat="1" ht="13.5">
      <c r="A24" s="9" t="s">
        <v>53</v>
      </c>
    </row>
  </sheetData>
  <sheetProtection/>
  <mergeCells count="22">
    <mergeCell ref="A11:DA11"/>
    <mergeCell ref="A12:DA12"/>
    <mergeCell ref="A17:E17"/>
    <mergeCell ref="F17:BI17"/>
    <mergeCell ref="BJ17:CE17"/>
    <mergeCell ref="B21:CX21"/>
    <mergeCell ref="BQ2:DA2"/>
    <mergeCell ref="A8:DA8"/>
    <mergeCell ref="A10:DA10"/>
    <mergeCell ref="CF17:DA17"/>
    <mergeCell ref="CF14:DA14"/>
    <mergeCell ref="BJ14:CE14"/>
    <mergeCell ref="BQ4:DA4"/>
    <mergeCell ref="CF15:DA15"/>
    <mergeCell ref="A16:E16"/>
    <mergeCell ref="F16:BI16"/>
    <mergeCell ref="BJ15:CE15"/>
    <mergeCell ref="BJ16:CE16"/>
    <mergeCell ref="CF16:DA16"/>
    <mergeCell ref="A14:BI14"/>
    <mergeCell ref="A15:E15"/>
    <mergeCell ref="F15:BI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0"/>
  <sheetViews>
    <sheetView zoomScalePageLayoutView="0" workbookViewId="0" topLeftCell="A11">
      <selection activeCell="BJ20" sqref="BJ20:CE2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1:69" s="2" customFormat="1" ht="12.75">
      <c r="A1" s="2" t="s">
        <v>24</v>
      </c>
      <c r="BQ1" s="2" t="s">
        <v>14</v>
      </c>
    </row>
    <row r="2" spans="69:105" s="2" customFormat="1" ht="39.75" customHeight="1">
      <c r="BQ2" s="12" t="s">
        <v>0</v>
      </c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</row>
    <row r="3" ht="3" customHeight="1"/>
    <row r="4" spans="69:105" s="3" customFormat="1" ht="24" customHeight="1">
      <c r="BQ4" s="10" t="s">
        <v>1</v>
      </c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6" ht="15">
      <c r="DA6" s="5" t="s">
        <v>2</v>
      </c>
    </row>
    <row r="8" spans="1:105" s="4" customFormat="1" ht="16.5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4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1:105" s="4" customFormat="1" ht="18.75" customHeight="1">
      <c r="A11" s="14" t="s">
        <v>807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  <row r="12" spans="1:105" s="4" customFormat="1" ht="23.25" customHeight="1">
      <c r="A12" s="14" t="s">
        <v>60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4" spans="1:105" s="2" customFormat="1" ht="145.5" customHeight="1">
      <c r="A14" s="400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1" t="s">
        <v>16</v>
      </c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  <c r="BH14" s="401"/>
      <c r="BI14" s="401"/>
      <c r="BJ14" s="401" t="s">
        <v>17</v>
      </c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01"/>
      <c r="BX14" s="401"/>
      <c r="BY14" s="401"/>
      <c r="BZ14" s="401"/>
      <c r="CA14" s="401"/>
      <c r="CB14" s="401"/>
      <c r="CC14" s="401"/>
      <c r="CD14" s="401"/>
      <c r="CE14" s="401"/>
      <c r="CF14" s="401" t="s">
        <v>18</v>
      </c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</row>
    <row r="15" spans="1:105" s="2" customFormat="1" ht="27.75" customHeight="1">
      <c r="A15" s="402" t="s">
        <v>3</v>
      </c>
      <c r="B15" s="402"/>
      <c r="C15" s="402"/>
      <c r="D15" s="402"/>
      <c r="E15" s="402"/>
      <c r="F15" s="403" t="s">
        <v>19</v>
      </c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</row>
    <row r="16" spans="1:105" s="2" customFormat="1" ht="15" customHeight="1">
      <c r="A16" s="402"/>
      <c r="B16" s="402"/>
      <c r="C16" s="402"/>
      <c r="D16" s="402"/>
      <c r="E16" s="402"/>
      <c r="F16" s="403" t="s">
        <v>20</v>
      </c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18">
        <f>4788.171/3</f>
        <v>1596.057</v>
      </c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04">
        <f>4.617/3</f>
        <v>1.539</v>
      </c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21">
        <f>3567/3</f>
        <v>1189</v>
      </c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1"/>
      <c r="CV16" s="421"/>
      <c r="CW16" s="421"/>
      <c r="CX16" s="421"/>
      <c r="CY16" s="421"/>
      <c r="CZ16" s="421"/>
      <c r="DA16" s="421"/>
    </row>
    <row r="17" spans="1:105" s="2" customFormat="1" ht="15" customHeight="1">
      <c r="A17" s="402"/>
      <c r="B17" s="402"/>
      <c r="C17" s="402"/>
      <c r="D17" s="402"/>
      <c r="E17" s="402"/>
      <c r="F17" s="403" t="s">
        <v>21</v>
      </c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18">
        <f>13855.79/3</f>
        <v>4618.596666666667</v>
      </c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04">
        <f>6.222/3</f>
        <v>2.0740000000000003</v>
      </c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21">
        <f>5705/3</f>
        <v>1901.6666666666667</v>
      </c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1"/>
      <c r="CR17" s="421"/>
      <c r="CS17" s="421"/>
      <c r="CT17" s="421"/>
      <c r="CU17" s="421"/>
      <c r="CV17" s="421"/>
      <c r="CW17" s="421"/>
      <c r="CX17" s="421"/>
      <c r="CY17" s="421"/>
      <c r="CZ17" s="421"/>
      <c r="DA17" s="421"/>
    </row>
    <row r="18" spans="1:105" s="2" customFormat="1" ht="15" customHeight="1">
      <c r="A18" s="402"/>
      <c r="B18" s="402"/>
      <c r="C18" s="402"/>
      <c r="D18" s="402"/>
      <c r="E18" s="402"/>
      <c r="F18" s="403" t="s">
        <v>22</v>
      </c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21"/>
      <c r="CG18" s="421"/>
      <c r="CH18" s="421"/>
      <c r="CI18" s="421"/>
      <c r="CJ18" s="421"/>
      <c r="CK18" s="421"/>
      <c r="CL18" s="421"/>
      <c r="CM18" s="421"/>
      <c r="CN18" s="421"/>
      <c r="CO18" s="421"/>
      <c r="CP18" s="421"/>
      <c r="CQ18" s="421"/>
      <c r="CR18" s="421"/>
      <c r="CS18" s="421"/>
      <c r="CT18" s="421"/>
      <c r="CU18" s="421"/>
      <c r="CV18" s="421"/>
      <c r="CW18" s="421"/>
      <c r="CX18" s="421"/>
      <c r="CY18" s="421"/>
      <c r="CZ18" s="421"/>
      <c r="DA18" s="421"/>
    </row>
    <row r="19" spans="1:105" s="2" customFormat="1" ht="27.75" customHeight="1">
      <c r="A19" s="402" t="s">
        <v>4</v>
      </c>
      <c r="B19" s="402"/>
      <c r="C19" s="402"/>
      <c r="D19" s="402"/>
      <c r="E19" s="402"/>
      <c r="F19" s="403" t="s">
        <v>23</v>
      </c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8"/>
      <c r="BF19" s="418"/>
      <c r="BG19" s="418"/>
      <c r="BH19" s="418"/>
      <c r="BI19" s="418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21"/>
      <c r="CG19" s="421"/>
      <c r="CH19" s="421"/>
      <c r="CI19" s="421"/>
      <c r="CJ19" s="421"/>
      <c r="CK19" s="421"/>
      <c r="CL19" s="421"/>
      <c r="CM19" s="421"/>
      <c r="CN19" s="421"/>
      <c r="CO19" s="421"/>
      <c r="CP19" s="421"/>
      <c r="CQ19" s="421"/>
      <c r="CR19" s="421"/>
      <c r="CS19" s="421"/>
      <c r="CT19" s="421"/>
      <c r="CU19" s="421"/>
      <c r="CV19" s="421"/>
      <c r="CW19" s="421"/>
      <c r="CX19" s="421"/>
      <c r="CY19" s="421"/>
      <c r="CZ19" s="421"/>
      <c r="DA19" s="421"/>
    </row>
    <row r="20" spans="1:105" s="2" customFormat="1" ht="15" customHeight="1">
      <c r="A20" s="402"/>
      <c r="B20" s="402"/>
      <c r="C20" s="402"/>
      <c r="D20" s="402"/>
      <c r="E20" s="402"/>
      <c r="F20" s="403" t="s">
        <v>20</v>
      </c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18">
        <f>19630.45/3</f>
        <v>6543.483333333334</v>
      </c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20">
        <f>31.854/3</f>
        <v>10.618</v>
      </c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1">
        <f>5178/3</f>
        <v>1726</v>
      </c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1"/>
      <c r="CT20" s="421"/>
      <c r="CU20" s="421"/>
      <c r="CV20" s="421"/>
      <c r="CW20" s="421"/>
      <c r="CX20" s="421"/>
      <c r="CY20" s="421"/>
      <c r="CZ20" s="421"/>
      <c r="DA20" s="421"/>
    </row>
    <row r="21" spans="1:105" s="2" customFormat="1" ht="15" customHeight="1">
      <c r="A21" s="402"/>
      <c r="B21" s="402"/>
      <c r="C21" s="402"/>
      <c r="D21" s="402"/>
      <c r="E21" s="402"/>
      <c r="F21" s="403" t="s">
        <v>21</v>
      </c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18">
        <f>8170.379/3</f>
        <v>2723.4596666666666</v>
      </c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9">
        <f>4.051/3</f>
        <v>1.3503333333333334</v>
      </c>
      <c r="BK21" s="419"/>
      <c r="BL21" s="419"/>
      <c r="BM21" s="419"/>
      <c r="BN21" s="419"/>
      <c r="BO21" s="419"/>
      <c r="BP21" s="419"/>
      <c r="BQ21" s="419"/>
      <c r="BR21" s="419"/>
      <c r="BS21" s="419"/>
      <c r="BT21" s="419"/>
      <c r="BU21" s="419"/>
      <c r="BV21" s="419"/>
      <c r="BW21" s="419"/>
      <c r="BX21" s="419"/>
      <c r="BY21" s="419"/>
      <c r="BZ21" s="419"/>
      <c r="CA21" s="419"/>
      <c r="CB21" s="419"/>
      <c r="CC21" s="419"/>
      <c r="CD21" s="419"/>
      <c r="CE21" s="419"/>
      <c r="CF21" s="421">
        <f>2278/3</f>
        <v>759.3333333333334</v>
      </c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1"/>
      <c r="CR21" s="421"/>
      <c r="CS21" s="421"/>
      <c r="CT21" s="421"/>
      <c r="CU21" s="421"/>
      <c r="CV21" s="421"/>
      <c r="CW21" s="421"/>
      <c r="CX21" s="421"/>
      <c r="CY21" s="421"/>
      <c r="CZ21" s="421"/>
      <c r="DA21" s="421"/>
    </row>
    <row r="22" spans="1:105" s="2" customFormat="1" ht="15" customHeight="1">
      <c r="A22" s="402"/>
      <c r="B22" s="402"/>
      <c r="C22" s="402"/>
      <c r="D22" s="402"/>
      <c r="E22" s="402"/>
      <c r="F22" s="403" t="s">
        <v>22</v>
      </c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</row>
    <row r="27" spans="2:102" s="9" customFormat="1" ht="13.5">
      <c r="B27" s="11" t="s">
        <v>51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</row>
    <row r="28" s="9" customFormat="1" ht="13.5"/>
    <row r="29" s="9" customFormat="1" ht="13.5">
      <c r="A29" s="9" t="s">
        <v>52</v>
      </c>
    </row>
    <row r="30" s="9" customFormat="1" ht="13.5">
      <c r="A30" s="9" t="s">
        <v>53</v>
      </c>
    </row>
  </sheetData>
  <sheetProtection/>
  <mergeCells count="51">
    <mergeCell ref="A12:DA12"/>
    <mergeCell ref="B27:CX27"/>
    <mergeCell ref="A21:E21"/>
    <mergeCell ref="F21:AM21"/>
    <mergeCell ref="AN21:BI21"/>
    <mergeCell ref="BJ21:CE21"/>
    <mergeCell ref="CF21:DA21"/>
    <mergeCell ref="A22:E22"/>
    <mergeCell ref="F22:AM22"/>
    <mergeCell ref="AN22:BI22"/>
    <mergeCell ref="BJ22:CE22"/>
    <mergeCell ref="CF22:DA22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BQ2:DA2"/>
    <mergeCell ref="BQ4:DA4"/>
    <mergeCell ref="A8:DA8"/>
    <mergeCell ref="A10:DA10"/>
    <mergeCell ref="A14:AM14"/>
    <mergeCell ref="AN14:BI14"/>
    <mergeCell ref="BJ14:CE14"/>
    <mergeCell ref="CF14:DA14"/>
    <mergeCell ref="A11:DA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6"/>
  <sheetViews>
    <sheetView zoomScalePageLayoutView="0" workbookViewId="0" topLeftCell="A7">
      <selection activeCell="F17" sqref="F17:AG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25</v>
      </c>
    </row>
    <row r="2" spans="69:105" s="2" customFormat="1" ht="39.75" customHeight="1">
      <c r="BQ2" s="12" t="s">
        <v>0</v>
      </c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</row>
    <row r="3" ht="3" customHeight="1"/>
    <row r="4" spans="69:105" s="3" customFormat="1" ht="24" customHeight="1">
      <c r="BQ4" s="10" t="s">
        <v>1</v>
      </c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6" ht="15">
      <c r="DA6" s="5" t="s">
        <v>2</v>
      </c>
    </row>
    <row r="8" spans="1:105" s="4" customFormat="1" ht="16.5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4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1:105" s="4" customFormat="1" ht="18.75" customHeight="1">
      <c r="A11" s="407" t="s">
        <v>809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/>
      <c r="CP11" s="408"/>
      <c r="CQ11" s="408"/>
      <c r="CR11" s="408"/>
      <c r="CS11" s="408"/>
      <c r="CT11" s="408"/>
      <c r="CU11" s="408"/>
      <c r="CV11" s="408"/>
      <c r="CW11" s="408"/>
      <c r="CX11" s="408"/>
      <c r="CY11" s="408"/>
      <c r="CZ11" s="408"/>
      <c r="DA11" s="408"/>
    </row>
    <row r="12" spans="1:105" s="4" customFormat="1" ht="23.25" customHeight="1">
      <c r="A12" s="407" t="s">
        <v>60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8"/>
      <c r="CO12" s="408"/>
      <c r="CP12" s="408"/>
      <c r="CQ12" s="408"/>
      <c r="CR12" s="408"/>
      <c r="CS12" s="408"/>
      <c r="CT12" s="408"/>
      <c r="CU12" s="408"/>
      <c r="CV12" s="408"/>
      <c r="CW12" s="408"/>
      <c r="CX12" s="408"/>
      <c r="CY12" s="408"/>
      <c r="CZ12" s="408"/>
      <c r="DA12" s="408"/>
    </row>
    <row r="14" spans="1:105" s="2" customFormat="1" ht="42" customHeight="1">
      <c r="A14" s="401" t="s">
        <v>27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 t="s">
        <v>28</v>
      </c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 t="s">
        <v>29</v>
      </c>
      <c r="BG14" s="401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01"/>
      <c r="BX14" s="401"/>
      <c r="BY14" s="401"/>
      <c r="BZ14" s="401"/>
      <c r="CA14" s="401"/>
      <c r="CB14" s="401"/>
      <c r="CC14" s="401"/>
      <c r="CD14" s="401" t="s">
        <v>30</v>
      </c>
      <c r="CE14" s="401"/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</row>
    <row r="15" spans="1:105" s="2" customFormat="1" ht="30" customHeight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 t="s">
        <v>20</v>
      </c>
      <c r="AI15" s="401"/>
      <c r="AJ15" s="401"/>
      <c r="AK15" s="401"/>
      <c r="AL15" s="401"/>
      <c r="AM15" s="401"/>
      <c r="AN15" s="401"/>
      <c r="AO15" s="401"/>
      <c r="AP15" s="401" t="s">
        <v>31</v>
      </c>
      <c r="AQ15" s="401"/>
      <c r="AR15" s="401"/>
      <c r="AS15" s="401"/>
      <c r="AT15" s="401"/>
      <c r="AU15" s="401"/>
      <c r="AV15" s="401"/>
      <c r="AW15" s="401"/>
      <c r="AX15" s="401" t="s">
        <v>32</v>
      </c>
      <c r="AY15" s="401"/>
      <c r="AZ15" s="401"/>
      <c r="BA15" s="401"/>
      <c r="BB15" s="401"/>
      <c r="BC15" s="401"/>
      <c r="BD15" s="401"/>
      <c r="BE15" s="401"/>
      <c r="BF15" s="401" t="s">
        <v>20</v>
      </c>
      <c r="BG15" s="401"/>
      <c r="BH15" s="401"/>
      <c r="BI15" s="401"/>
      <c r="BJ15" s="401"/>
      <c r="BK15" s="401"/>
      <c r="BL15" s="401"/>
      <c r="BM15" s="401"/>
      <c r="BN15" s="401" t="s">
        <v>31</v>
      </c>
      <c r="BO15" s="401"/>
      <c r="BP15" s="401"/>
      <c r="BQ15" s="401"/>
      <c r="BR15" s="401"/>
      <c r="BS15" s="401"/>
      <c r="BT15" s="401"/>
      <c r="BU15" s="401"/>
      <c r="BV15" s="401" t="s">
        <v>32</v>
      </c>
      <c r="BW15" s="401"/>
      <c r="BX15" s="401"/>
      <c r="BY15" s="401"/>
      <c r="BZ15" s="401"/>
      <c r="CA15" s="401"/>
      <c r="CB15" s="401"/>
      <c r="CC15" s="401"/>
      <c r="CD15" s="401" t="s">
        <v>20</v>
      </c>
      <c r="CE15" s="401"/>
      <c r="CF15" s="401"/>
      <c r="CG15" s="401"/>
      <c r="CH15" s="401"/>
      <c r="CI15" s="401"/>
      <c r="CJ15" s="401"/>
      <c r="CK15" s="401"/>
      <c r="CL15" s="401" t="s">
        <v>31</v>
      </c>
      <c r="CM15" s="401"/>
      <c r="CN15" s="401"/>
      <c r="CO15" s="401"/>
      <c r="CP15" s="401"/>
      <c r="CQ15" s="401"/>
      <c r="CR15" s="401"/>
      <c r="CS15" s="401"/>
      <c r="CT15" s="401" t="s">
        <v>32</v>
      </c>
      <c r="CU15" s="401"/>
      <c r="CV15" s="401"/>
      <c r="CW15" s="401"/>
      <c r="CX15" s="401"/>
      <c r="CY15" s="401"/>
      <c r="CZ15" s="401"/>
      <c r="DA15" s="401"/>
    </row>
    <row r="16" spans="1:105" s="2" customFormat="1" ht="15" customHeight="1">
      <c r="A16" s="402" t="s">
        <v>3</v>
      </c>
      <c r="B16" s="402"/>
      <c r="C16" s="402"/>
      <c r="D16" s="402"/>
      <c r="E16" s="402"/>
      <c r="F16" s="403" t="s">
        <v>33</v>
      </c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5">
        <v>403</v>
      </c>
      <c r="AI16" s="405"/>
      <c r="AJ16" s="405"/>
      <c r="AK16" s="405"/>
      <c r="AL16" s="405"/>
      <c r="AM16" s="405"/>
      <c r="AN16" s="405"/>
      <c r="AO16" s="405"/>
      <c r="AP16" s="405">
        <v>0</v>
      </c>
      <c r="AQ16" s="405"/>
      <c r="AR16" s="405"/>
      <c r="AS16" s="405"/>
      <c r="AT16" s="405"/>
      <c r="AU16" s="405"/>
      <c r="AV16" s="405"/>
      <c r="AW16" s="405"/>
      <c r="AX16" s="405">
        <v>0</v>
      </c>
      <c r="AY16" s="405"/>
      <c r="AZ16" s="405"/>
      <c r="BA16" s="405"/>
      <c r="BB16" s="405"/>
      <c r="BC16" s="405"/>
      <c r="BD16" s="405"/>
      <c r="BE16" s="405"/>
      <c r="BF16" s="405">
        <v>5591</v>
      </c>
      <c r="BG16" s="405"/>
      <c r="BH16" s="405"/>
      <c r="BI16" s="405"/>
      <c r="BJ16" s="405"/>
      <c r="BK16" s="405"/>
      <c r="BL16" s="405"/>
      <c r="BM16" s="405"/>
      <c r="BN16" s="405">
        <v>0</v>
      </c>
      <c r="BO16" s="405"/>
      <c r="BP16" s="405"/>
      <c r="BQ16" s="405"/>
      <c r="BR16" s="405"/>
      <c r="BS16" s="405"/>
      <c r="BT16" s="405"/>
      <c r="BU16" s="405"/>
      <c r="BV16" s="405">
        <v>0</v>
      </c>
      <c r="BW16" s="405"/>
      <c r="BX16" s="405"/>
      <c r="BY16" s="405"/>
      <c r="BZ16" s="405"/>
      <c r="CA16" s="405"/>
      <c r="CB16" s="405"/>
      <c r="CC16" s="405"/>
      <c r="CD16" s="405">
        <v>1056</v>
      </c>
      <c r="CE16" s="405"/>
      <c r="CF16" s="405"/>
      <c r="CG16" s="405"/>
      <c r="CH16" s="405"/>
      <c r="CI16" s="405"/>
      <c r="CJ16" s="405"/>
      <c r="CK16" s="405"/>
      <c r="CL16" s="405">
        <v>0</v>
      </c>
      <c r="CM16" s="405"/>
      <c r="CN16" s="405"/>
      <c r="CO16" s="405"/>
      <c r="CP16" s="405"/>
      <c r="CQ16" s="405"/>
      <c r="CR16" s="405"/>
      <c r="CS16" s="405"/>
      <c r="CT16" s="405">
        <v>0</v>
      </c>
      <c r="CU16" s="405"/>
      <c r="CV16" s="405"/>
      <c r="CW16" s="405"/>
      <c r="CX16" s="405"/>
      <c r="CY16" s="405"/>
      <c r="CZ16" s="405"/>
      <c r="DA16" s="405"/>
    </row>
    <row r="17" spans="1:105" s="2" customFormat="1" ht="27.75" customHeight="1">
      <c r="A17" s="402"/>
      <c r="B17" s="402"/>
      <c r="C17" s="402"/>
      <c r="D17" s="402"/>
      <c r="E17" s="402"/>
      <c r="F17" s="406" t="s">
        <v>34</v>
      </c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5">
        <v>361</v>
      </c>
      <c r="AI17" s="405"/>
      <c r="AJ17" s="405"/>
      <c r="AK17" s="405"/>
      <c r="AL17" s="405"/>
      <c r="AM17" s="405"/>
      <c r="AN17" s="405"/>
      <c r="AO17" s="405"/>
      <c r="AP17" s="405">
        <v>0</v>
      </c>
      <c r="AQ17" s="405"/>
      <c r="AR17" s="405"/>
      <c r="AS17" s="405"/>
      <c r="AT17" s="405"/>
      <c r="AU17" s="405"/>
      <c r="AV17" s="405"/>
      <c r="AW17" s="405"/>
      <c r="AX17" s="405">
        <v>0</v>
      </c>
      <c r="AY17" s="405"/>
      <c r="AZ17" s="405"/>
      <c r="BA17" s="405"/>
      <c r="BB17" s="405"/>
      <c r="BC17" s="405"/>
      <c r="BD17" s="405"/>
      <c r="BE17" s="405"/>
      <c r="BF17" s="405">
        <v>5052</v>
      </c>
      <c r="BG17" s="405"/>
      <c r="BH17" s="405"/>
      <c r="BI17" s="405"/>
      <c r="BJ17" s="405"/>
      <c r="BK17" s="405"/>
      <c r="BL17" s="405"/>
      <c r="BM17" s="405"/>
      <c r="BN17" s="405">
        <v>0</v>
      </c>
      <c r="BO17" s="405"/>
      <c r="BP17" s="405"/>
      <c r="BQ17" s="405"/>
      <c r="BR17" s="405"/>
      <c r="BS17" s="405"/>
      <c r="BT17" s="405"/>
      <c r="BU17" s="405"/>
      <c r="BV17" s="405">
        <v>0</v>
      </c>
      <c r="BW17" s="405"/>
      <c r="BX17" s="405"/>
      <c r="BY17" s="405"/>
      <c r="BZ17" s="405"/>
      <c r="CA17" s="405"/>
      <c r="CB17" s="405"/>
      <c r="CC17" s="405"/>
      <c r="CD17" s="405">
        <v>166</v>
      </c>
      <c r="CE17" s="405"/>
      <c r="CF17" s="405"/>
      <c r="CG17" s="405"/>
      <c r="CH17" s="405"/>
      <c r="CI17" s="405"/>
      <c r="CJ17" s="405"/>
      <c r="CK17" s="405"/>
      <c r="CL17" s="405">
        <v>0</v>
      </c>
      <c r="CM17" s="405"/>
      <c r="CN17" s="405"/>
      <c r="CO17" s="405"/>
      <c r="CP17" s="405"/>
      <c r="CQ17" s="405"/>
      <c r="CR17" s="405"/>
      <c r="CS17" s="405"/>
      <c r="CT17" s="405">
        <v>0</v>
      </c>
      <c r="CU17" s="405"/>
      <c r="CV17" s="405"/>
      <c r="CW17" s="405"/>
      <c r="CX17" s="405"/>
      <c r="CY17" s="405"/>
      <c r="CZ17" s="405"/>
      <c r="DA17" s="405"/>
    </row>
    <row r="18" spans="1:105" s="2" customFormat="1" ht="15" customHeight="1">
      <c r="A18" s="402" t="s">
        <v>4</v>
      </c>
      <c r="B18" s="402"/>
      <c r="C18" s="402"/>
      <c r="D18" s="402"/>
      <c r="E18" s="402"/>
      <c r="F18" s="403" t="s">
        <v>35</v>
      </c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5">
        <v>96</v>
      </c>
      <c r="AI18" s="405"/>
      <c r="AJ18" s="405"/>
      <c r="AK18" s="405"/>
      <c r="AL18" s="405"/>
      <c r="AM18" s="405"/>
      <c r="AN18" s="405"/>
      <c r="AO18" s="405"/>
      <c r="AP18" s="405">
        <v>0</v>
      </c>
      <c r="AQ18" s="405"/>
      <c r="AR18" s="405"/>
      <c r="AS18" s="405"/>
      <c r="AT18" s="405"/>
      <c r="AU18" s="405"/>
      <c r="AV18" s="405"/>
      <c r="AW18" s="405"/>
      <c r="AX18" s="405">
        <v>0</v>
      </c>
      <c r="AY18" s="405"/>
      <c r="AZ18" s="405"/>
      <c r="BA18" s="405"/>
      <c r="BB18" s="405"/>
      <c r="BC18" s="405"/>
      <c r="BD18" s="405"/>
      <c r="BE18" s="405"/>
      <c r="BF18" s="405">
        <v>4712</v>
      </c>
      <c r="BG18" s="405"/>
      <c r="BH18" s="405"/>
      <c r="BI18" s="405"/>
      <c r="BJ18" s="405"/>
      <c r="BK18" s="405"/>
      <c r="BL18" s="405"/>
      <c r="BM18" s="405"/>
      <c r="BN18" s="405">
        <v>0</v>
      </c>
      <c r="BO18" s="405"/>
      <c r="BP18" s="405"/>
      <c r="BQ18" s="405"/>
      <c r="BR18" s="405"/>
      <c r="BS18" s="405"/>
      <c r="BT18" s="405"/>
      <c r="BU18" s="405"/>
      <c r="BV18" s="405">
        <v>0</v>
      </c>
      <c r="BW18" s="405"/>
      <c r="BX18" s="405"/>
      <c r="BY18" s="405"/>
      <c r="BZ18" s="405"/>
      <c r="CA18" s="405"/>
      <c r="CB18" s="405"/>
      <c r="CC18" s="405"/>
      <c r="CD18" s="405">
        <v>2718</v>
      </c>
      <c r="CE18" s="405"/>
      <c r="CF18" s="405"/>
      <c r="CG18" s="405"/>
      <c r="CH18" s="405"/>
      <c r="CI18" s="405"/>
      <c r="CJ18" s="405"/>
      <c r="CK18" s="405"/>
      <c r="CL18" s="405">
        <v>0</v>
      </c>
      <c r="CM18" s="405"/>
      <c r="CN18" s="405"/>
      <c r="CO18" s="405"/>
      <c r="CP18" s="405"/>
      <c r="CQ18" s="405"/>
      <c r="CR18" s="405"/>
      <c r="CS18" s="405"/>
      <c r="CT18" s="405">
        <v>0</v>
      </c>
      <c r="CU18" s="405"/>
      <c r="CV18" s="405"/>
      <c r="CW18" s="405"/>
      <c r="CX18" s="405"/>
      <c r="CY18" s="405"/>
      <c r="CZ18" s="405"/>
      <c r="DA18" s="405"/>
    </row>
    <row r="19" spans="1:105" s="2" customFormat="1" ht="27.75" customHeight="1">
      <c r="A19" s="402"/>
      <c r="B19" s="402"/>
      <c r="C19" s="402"/>
      <c r="D19" s="402"/>
      <c r="E19" s="402"/>
      <c r="F19" s="406" t="s">
        <v>36</v>
      </c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5">
        <v>0</v>
      </c>
      <c r="AI19" s="405"/>
      <c r="AJ19" s="405"/>
      <c r="AK19" s="405"/>
      <c r="AL19" s="405"/>
      <c r="AM19" s="405"/>
      <c r="AN19" s="405"/>
      <c r="AO19" s="405"/>
      <c r="AP19" s="405">
        <v>0</v>
      </c>
      <c r="AQ19" s="405"/>
      <c r="AR19" s="405"/>
      <c r="AS19" s="405"/>
      <c r="AT19" s="405"/>
      <c r="AU19" s="405"/>
      <c r="AV19" s="405"/>
      <c r="AW19" s="405"/>
      <c r="AX19" s="405">
        <v>0</v>
      </c>
      <c r="AY19" s="405"/>
      <c r="AZ19" s="405"/>
      <c r="BA19" s="405"/>
      <c r="BB19" s="405"/>
      <c r="BC19" s="405"/>
      <c r="BD19" s="405"/>
      <c r="BE19" s="405"/>
      <c r="BF19" s="405">
        <v>0</v>
      </c>
      <c r="BG19" s="405"/>
      <c r="BH19" s="405"/>
      <c r="BI19" s="405"/>
      <c r="BJ19" s="405"/>
      <c r="BK19" s="405"/>
      <c r="BL19" s="405"/>
      <c r="BM19" s="405"/>
      <c r="BN19" s="405">
        <v>0</v>
      </c>
      <c r="BO19" s="405"/>
      <c r="BP19" s="405"/>
      <c r="BQ19" s="405"/>
      <c r="BR19" s="405"/>
      <c r="BS19" s="405"/>
      <c r="BT19" s="405"/>
      <c r="BU19" s="405"/>
      <c r="BV19" s="405">
        <v>0</v>
      </c>
      <c r="BW19" s="405"/>
      <c r="BX19" s="405"/>
      <c r="BY19" s="405"/>
      <c r="BZ19" s="405"/>
      <c r="CA19" s="405"/>
      <c r="CB19" s="405"/>
      <c r="CC19" s="405"/>
      <c r="CD19" s="405">
        <v>0</v>
      </c>
      <c r="CE19" s="405"/>
      <c r="CF19" s="405"/>
      <c r="CG19" s="405"/>
      <c r="CH19" s="405"/>
      <c r="CI19" s="405"/>
      <c r="CJ19" s="405"/>
      <c r="CK19" s="405"/>
      <c r="CL19" s="405">
        <v>0</v>
      </c>
      <c r="CM19" s="405"/>
      <c r="CN19" s="405"/>
      <c r="CO19" s="405"/>
      <c r="CP19" s="405"/>
      <c r="CQ19" s="405"/>
      <c r="CR19" s="405"/>
      <c r="CS19" s="405"/>
      <c r="CT19" s="405">
        <v>0</v>
      </c>
      <c r="CU19" s="405"/>
      <c r="CV19" s="405"/>
      <c r="CW19" s="405"/>
      <c r="CX19" s="405"/>
      <c r="CY19" s="405"/>
      <c r="CZ19" s="405"/>
      <c r="DA19" s="405"/>
    </row>
    <row r="20" spans="1:105" s="2" customFormat="1" ht="15" customHeight="1">
      <c r="A20" s="402" t="s">
        <v>5</v>
      </c>
      <c r="B20" s="402"/>
      <c r="C20" s="402"/>
      <c r="D20" s="402"/>
      <c r="E20" s="402"/>
      <c r="F20" s="403" t="s">
        <v>37</v>
      </c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5">
        <v>4</v>
      </c>
      <c r="AI20" s="405"/>
      <c r="AJ20" s="405"/>
      <c r="AK20" s="405"/>
      <c r="AL20" s="405"/>
      <c r="AM20" s="405"/>
      <c r="AN20" s="405"/>
      <c r="AO20" s="405"/>
      <c r="AP20" s="405">
        <v>0</v>
      </c>
      <c r="AQ20" s="405"/>
      <c r="AR20" s="405"/>
      <c r="AS20" s="405"/>
      <c r="AT20" s="405"/>
      <c r="AU20" s="405"/>
      <c r="AV20" s="405"/>
      <c r="AW20" s="405"/>
      <c r="AX20" s="405">
        <v>0</v>
      </c>
      <c r="AY20" s="405"/>
      <c r="AZ20" s="405"/>
      <c r="BA20" s="405"/>
      <c r="BB20" s="405"/>
      <c r="BC20" s="405"/>
      <c r="BD20" s="405"/>
      <c r="BE20" s="405"/>
      <c r="BF20" s="405">
        <v>1091</v>
      </c>
      <c r="BG20" s="405"/>
      <c r="BH20" s="405"/>
      <c r="BI20" s="405"/>
      <c r="BJ20" s="405"/>
      <c r="BK20" s="405"/>
      <c r="BL20" s="405"/>
      <c r="BM20" s="405"/>
      <c r="BN20" s="405">
        <v>0</v>
      </c>
      <c r="BO20" s="405"/>
      <c r="BP20" s="405"/>
      <c r="BQ20" s="405"/>
      <c r="BR20" s="405"/>
      <c r="BS20" s="405"/>
      <c r="BT20" s="405"/>
      <c r="BU20" s="405"/>
      <c r="BV20" s="405">
        <v>0</v>
      </c>
      <c r="BW20" s="405"/>
      <c r="BX20" s="405"/>
      <c r="BY20" s="405"/>
      <c r="BZ20" s="405"/>
      <c r="CA20" s="405"/>
      <c r="CB20" s="405"/>
      <c r="CC20" s="405"/>
      <c r="CD20" s="405">
        <v>14129</v>
      </c>
      <c r="CE20" s="405"/>
      <c r="CF20" s="405"/>
      <c r="CG20" s="405"/>
      <c r="CH20" s="405"/>
      <c r="CI20" s="405"/>
      <c r="CJ20" s="405"/>
      <c r="CK20" s="405"/>
      <c r="CL20" s="405">
        <v>0</v>
      </c>
      <c r="CM20" s="405"/>
      <c r="CN20" s="405"/>
      <c r="CO20" s="405"/>
      <c r="CP20" s="405"/>
      <c r="CQ20" s="405"/>
      <c r="CR20" s="405"/>
      <c r="CS20" s="405"/>
      <c r="CT20" s="405">
        <v>0</v>
      </c>
      <c r="CU20" s="405"/>
      <c r="CV20" s="405"/>
      <c r="CW20" s="405"/>
      <c r="CX20" s="405"/>
      <c r="CY20" s="405"/>
      <c r="CZ20" s="405"/>
      <c r="DA20" s="405"/>
    </row>
    <row r="21" spans="1:105" s="2" customFormat="1" ht="40.5" customHeight="1">
      <c r="A21" s="402"/>
      <c r="B21" s="402"/>
      <c r="C21" s="402"/>
      <c r="D21" s="402"/>
      <c r="E21" s="402"/>
      <c r="F21" s="406" t="s">
        <v>38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5">
        <v>0</v>
      </c>
      <c r="AI21" s="405"/>
      <c r="AJ21" s="405"/>
      <c r="AK21" s="405"/>
      <c r="AL21" s="405"/>
      <c r="AM21" s="405"/>
      <c r="AN21" s="405"/>
      <c r="AO21" s="405"/>
      <c r="AP21" s="405">
        <v>0</v>
      </c>
      <c r="AQ21" s="405"/>
      <c r="AR21" s="405"/>
      <c r="AS21" s="405"/>
      <c r="AT21" s="405"/>
      <c r="AU21" s="405"/>
      <c r="AV21" s="405"/>
      <c r="AW21" s="405"/>
      <c r="AX21" s="405">
        <v>0</v>
      </c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>
        <v>0</v>
      </c>
      <c r="BO21" s="405"/>
      <c r="BP21" s="405"/>
      <c r="BQ21" s="405"/>
      <c r="BR21" s="405"/>
      <c r="BS21" s="405"/>
      <c r="BT21" s="405"/>
      <c r="BU21" s="405"/>
      <c r="BV21" s="405">
        <v>0</v>
      </c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>
        <v>0</v>
      </c>
      <c r="CM21" s="405"/>
      <c r="CN21" s="405"/>
      <c r="CO21" s="405"/>
      <c r="CP21" s="405"/>
      <c r="CQ21" s="405"/>
      <c r="CR21" s="405"/>
      <c r="CS21" s="405"/>
      <c r="CT21" s="405">
        <v>0</v>
      </c>
      <c r="CU21" s="405"/>
      <c r="CV21" s="405"/>
      <c r="CW21" s="405"/>
      <c r="CX21" s="405"/>
      <c r="CY21" s="405"/>
      <c r="CZ21" s="405"/>
      <c r="DA21" s="405"/>
    </row>
    <row r="22" spans="1:105" s="2" customFormat="1" ht="27.75" customHeight="1">
      <c r="A22" s="402" t="s">
        <v>39</v>
      </c>
      <c r="B22" s="402"/>
      <c r="C22" s="402"/>
      <c r="D22" s="402"/>
      <c r="E22" s="402"/>
      <c r="F22" s="403" t="s">
        <v>40</v>
      </c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</row>
    <row r="23" spans="1:105" s="2" customFormat="1" ht="40.5" customHeight="1">
      <c r="A23" s="402"/>
      <c r="B23" s="402"/>
      <c r="C23" s="402"/>
      <c r="D23" s="402"/>
      <c r="E23" s="402"/>
      <c r="F23" s="406" t="s">
        <v>38</v>
      </c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</row>
    <row r="24" spans="1:105" s="2" customFormat="1" ht="15" customHeight="1">
      <c r="A24" s="402" t="s">
        <v>41</v>
      </c>
      <c r="B24" s="402"/>
      <c r="C24" s="402"/>
      <c r="D24" s="402"/>
      <c r="E24" s="402"/>
      <c r="F24" s="403" t="s">
        <v>42</v>
      </c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</row>
    <row r="25" spans="1:105" s="2" customFormat="1" ht="40.5" customHeight="1">
      <c r="A25" s="402"/>
      <c r="B25" s="402"/>
      <c r="C25" s="402"/>
      <c r="D25" s="402"/>
      <c r="E25" s="402"/>
      <c r="F25" s="406" t="s">
        <v>38</v>
      </c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</row>
    <row r="26" spans="1:105" s="2" customFormat="1" ht="15" customHeight="1">
      <c r="A26" s="402" t="s">
        <v>43</v>
      </c>
      <c r="B26" s="402"/>
      <c r="C26" s="402"/>
      <c r="D26" s="402"/>
      <c r="E26" s="402"/>
      <c r="F26" s="403" t="s">
        <v>44</v>
      </c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5"/>
      <c r="CP26" s="405"/>
      <c r="CQ26" s="405"/>
      <c r="CR26" s="405"/>
      <c r="CS26" s="405"/>
      <c r="CT26" s="405"/>
      <c r="CU26" s="405"/>
      <c r="CV26" s="405"/>
      <c r="CW26" s="405"/>
      <c r="CX26" s="405"/>
      <c r="CY26" s="405"/>
      <c r="CZ26" s="405"/>
      <c r="DA26" s="405"/>
    </row>
    <row r="27" ht="3" customHeight="1"/>
    <row r="28" s="8" customFormat="1" ht="9.75">
      <c r="A28" s="7" t="s">
        <v>45</v>
      </c>
    </row>
    <row r="29" spans="1:105" s="8" customFormat="1" ht="64.5" customHeight="1">
      <c r="A29" s="15" t="s">
        <v>46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</row>
    <row r="30" ht="3" customHeight="1"/>
    <row r="33" spans="2:102" s="9" customFormat="1" ht="13.5">
      <c r="B33" s="11" t="s">
        <v>51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="9" customFormat="1" ht="13.5"/>
    <row r="35" s="9" customFormat="1" ht="13.5">
      <c r="A35" s="9" t="s">
        <v>52</v>
      </c>
    </row>
    <row r="36" s="9" customFormat="1" ht="13.5">
      <c r="A36" s="9" t="s">
        <v>53</v>
      </c>
    </row>
  </sheetData>
  <sheetProtection/>
  <mergeCells count="142">
    <mergeCell ref="A11:DA11"/>
    <mergeCell ref="A12:DA12"/>
    <mergeCell ref="A29:DA29"/>
    <mergeCell ref="B33:CX33"/>
    <mergeCell ref="BF26:BM26"/>
    <mergeCell ref="BN26:BU26"/>
    <mergeCell ref="BV26:CC26"/>
    <mergeCell ref="CD26:CK26"/>
    <mergeCell ref="CL26:CS26"/>
    <mergeCell ref="CT26:DA26"/>
    <mergeCell ref="BN25:BU25"/>
    <mergeCell ref="BV25:CC25"/>
    <mergeCell ref="CD25:CK25"/>
    <mergeCell ref="CL25:CS25"/>
    <mergeCell ref="CT25:DA25"/>
    <mergeCell ref="A26:E26"/>
    <mergeCell ref="F26:AG26"/>
    <mergeCell ref="AH26:AO26"/>
    <mergeCell ref="AP26:AW26"/>
    <mergeCell ref="AX26:BE26"/>
    <mergeCell ref="A25:E25"/>
    <mergeCell ref="F25:AG25"/>
    <mergeCell ref="AH25:AO25"/>
    <mergeCell ref="AP25:AW25"/>
    <mergeCell ref="AX25:BE25"/>
    <mergeCell ref="BF25:BM25"/>
    <mergeCell ref="BF24:BM24"/>
    <mergeCell ref="BN24:BU24"/>
    <mergeCell ref="BV24:CC24"/>
    <mergeCell ref="CD24:CK24"/>
    <mergeCell ref="CL24:CS24"/>
    <mergeCell ref="CT24:DA24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3:E23"/>
    <mergeCell ref="F23:AG23"/>
    <mergeCell ref="AH23:AO23"/>
    <mergeCell ref="AP23:AW23"/>
    <mergeCell ref="AX23:BE23"/>
    <mergeCell ref="BF23:BM23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BV18:CC18"/>
    <mergeCell ref="CD18:CK18"/>
    <mergeCell ref="CL18:CS18"/>
    <mergeCell ref="CT18:DA18"/>
    <mergeCell ref="A19:E19"/>
    <mergeCell ref="F19:AG19"/>
    <mergeCell ref="AH19:AO19"/>
    <mergeCell ref="AP19:AW19"/>
    <mergeCell ref="AX19:BE19"/>
    <mergeCell ref="BF19:BM19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F18:BM18"/>
    <mergeCell ref="BN18:BU18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BN17:BU17"/>
    <mergeCell ref="BV17:CC17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BV16:CC16"/>
    <mergeCell ref="CD16:CK16"/>
    <mergeCell ref="AX15:BE15"/>
    <mergeCell ref="BF15:BM15"/>
    <mergeCell ref="BN15:BU15"/>
    <mergeCell ref="BV15:CC15"/>
    <mergeCell ref="CD15:CK15"/>
    <mergeCell ref="CL15:CS15"/>
    <mergeCell ref="BQ2:DA2"/>
    <mergeCell ref="BQ4:DA4"/>
    <mergeCell ref="A8:DA8"/>
    <mergeCell ref="A10:DA10"/>
    <mergeCell ref="A14:AG15"/>
    <mergeCell ref="AH14:BE14"/>
    <mergeCell ref="BF14:CC14"/>
    <mergeCell ref="CD14:DA14"/>
    <mergeCell ref="AH15:AO15"/>
    <mergeCell ref="AP15:AW1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6"/>
  <sheetViews>
    <sheetView zoomScalePageLayoutView="0" workbookViewId="0" topLeftCell="A16">
      <selection activeCell="CD24" sqref="CD24:CO2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47</v>
      </c>
    </row>
    <row r="2" spans="69:105" s="2" customFormat="1" ht="39.75" customHeight="1">
      <c r="BQ2" s="12" t="s">
        <v>0</v>
      </c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</row>
    <row r="3" ht="3" customHeight="1"/>
    <row r="4" spans="69:105" s="3" customFormat="1" ht="24" customHeight="1">
      <c r="BQ4" s="10" t="s">
        <v>1</v>
      </c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6" ht="15">
      <c r="DA6" s="5" t="s">
        <v>2</v>
      </c>
    </row>
    <row r="8" spans="1:105" s="4" customFormat="1" ht="16.5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4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1:105" s="4" customFormat="1" ht="18.75" customHeight="1">
      <c r="A11" s="407" t="s">
        <v>808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/>
      <c r="CP11" s="408"/>
      <c r="CQ11" s="408"/>
      <c r="CR11" s="408"/>
      <c r="CS11" s="408"/>
      <c r="CT11" s="408"/>
      <c r="CU11" s="408"/>
      <c r="CV11" s="408"/>
      <c r="CW11" s="408"/>
      <c r="CX11" s="408"/>
      <c r="CY11" s="408"/>
      <c r="CZ11" s="408"/>
      <c r="DA11" s="408"/>
    </row>
    <row r="12" spans="1:105" s="4" customFormat="1" ht="23.25" customHeight="1">
      <c r="A12" s="407" t="s">
        <v>60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8"/>
      <c r="CO12" s="408"/>
      <c r="CP12" s="408"/>
      <c r="CQ12" s="408"/>
      <c r="CR12" s="408"/>
      <c r="CS12" s="408"/>
      <c r="CT12" s="408"/>
      <c r="CU12" s="408"/>
      <c r="CV12" s="408"/>
      <c r="CW12" s="408"/>
      <c r="CX12" s="408"/>
      <c r="CY12" s="408"/>
      <c r="CZ12" s="408"/>
      <c r="DA12" s="408"/>
    </row>
    <row r="14" spans="1:105" s="2" customFormat="1" ht="30" customHeight="1">
      <c r="A14" s="401" t="s">
        <v>27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 t="s">
        <v>49</v>
      </c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 t="s">
        <v>50</v>
      </c>
      <c r="BS14" s="401"/>
      <c r="BT14" s="401"/>
      <c r="BU14" s="401"/>
      <c r="BV14" s="401"/>
      <c r="BW14" s="401"/>
      <c r="BX14" s="401"/>
      <c r="BY14" s="401"/>
      <c r="BZ14" s="401"/>
      <c r="CA14" s="401"/>
      <c r="CB14" s="401"/>
      <c r="CC14" s="401"/>
      <c r="CD14" s="401"/>
      <c r="CE14" s="401"/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</row>
    <row r="15" spans="1:105" s="2" customFormat="1" ht="30" customHeight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 t="s">
        <v>20</v>
      </c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 t="s">
        <v>21</v>
      </c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 t="s">
        <v>32</v>
      </c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 t="s">
        <v>20</v>
      </c>
      <c r="BS15" s="401"/>
      <c r="BT15" s="401"/>
      <c r="BU15" s="401"/>
      <c r="BV15" s="401"/>
      <c r="BW15" s="401"/>
      <c r="BX15" s="401"/>
      <c r="BY15" s="401"/>
      <c r="BZ15" s="401"/>
      <c r="CA15" s="401"/>
      <c r="CB15" s="401"/>
      <c r="CC15" s="401"/>
      <c r="CD15" s="401" t="s">
        <v>21</v>
      </c>
      <c r="CE15" s="401"/>
      <c r="CF15" s="401"/>
      <c r="CG15" s="401"/>
      <c r="CH15" s="401"/>
      <c r="CI15" s="401"/>
      <c r="CJ15" s="401"/>
      <c r="CK15" s="401"/>
      <c r="CL15" s="401"/>
      <c r="CM15" s="401"/>
      <c r="CN15" s="401"/>
      <c r="CO15" s="401"/>
      <c r="CP15" s="401" t="s">
        <v>32</v>
      </c>
      <c r="CQ15" s="401"/>
      <c r="CR15" s="401"/>
      <c r="CS15" s="401"/>
      <c r="CT15" s="401"/>
      <c r="CU15" s="401"/>
      <c r="CV15" s="401"/>
      <c r="CW15" s="401"/>
      <c r="CX15" s="401"/>
      <c r="CY15" s="401"/>
      <c r="CZ15" s="401"/>
      <c r="DA15" s="401"/>
    </row>
    <row r="16" spans="1:105" s="2" customFormat="1" ht="15" customHeight="1">
      <c r="A16" s="402" t="s">
        <v>3</v>
      </c>
      <c r="B16" s="402"/>
      <c r="C16" s="402"/>
      <c r="D16" s="402"/>
      <c r="E16" s="402"/>
      <c r="F16" s="403" t="s">
        <v>33</v>
      </c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5">
        <v>859</v>
      </c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>
        <v>0</v>
      </c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>
        <v>0</v>
      </c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>
        <v>11841</v>
      </c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>
        <v>0</v>
      </c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>
        <v>0</v>
      </c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</row>
    <row r="17" spans="1:105" s="2" customFormat="1" ht="27.75" customHeight="1">
      <c r="A17" s="402"/>
      <c r="B17" s="402"/>
      <c r="C17" s="402"/>
      <c r="D17" s="402"/>
      <c r="E17" s="402"/>
      <c r="F17" s="406" t="s">
        <v>34</v>
      </c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5">
        <v>780</v>
      </c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>
        <v>0</v>
      </c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>
        <v>0</v>
      </c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>
        <v>10918</v>
      </c>
      <c r="BS17" s="405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>
        <v>0</v>
      </c>
      <c r="CE17" s="405"/>
      <c r="CF17" s="405"/>
      <c r="CG17" s="405"/>
      <c r="CH17" s="405"/>
      <c r="CI17" s="405"/>
      <c r="CJ17" s="405"/>
      <c r="CK17" s="405"/>
      <c r="CL17" s="405"/>
      <c r="CM17" s="405"/>
      <c r="CN17" s="405"/>
      <c r="CO17" s="405"/>
      <c r="CP17" s="405">
        <v>0</v>
      </c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</row>
    <row r="18" spans="1:105" s="2" customFormat="1" ht="15" customHeight="1">
      <c r="A18" s="402" t="s">
        <v>4</v>
      </c>
      <c r="B18" s="402"/>
      <c r="C18" s="402"/>
      <c r="D18" s="402"/>
      <c r="E18" s="402"/>
      <c r="F18" s="403" t="s">
        <v>35</v>
      </c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5">
        <v>256</v>
      </c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>
        <v>1</v>
      </c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>
        <v>0</v>
      </c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>
        <v>12847</v>
      </c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>
        <v>50</v>
      </c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>
        <v>0</v>
      </c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</row>
    <row r="19" spans="1:105" s="2" customFormat="1" ht="27.75" customHeight="1">
      <c r="A19" s="402"/>
      <c r="B19" s="402"/>
      <c r="C19" s="402"/>
      <c r="D19" s="402"/>
      <c r="E19" s="402"/>
      <c r="F19" s="406" t="s">
        <v>36</v>
      </c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5">
        <v>0</v>
      </c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>
        <v>0</v>
      </c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>
        <v>0</v>
      </c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>
        <v>0</v>
      </c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>
        <v>0</v>
      </c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>
        <v>0</v>
      </c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</row>
    <row r="20" spans="1:105" s="2" customFormat="1" ht="15" customHeight="1">
      <c r="A20" s="402" t="s">
        <v>5</v>
      </c>
      <c r="B20" s="402"/>
      <c r="C20" s="402"/>
      <c r="D20" s="402"/>
      <c r="E20" s="402"/>
      <c r="F20" s="403" t="s">
        <v>37</v>
      </c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5">
        <v>25</v>
      </c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>
        <v>10</v>
      </c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>
        <v>0</v>
      </c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>
        <v>8267</v>
      </c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>
        <v>3763</v>
      </c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>
        <v>0</v>
      </c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</row>
    <row r="21" spans="1:105" s="2" customFormat="1" ht="40.5" customHeight="1">
      <c r="A21" s="402"/>
      <c r="B21" s="402"/>
      <c r="C21" s="402"/>
      <c r="D21" s="402"/>
      <c r="E21" s="402"/>
      <c r="F21" s="406" t="s">
        <v>38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5">
        <v>0</v>
      </c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>
        <v>0</v>
      </c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>
        <v>0</v>
      </c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>
        <v>0</v>
      </c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>
        <v>0</v>
      </c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>
        <v>0</v>
      </c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</row>
    <row r="22" spans="1:105" s="2" customFormat="1" ht="27.75" customHeight="1">
      <c r="A22" s="402" t="s">
        <v>39</v>
      </c>
      <c r="B22" s="402"/>
      <c r="C22" s="402"/>
      <c r="D22" s="402"/>
      <c r="E22" s="402"/>
      <c r="F22" s="403" t="s">
        <v>40</v>
      </c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5">
        <v>4</v>
      </c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>
        <v>4</v>
      </c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>
        <v>0</v>
      </c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>
        <v>3612</v>
      </c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>
        <v>4622</v>
      </c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5"/>
      <c r="CP22" s="405">
        <v>0</v>
      </c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</row>
    <row r="23" spans="1:105" s="2" customFormat="1" ht="40.5" customHeight="1">
      <c r="A23" s="402"/>
      <c r="B23" s="402"/>
      <c r="C23" s="402"/>
      <c r="D23" s="402"/>
      <c r="E23" s="402"/>
      <c r="F23" s="406" t="s">
        <v>38</v>
      </c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5">
        <v>0</v>
      </c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>
        <v>0</v>
      </c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>
        <v>0</v>
      </c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>
        <v>0</v>
      </c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>
        <v>0</v>
      </c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>
        <v>0</v>
      </c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</row>
    <row r="24" spans="1:105" s="2" customFormat="1" ht="15" customHeight="1">
      <c r="A24" s="402" t="s">
        <v>41</v>
      </c>
      <c r="B24" s="402"/>
      <c r="C24" s="402"/>
      <c r="D24" s="402"/>
      <c r="E24" s="402"/>
      <c r="F24" s="403" t="s">
        <v>42</v>
      </c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</row>
    <row r="25" spans="1:105" s="2" customFormat="1" ht="40.5" customHeight="1">
      <c r="A25" s="402"/>
      <c r="B25" s="402"/>
      <c r="C25" s="402"/>
      <c r="D25" s="402"/>
      <c r="E25" s="402"/>
      <c r="F25" s="406" t="s">
        <v>38</v>
      </c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</row>
    <row r="26" spans="1:105" s="2" customFormat="1" ht="15" customHeight="1">
      <c r="A26" s="402" t="s">
        <v>43</v>
      </c>
      <c r="B26" s="402"/>
      <c r="C26" s="402"/>
      <c r="D26" s="402"/>
      <c r="E26" s="402"/>
      <c r="F26" s="403" t="s">
        <v>44</v>
      </c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5"/>
      <c r="CP26" s="405"/>
      <c r="CQ26" s="405"/>
      <c r="CR26" s="405"/>
      <c r="CS26" s="405"/>
      <c r="CT26" s="405"/>
      <c r="CU26" s="405"/>
      <c r="CV26" s="405"/>
      <c r="CW26" s="405"/>
      <c r="CX26" s="405"/>
      <c r="CY26" s="405"/>
      <c r="CZ26" s="405"/>
      <c r="DA26" s="405"/>
    </row>
    <row r="27" ht="3" customHeight="1"/>
    <row r="28" s="8" customFormat="1" ht="9.75">
      <c r="A28" s="7" t="s">
        <v>45</v>
      </c>
    </row>
    <row r="29" spans="1:105" s="8" customFormat="1" ht="64.5" customHeight="1">
      <c r="A29" s="15" t="s">
        <v>46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</row>
    <row r="30" ht="3" customHeight="1"/>
    <row r="33" spans="2:102" s="9" customFormat="1" ht="13.5">
      <c r="B33" s="11" t="s">
        <v>51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="9" customFormat="1" ht="13.5"/>
    <row r="35" s="9" customFormat="1" ht="13.5">
      <c r="A35" s="9" t="s">
        <v>52</v>
      </c>
    </row>
    <row r="36" s="9" customFormat="1" ht="13.5">
      <c r="A36" s="9" t="s">
        <v>53</v>
      </c>
    </row>
  </sheetData>
  <sheetProtection/>
  <mergeCells count="105">
    <mergeCell ref="A11:DA11"/>
    <mergeCell ref="A12:DA12"/>
    <mergeCell ref="CD26:CO26"/>
    <mergeCell ref="CP26:DA26"/>
    <mergeCell ref="A29:DA29"/>
    <mergeCell ref="B33:CX33"/>
    <mergeCell ref="A26:E26"/>
    <mergeCell ref="F26:AG26"/>
    <mergeCell ref="AH26:AS26"/>
    <mergeCell ref="AT26:BE26"/>
    <mergeCell ref="BF26:BQ26"/>
    <mergeCell ref="BR26:CC26"/>
    <mergeCell ref="CD24:CO24"/>
    <mergeCell ref="CP24:DA24"/>
    <mergeCell ref="A25:E25"/>
    <mergeCell ref="F25:AG25"/>
    <mergeCell ref="AH25:AS25"/>
    <mergeCell ref="AT25:BE25"/>
    <mergeCell ref="BF25:BQ25"/>
    <mergeCell ref="BR25:CC25"/>
    <mergeCell ref="CD25:CO25"/>
    <mergeCell ref="CP25:DA25"/>
    <mergeCell ref="A24:E24"/>
    <mergeCell ref="F24:AG24"/>
    <mergeCell ref="AH24:AS24"/>
    <mergeCell ref="AT24:BE24"/>
    <mergeCell ref="BF24:BQ24"/>
    <mergeCell ref="BR24:CC24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BQ2:DA2"/>
    <mergeCell ref="BQ4:DA4"/>
    <mergeCell ref="A8:DA8"/>
    <mergeCell ref="A10:DA10"/>
    <mergeCell ref="A14:AG15"/>
    <mergeCell ref="AH14:BQ14"/>
    <mergeCell ref="BR14:DA14"/>
    <mergeCell ref="AH15:AS15"/>
    <mergeCell ref="AT15:BE15"/>
    <mergeCell ref="BF15:BQ1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zm3</cp:lastModifiedBy>
  <cp:lastPrinted>2020-02-19T23:51:18Z</cp:lastPrinted>
  <dcterms:created xsi:type="dcterms:W3CDTF">2011-01-11T10:25:48Z</dcterms:created>
  <dcterms:modified xsi:type="dcterms:W3CDTF">2020-02-20T00:05:44Z</dcterms:modified>
  <cp:category/>
  <cp:version/>
  <cp:contentType/>
  <cp:contentStatus/>
</cp:coreProperties>
</file>