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5215" windowHeight="6240" firstSheet="4" activeTab="5"/>
  </bookViews>
  <sheets>
    <sheet name="анализ" sheetId="8" state="hidden" r:id="rId1"/>
    <sheet name="2014 1-й вариант" sheetId="10" state="hidden" r:id="rId2"/>
    <sheet name="2015 ПЛАН ДРСК" sheetId="19" state="hidden" r:id="rId3"/>
    <sheet name="2015 ПЛАН ДРСК (3)" sheetId="21" state="hidden" r:id="rId4"/>
    <sheet name="П.1.4" sheetId="23" r:id="rId5"/>
    <sheet name="П.1.5" sheetId="24" r:id="rId6"/>
    <sheet name="2016" sheetId="22" r:id="rId7"/>
    <sheet name="население" sheetId="25" r:id="rId8"/>
  </sheets>
  <externalReferences>
    <externalReference r:id="rId9"/>
  </externalReferences>
  <definedNames>
    <definedName name="_xlnm._FilterDatabase" localSheetId="0" hidden="1">анализ!$A$25:$R$46</definedName>
    <definedName name="god">[1]Титульный!$F$10</definedName>
    <definedName name="_xlnm.Print_Titles" localSheetId="1">'2014 1-й вариант'!$6:$8</definedName>
    <definedName name="_xlnm.Print_Area" localSheetId="1">'2014 1-й вариант'!$A$1:$L$157</definedName>
    <definedName name="_xlnm.Print_Area" localSheetId="6">'2016'!$A$1:$P$158</definedName>
  </definedNames>
  <calcPr calcId="124519"/>
</workbook>
</file>

<file path=xl/calcChain.xml><?xml version="1.0" encoding="utf-8"?>
<calcChain xmlns="http://schemas.openxmlformats.org/spreadsheetml/2006/main">
  <c r="O153" i="22"/>
  <c r="P153" s="1"/>
  <c r="M153"/>
  <c r="N153" s="1"/>
  <c r="O152"/>
  <c r="P152" s="1"/>
  <c r="M152"/>
  <c r="N152" s="1"/>
  <c r="J151"/>
  <c r="I151"/>
  <c r="D151"/>
  <c r="C151"/>
  <c r="M150"/>
  <c r="N150" s="1"/>
  <c r="F150"/>
  <c r="O150" s="1"/>
  <c r="P150" s="1"/>
  <c r="J149"/>
  <c r="I149"/>
  <c r="D149"/>
  <c r="C149"/>
  <c r="G148"/>
  <c r="G149" s="1"/>
  <c r="F148"/>
  <c r="O148" s="1"/>
  <c r="P148" s="1"/>
  <c r="J147"/>
  <c r="I147"/>
  <c r="D147"/>
  <c r="C147"/>
  <c r="M146"/>
  <c r="N146" s="1"/>
  <c r="F146"/>
  <c r="O146" s="1"/>
  <c r="P146" s="1"/>
  <c r="O145"/>
  <c r="P145" s="1"/>
  <c r="M145"/>
  <c r="N145" s="1"/>
  <c r="J144"/>
  <c r="I144"/>
  <c r="G144"/>
  <c r="D144"/>
  <c r="M144" s="1"/>
  <c r="C144"/>
  <c r="G143"/>
  <c r="M143" s="1"/>
  <c r="N143" s="1"/>
  <c r="F143"/>
  <c r="C143"/>
  <c r="O143" s="1"/>
  <c r="O142"/>
  <c r="P142" s="1"/>
  <c r="M142"/>
  <c r="N142" s="1"/>
  <c r="J141"/>
  <c r="G141"/>
  <c r="D141"/>
  <c r="M141" s="1"/>
  <c r="C141"/>
  <c r="O140"/>
  <c r="P140" s="1"/>
  <c r="I140"/>
  <c r="G140"/>
  <c r="M140" s="1"/>
  <c r="N140" s="1"/>
  <c r="O139"/>
  <c r="P139" s="1"/>
  <c r="M139"/>
  <c r="N139" s="1"/>
  <c r="G138"/>
  <c r="G151" s="1"/>
  <c r="F138"/>
  <c r="O138" s="1"/>
  <c r="P138" s="1"/>
  <c r="O137"/>
  <c r="P137" s="1"/>
  <c r="M137"/>
  <c r="N137" s="1"/>
  <c r="G136"/>
  <c r="G147" s="1"/>
  <c r="F136"/>
  <c r="O136" s="1"/>
  <c r="P136" s="1"/>
  <c r="O135"/>
  <c r="P135" s="1"/>
  <c r="M135"/>
  <c r="N135" s="1"/>
  <c r="J134"/>
  <c r="I134"/>
  <c r="G134"/>
  <c r="D134"/>
  <c r="M134" s="1"/>
  <c r="C134"/>
  <c r="O133"/>
  <c r="P133" s="1"/>
  <c r="M133"/>
  <c r="N133" s="1"/>
  <c r="O132"/>
  <c r="P132" s="1"/>
  <c r="M132"/>
  <c r="N132" s="1"/>
  <c r="J131"/>
  <c r="I131"/>
  <c r="G131"/>
  <c r="D131"/>
  <c r="M131" s="1"/>
  <c r="C131"/>
  <c r="O129"/>
  <c r="P129" s="1"/>
  <c r="M129"/>
  <c r="N129" s="1"/>
  <c r="O128"/>
  <c r="P128" s="1"/>
  <c r="M128"/>
  <c r="N128" s="1"/>
  <c r="M127"/>
  <c r="N127" s="1"/>
  <c r="I127"/>
  <c r="C127"/>
  <c r="O126"/>
  <c r="P126" s="1"/>
  <c r="M126"/>
  <c r="N126" s="1"/>
  <c r="J125"/>
  <c r="I125"/>
  <c r="D125"/>
  <c r="C125"/>
  <c r="G124"/>
  <c r="G125" s="1"/>
  <c r="F124"/>
  <c r="O124" s="1"/>
  <c r="P124" s="1"/>
  <c r="J123"/>
  <c r="I123"/>
  <c r="G123"/>
  <c r="D123"/>
  <c r="M123" s="1"/>
  <c r="C123"/>
  <c r="O122"/>
  <c r="P122" s="1"/>
  <c r="M122"/>
  <c r="N122" s="1"/>
  <c r="I121"/>
  <c r="G121"/>
  <c r="D121"/>
  <c r="M121" s="1"/>
  <c r="C121"/>
  <c r="O120"/>
  <c r="P120" s="1"/>
  <c r="M120"/>
  <c r="N120" s="1"/>
  <c r="O119"/>
  <c r="P119" s="1"/>
  <c r="M119"/>
  <c r="N119" s="1"/>
  <c r="J118"/>
  <c r="I118"/>
  <c r="G118"/>
  <c r="D118"/>
  <c r="M118" s="1"/>
  <c r="C118"/>
  <c r="G117"/>
  <c r="M117" s="1"/>
  <c r="N117" s="1"/>
  <c r="F117"/>
  <c r="O117" s="1"/>
  <c r="P117" s="1"/>
  <c r="O116"/>
  <c r="P116" s="1"/>
  <c r="M116"/>
  <c r="N116" s="1"/>
  <c r="J115"/>
  <c r="I115"/>
  <c r="G115"/>
  <c r="D115"/>
  <c r="M115" s="1"/>
  <c r="C115"/>
  <c r="I114"/>
  <c r="G114"/>
  <c r="M114" s="1"/>
  <c r="N114" s="1"/>
  <c r="F114"/>
  <c r="O114" s="1"/>
  <c r="P114" s="1"/>
  <c r="M113"/>
  <c r="J113"/>
  <c r="N113" s="1"/>
  <c r="F113"/>
  <c r="O113" s="1"/>
  <c r="P113" s="1"/>
  <c r="O112"/>
  <c r="P112" s="1"/>
  <c r="M112"/>
  <c r="N112" s="1"/>
  <c r="G111"/>
  <c r="M111" s="1"/>
  <c r="N111" s="1"/>
  <c r="F111"/>
  <c r="O111" s="1"/>
  <c r="P111" s="1"/>
  <c r="M110"/>
  <c r="N110" s="1"/>
  <c r="F110"/>
  <c r="O110" s="1"/>
  <c r="P110" s="1"/>
  <c r="M109"/>
  <c r="J109"/>
  <c r="J121" s="1"/>
  <c r="N121" s="1"/>
  <c r="F109"/>
  <c r="O109" s="1"/>
  <c r="P109" s="1"/>
  <c r="O108"/>
  <c r="P108" s="1"/>
  <c r="I108"/>
  <c r="G108"/>
  <c r="M108" s="1"/>
  <c r="N108" s="1"/>
  <c r="M107"/>
  <c r="N107" s="1"/>
  <c r="F107"/>
  <c r="O107" s="1"/>
  <c r="P107" s="1"/>
  <c r="J106"/>
  <c r="I106"/>
  <c r="G106"/>
  <c r="F106"/>
  <c r="D106"/>
  <c r="M106" s="1"/>
  <c r="C106"/>
  <c r="O106" s="1"/>
  <c r="P106" s="1"/>
  <c r="O105"/>
  <c r="P105" s="1"/>
  <c r="M105"/>
  <c r="N105" s="1"/>
  <c r="O104"/>
  <c r="P104" s="1"/>
  <c r="M104"/>
  <c r="N104" s="1"/>
  <c r="J103"/>
  <c r="J130" s="1"/>
  <c r="I103"/>
  <c r="I130" s="1"/>
  <c r="G103"/>
  <c r="G130" s="1"/>
  <c r="F103"/>
  <c r="D103"/>
  <c r="D130" s="1"/>
  <c r="M130" s="1"/>
  <c r="C103"/>
  <c r="C130" s="1"/>
  <c r="M102"/>
  <c r="N102" s="1"/>
  <c r="F102"/>
  <c r="O102" s="1"/>
  <c r="P102" s="1"/>
  <c r="M101"/>
  <c r="N101" s="1"/>
  <c r="F101"/>
  <c r="O101" s="1"/>
  <c r="P101" s="1"/>
  <c r="M100"/>
  <c r="N100" s="1"/>
  <c r="F100"/>
  <c r="O100" s="1"/>
  <c r="P100" s="1"/>
  <c r="M99"/>
  <c r="N99" s="1"/>
  <c r="F99"/>
  <c r="O99" s="1"/>
  <c r="P99" s="1"/>
  <c r="M98"/>
  <c r="N98" s="1"/>
  <c r="F98"/>
  <c r="O98" s="1"/>
  <c r="P98" s="1"/>
  <c r="M97"/>
  <c r="N97" s="1"/>
  <c r="F97"/>
  <c r="O97" s="1"/>
  <c r="P97" s="1"/>
  <c r="M96"/>
  <c r="N96" s="1"/>
  <c r="F96"/>
  <c r="O96" s="1"/>
  <c r="P96" s="1"/>
  <c r="M95"/>
  <c r="N95" s="1"/>
  <c r="F95"/>
  <c r="O95" s="1"/>
  <c r="P95" s="1"/>
  <c r="M94"/>
  <c r="N94" s="1"/>
  <c r="F94"/>
  <c r="O94" s="1"/>
  <c r="P94" s="1"/>
  <c r="M93"/>
  <c r="N93" s="1"/>
  <c r="F93"/>
  <c r="O93" s="1"/>
  <c r="P93" s="1"/>
  <c r="M92"/>
  <c r="N92" s="1"/>
  <c r="F92"/>
  <c r="O92" s="1"/>
  <c r="P92" s="1"/>
  <c r="M91"/>
  <c r="N91" s="1"/>
  <c r="F91"/>
  <c r="O91" s="1"/>
  <c r="P91" s="1"/>
  <c r="M90"/>
  <c r="N90" s="1"/>
  <c r="F90"/>
  <c r="O90" s="1"/>
  <c r="P90" s="1"/>
  <c r="M89"/>
  <c r="N89" s="1"/>
  <c r="F89"/>
  <c r="O89" s="1"/>
  <c r="P89" s="1"/>
  <c r="M88"/>
  <c r="N88" s="1"/>
  <c r="F88"/>
  <c r="O88" s="1"/>
  <c r="P88" s="1"/>
  <c r="M87"/>
  <c r="N87" s="1"/>
  <c r="F87"/>
  <c r="O87" s="1"/>
  <c r="P87" s="1"/>
  <c r="M86"/>
  <c r="N86" s="1"/>
  <c r="F86"/>
  <c r="O86" s="1"/>
  <c r="P86" s="1"/>
  <c r="M85"/>
  <c r="N85" s="1"/>
  <c r="F85"/>
  <c r="O85" s="1"/>
  <c r="P85" s="1"/>
  <c r="J84"/>
  <c r="I84"/>
  <c r="G84"/>
  <c r="D84"/>
  <c r="M84" s="1"/>
  <c r="C84"/>
  <c r="M83"/>
  <c r="N83" s="1"/>
  <c r="F83"/>
  <c r="O83" s="1"/>
  <c r="P83" s="1"/>
  <c r="M82"/>
  <c r="N82" s="1"/>
  <c r="F82"/>
  <c r="O82" s="1"/>
  <c r="P82" s="1"/>
  <c r="M81"/>
  <c r="N81" s="1"/>
  <c r="F81"/>
  <c r="O81" s="1"/>
  <c r="P81" s="1"/>
  <c r="M80"/>
  <c r="N80" s="1"/>
  <c r="F80"/>
  <c r="O80" s="1"/>
  <c r="P80" s="1"/>
  <c r="M79"/>
  <c r="N79" s="1"/>
  <c r="F79"/>
  <c r="O79" s="1"/>
  <c r="P79" s="1"/>
  <c r="M78"/>
  <c r="N78" s="1"/>
  <c r="F78"/>
  <c r="O78" s="1"/>
  <c r="P78" s="1"/>
  <c r="M77"/>
  <c r="N77" s="1"/>
  <c r="F77"/>
  <c r="O77" s="1"/>
  <c r="P77" s="1"/>
  <c r="M76"/>
  <c r="N76" s="1"/>
  <c r="F76"/>
  <c r="O76" s="1"/>
  <c r="P76" s="1"/>
  <c r="M75"/>
  <c r="N75" s="1"/>
  <c r="F75"/>
  <c r="O75" s="1"/>
  <c r="P75" s="1"/>
  <c r="M74"/>
  <c r="N74" s="1"/>
  <c r="F74"/>
  <c r="O74" s="1"/>
  <c r="P74" s="1"/>
  <c r="M73"/>
  <c r="N73" s="1"/>
  <c r="F73"/>
  <c r="O73" s="1"/>
  <c r="P73" s="1"/>
  <c r="M72"/>
  <c r="N72" s="1"/>
  <c r="F72"/>
  <c r="O72" s="1"/>
  <c r="P72" s="1"/>
  <c r="M71"/>
  <c r="N71" s="1"/>
  <c r="F71"/>
  <c r="O71" s="1"/>
  <c r="P71" s="1"/>
  <c r="M70"/>
  <c r="N70" s="1"/>
  <c r="F70"/>
  <c r="O70" s="1"/>
  <c r="P70" s="1"/>
  <c r="M69"/>
  <c r="N69" s="1"/>
  <c r="F69"/>
  <c r="O69" s="1"/>
  <c r="P69" s="1"/>
  <c r="M68"/>
  <c r="N68" s="1"/>
  <c r="F68"/>
  <c r="O68" s="1"/>
  <c r="P68" s="1"/>
  <c r="M67"/>
  <c r="N67" s="1"/>
  <c r="F67"/>
  <c r="O67" s="1"/>
  <c r="P67" s="1"/>
  <c r="M66"/>
  <c r="N66" s="1"/>
  <c r="F66"/>
  <c r="O66" s="1"/>
  <c r="P66" s="1"/>
  <c r="M65"/>
  <c r="N65" s="1"/>
  <c r="F65"/>
  <c r="O65" s="1"/>
  <c r="P65" s="1"/>
  <c r="M64"/>
  <c r="N64" s="1"/>
  <c r="F64"/>
  <c r="O64" s="1"/>
  <c r="P64" s="1"/>
  <c r="M63"/>
  <c r="N63" s="1"/>
  <c r="F63"/>
  <c r="O63" s="1"/>
  <c r="P63" s="1"/>
  <c r="M62"/>
  <c r="N62" s="1"/>
  <c r="F62"/>
  <c r="O62" s="1"/>
  <c r="P62" s="1"/>
  <c r="M61"/>
  <c r="N61" s="1"/>
  <c r="F61"/>
  <c r="O61" s="1"/>
  <c r="P61" s="1"/>
  <c r="M60"/>
  <c r="N60" s="1"/>
  <c r="F60"/>
  <c r="O60" s="1"/>
  <c r="P60" s="1"/>
  <c r="M59"/>
  <c r="N59" s="1"/>
  <c r="F59"/>
  <c r="O59" s="1"/>
  <c r="P59" s="1"/>
  <c r="M58"/>
  <c r="N58" s="1"/>
  <c r="F58"/>
  <c r="O58" s="1"/>
  <c r="P58" s="1"/>
  <c r="M57"/>
  <c r="N57" s="1"/>
  <c r="F57"/>
  <c r="O57" s="1"/>
  <c r="P57" s="1"/>
  <c r="M56"/>
  <c r="N56" s="1"/>
  <c r="F56"/>
  <c r="O56" s="1"/>
  <c r="P56" s="1"/>
  <c r="M55"/>
  <c r="N55" s="1"/>
  <c r="F55"/>
  <c r="O55" s="1"/>
  <c r="P55" s="1"/>
  <c r="M54"/>
  <c r="N54" s="1"/>
  <c r="F54"/>
  <c r="O54" s="1"/>
  <c r="P54" s="1"/>
  <c r="M53"/>
  <c r="N53" s="1"/>
  <c r="F53"/>
  <c r="O53" s="1"/>
  <c r="P53" s="1"/>
  <c r="M52"/>
  <c r="N52" s="1"/>
  <c r="F52"/>
  <c r="O52" s="1"/>
  <c r="P52" s="1"/>
  <c r="M51"/>
  <c r="N51" s="1"/>
  <c r="F51"/>
  <c r="O51" s="1"/>
  <c r="P51" s="1"/>
  <c r="M50"/>
  <c r="N50" s="1"/>
  <c r="F50"/>
  <c r="O50" s="1"/>
  <c r="P50" s="1"/>
  <c r="M49"/>
  <c r="N49" s="1"/>
  <c r="F49"/>
  <c r="O49" s="1"/>
  <c r="P49" s="1"/>
  <c r="M48"/>
  <c r="N48" s="1"/>
  <c r="F48"/>
  <c r="O48" s="1"/>
  <c r="P48" s="1"/>
  <c r="M47"/>
  <c r="N47" s="1"/>
  <c r="F47"/>
  <c r="O47" s="1"/>
  <c r="P47" s="1"/>
  <c r="M46"/>
  <c r="N46" s="1"/>
  <c r="F46"/>
  <c r="O46" s="1"/>
  <c r="P46" s="1"/>
  <c r="M45"/>
  <c r="N45" s="1"/>
  <c r="F45"/>
  <c r="O45" s="1"/>
  <c r="P45" s="1"/>
  <c r="M44"/>
  <c r="N44" s="1"/>
  <c r="F44"/>
  <c r="O44" s="1"/>
  <c r="P44" s="1"/>
  <c r="M43"/>
  <c r="N43" s="1"/>
  <c r="F43"/>
  <c r="O43" s="1"/>
  <c r="P43" s="1"/>
  <c r="M42"/>
  <c r="N42" s="1"/>
  <c r="F42"/>
  <c r="O42" s="1"/>
  <c r="P42" s="1"/>
  <c r="M41"/>
  <c r="N41" s="1"/>
  <c r="F41"/>
  <c r="O41" s="1"/>
  <c r="P41" s="1"/>
  <c r="M40"/>
  <c r="N40" s="1"/>
  <c r="F40"/>
  <c r="O40" s="1"/>
  <c r="P40" s="1"/>
  <c r="M39"/>
  <c r="N39" s="1"/>
  <c r="F39"/>
  <c r="O39" s="1"/>
  <c r="P39" s="1"/>
  <c r="M38"/>
  <c r="N38" s="1"/>
  <c r="F38"/>
  <c r="O38" s="1"/>
  <c r="P38" s="1"/>
  <c r="M37"/>
  <c r="N37" s="1"/>
  <c r="F37"/>
  <c r="O37" s="1"/>
  <c r="P37" s="1"/>
  <c r="M36"/>
  <c r="N36" s="1"/>
  <c r="F36"/>
  <c r="O36" s="1"/>
  <c r="P36" s="1"/>
  <c r="M35"/>
  <c r="N35" s="1"/>
  <c r="F35"/>
  <c r="O35" s="1"/>
  <c r="P35" s="1"/>
  <c r="M34"/>
  <c r="N34" s="1"/>
  <c r="F34"/>
  <c r="O34" s="1"/>
  <c r="P34" s="1"/>
  <c r="O33"/>
  <c r="P33" s="1"/>
  <c r="M33"/>
  <c r="N33" s="1"/>
  <c r="M31"/>
  <c r="N31" s="1"/>
  <c r="F31"/>
  <c r="O31" s="1"/>
  <c r="P31" s="1"/>
  <c r="J29"/>
  <c r="J30" s="1"/>
  <c r="I29"/>
  <c r="I30" s="1"/>
  <c r="G29"/>
  <c r="G30" s="1"/>
  <c r="D29"/>
  <c r="D30" s="1"/>
  <c r="M30" s="1"/>
  <c r="C29"/>
  <c r="C30" s="1"/>
  <c r="J28"/>
  <c r="O27"/>
  <c r="P27" s="1"/>
  <c r="M27"/>
  <c r="N27" s="1"/>
  <c r="O25"/>
  <c r="P25" s="1"/>
  <c r="M25"/>
  <c r="N25" s="1"/>
  <c r="O24"/>
  <c r="P24" s="1"/>
  <c r="M24"/>
  <c r="N24" s="1"/>
  <c r="J23"/>
  <c r="I23"/>
  <c r="G23"/>
  <c r="D23"/>
  <c r="M23" s="1"/>
  <c r="C23"/>
  <c r="U22"/>
  <c r="J22"/>
  <c r="G22"/>
  <c r="F22"/>
  <c r="D22"/>
  <c r="M22" s="1"/>
  <c r="C22"/>
  <c r="O22" s="1"/>
  <c r="M21"/>
  <c r="N21" s="1"/>
  <c r="F21"/>
  <c r="O21" s="1"/>
  <c r="P21" s="1"/>
  <c r="J20"/>
  <c r="G20"/>
  <c r="D20"/>
  <c r="M20" s="1"/>
  <c r="C20"/>
  <c r="J19"/>
  <c r="I19"/>
  <c r="G19"/>
  <c r="F19"/>
  <c r="D19"/>
  <c r="M19" s="1"/>
  <c r="C19"/>
  <c r="O19" s="1"/>
  <c r="P19" s="1"/>
  <c r="J18"/>
  <c r="J32" s="1"/>
  <c r="I18"/>
  <c r="I32" s="1"/>
  <c r="G18"/>
  <c r="G32" s="1"/>
  <c r="F18"/>
  <c r="D18"/>
  <c r="D32" s="1"/>
  <c r="M32" s="1"/>
  <c r="C18"/>
  <c r="C32" s="1"/>
  <c r="J17"/>
  <c r="I17"/>
  <c r="G17"/>
  <c r="F17"/>
  <c r="D17"/>
  <c r="M17" s="1"/>
  <c r="C17"/>
  <c r="O17" s="1"/>
  <c r="P17" s="1"/>
  <c r="J16"/>
  <c r="I16"/>
  <c r="G16"/>
  <c r="F16"/>
  <c r="D16"/>
  <c r="M16" s="1"/>
  <c r="C16"/>
  <c r="O16" s="1"/>
  <c r="P16" s="1"/>
  <c r="I15"/>
  <c r="I28" s="1"/>
  <c r="G15"/>
  <c r="G28" s="1"/>
  <c r="D15"/>
  <c r="D28" s="1"/>
  <c r="M28" s="1"/>
  <c r="C15"/>
  <c r="C28" s="1"/>
  <c r="T14"/>
  <c r="T15" s="1"/>
  <c r="J14"/>
  <c r="J26" s="1"/>
  <c r="I14"/>
  <c r="I26" s="1"/>
  <c r="G14"/>
  <c r="G26" s="1"/>
  <c r="F14"/>
  <c r="F26" s="1"/>
  <c r="D14"/>
  <c r="D26" s="1"/>
  <c r="M26" s="1"/>
  <c r="C14"/>
  <c r="C26" s="1"/>
  <c r="O26" s="1"/>
  <c r="P26" s="1"/>
  <c r="J13"/>
  <c r="I13"/>
  <c r="G13"/>
  <c r="F13"/>
  <c r="D13"/>
  <c r="M13" s="1"/>
  <c r="C13"/>
  <c r="O13" s="1"/>
  <c r="P13" s="1"/>
  <c r="O12"/>
  <c r="P12" s="1"/>
  <c r="M12"/>
  <c r="N12" s="1"/>
  <c r="S11"/>
  <c r="J11"/>
  <c r="I11"/>
  <c r="G11"/>
  <c r="D11"/>
  <c r="M11" s="1"/>
  <c r="C11"/>
  <c r="O10"/>
  <c r="P10" s="1"/>
  <c r="M10"/>
  <c r="N10" s="1"/>
  <c r="O9"/>
  <c r="P9" s="1"/>
  <c r="M9"/>
  <c r="N9" s="1"/>
  <c r="J8"/>
  <c r="I8"/>
  <c r="G8"/>
  <c r="D8"/>
  <c r="M8" s="1"/>
  <c r="C8"/>
  <c r="G8" i="24"/>
  <c r="N8" i="22" l="1"/>
  <c r="N11"/>
  <c r="N13"/>
  <c r="N26"/>
  <c r="F28"/>
  <c r="O28" s="1"/>
  <c r="P28" s="1"/>
  <c r="N16"/>
  <c r="N17"/>
  <c r="F32"/>
  <c r="O32" s="1"/>
  <c r="P32" s="1"/>
  <c r="N32"/>
  <c r="N19"/>
  <c r="N20"/>
  <c r="N22"/>
  <c r="N23"/>
  <c r="N28"/>
  <c r="N30"/>
  <c r="M14"/>
  <c r="N14"/>
  <c r="O14"/>
  <c r="P14" s="1"/>
  <c r="F15"/>
  <c r="F11" s="1"/>
  <c r="F8" s="1"/>
  <c r="M15"/>
  <c r="N15" s="1"/>
  <c r="O15"/>
  <c r="P15" s="1"/>
  <c r="S15"/>
  <c r="S16" s="1"/>
  <c r="M18"/>
  <c r="N18"/>
  <c r="O18"/>
  <c r="P18" s="1"/>
  <c r="S19"/>
  <c r="S20"/>
  <c r="S21" s="1"/>
  <c r="S22" s="1"/>
  <c r="M29"/>
  <c r="N29"/>
  <c r="N84"/>
  <c r="N130"/>
  <c r="N106"/>
  <c r="N115"/>
  <c r="N118"/>
  <c r="N123"/>
  <c r="M125"/>
  <c r="N125"/>
  <c r="N131"/>
  <c r="N134"/>
  <c r="N141"/>
  <c r="N144"/>
  <c r="M147"/>
  <c r="N147"/>
  <c r="M149"/>
  <c r="N149"/>
  <c r="M151"/>
  <c r="N151"/>
  <c r="F84"/>
  <c r="O84" s="1"/>
  <c r="P84" s="1"/>
  <c r="M103"/>
  <c r="N103"/>
  <c r="O103"/>
  <c r="P103" s="1"/>
  <c r="N109"/>
  <c r="F118"/>
  <c r="F121"/>
  <c r="O121" s="1"/>
  <c r="P121" s="1"/>
  <c r="F123"/>
  <c r="O123" s="1"/>
  <c r="P123" s="1"/>
  <c r="M124"/>
  <c r="N124" s="1"/>
  <c r="F125"/>
  <c r="O125" s="1"/>
  <c r="P125" s="1"/>
  <c r="F127"/>
  <c r="O127" s="1"/>
  <c r="P127" s="1"/>
  <c r="F131"/>
  <c r="O131" s="1"/>
  <c r="P131" s="1"/>
  <c r="F134"/>
  <c r="O134" s="1"/>
  <c r="P134" s="1"/>
  <c r="M136"/>
  <c r="N136" s="1"/>
  <c r="M138"/>
  <c r="N138" s="1"/>
  <c r="I143"/>
  <c r="F144"/>
  <c r="O144" s="1"/>
  <c r="P144" s="1"/>
  <c r="F147"/>
  <c r="O147" s="1"/>
  <c r="P147" s="1"/>
  <c r="M148"/>
  <c r="N148" s="1"/>
  <c r="F149"/>
  <c r="O149" s="1"/>
  <c r="P149" s="1"/>
  <c r="F151"/>
  <c r="O151" s="1"/>
  <c r="P151" s="1"/>
  <c r="E8" i="25"/>
  <c r="I141" i="22" l="1"/>
  <c r="F141" s="1"/>
  <c r="O141" s="1"/>
  <c r="P141" s="1"/>
  <c r="I22"/>
  <c r="F115"/>
  <c r="F29"/>
  <c r="P143"/>
  <c r="O118"/>
  <c r="P118" s="1"/>
  <c r="O11"/>
  <c r="P11" s="1"/>
  <c r="W22"/>
  <c r="O8"/>
  <c r="P8" s="1"/>
  <c r="L19" i="25"/>
  <c r="K19"/>
  <c r="J19"/>
  <c r="G19"/>
  <c r="D19"/>
  <c r="L18"/>
  <c r="K18"/>
  <c r="J18"/>
  <c r="I18"/>
  <c r="H18"/>
  <c r="G18"/>
  <c r="F18"/>
  <c r="E18"/>
  <c r="D18"/>
  <c r="G17"/>
  <c r="L17"/>
  <c r="L16" s="1"/>
  <c r="K17"/>
  <c r="D17"/>
  <c r="I16"/>
  <c r="H16"/>
  <c r="G16"/>
  <c r="F16"/>
  <c r="E16"/>
  <c r="D16"/>
  <c r="L13"/>
  <c r="K13"/>
  <c r="J13"/>
  <c r="G13"/>
  <c r="D13"/>
  <c r="L12"/>
  <c r="K12"/>
  <c r="J12"/>
  <c r="G12"/>
  <c r="D12"/>
  <c r="L8"/>
  <c r="L26" s="1"/>
  <c r="K8"/>
  <c r="J8"/>
  <c r="I8"/>
  <c r="I26" s="1"/>
  <c r="H8"/>
  <c r="H26" s="1"/>
  <c r="G8"/>
  <c r="G26" s="1"/>
  <c r="F8"/>
  <c r="F26" s="1"/>
  <c r="E26"/>
  <c r="D8"/>
  <c r="D26" s="1"/>
  <c r="F30" i="22" l="1"/>
  <c r="O30" s="1"/>
  <c r="P30" s="1"/>
  <c r="F23"/>
  <c r="O29"/>
  <c r="P29" s="1"/>
  <c r="F130"/>
  <c r="O130" s="1"/>
  <c r="P130" s="1"/>
  <c r="O115"/>
  <c r="P115" s="1"/>
  <c r="I20"/>
  <c r="P22"/>
  <c r="D14" i="25"/>
  <c r="G14"/>
  <c r="J14"/>
  <c r="J17"/>
  <c r="K16"/>
  <c r="J16" s="1"/>
  <c r="J26"/>
  <c r="K26"/>
  <c r="F20" i="22" l="1"/>
  <c r="O20" s="1"/>
  <c r="P20" s="1"/>
  <c r="O23"/>
  <c r="P23" s="1"/>
  <c r="V22"/>
  <c r="L24" i="24"/>
  <c r="R25" l="1"/>
  <c r="Q25"/>
  <c r="I25"/>
  <c r="D25"/>
  <c r="N25" l="1"/>
  <c r="R24"/>
  <c r="Q24"/>
  <c r="M24"/>
  <c r="H24"/>
  <c r="G24"/>
  <c r="G19"/>
  <c r="R22"/>
  <c r="R18"/>
  <c r="R17"/>
  <c r="Q22"/>
  <c r="Q18"/>
  <c r="Q17"/>
  <c r="N24" l="1"/>
  <c r="I24"/>
  <c r="D24"/>
  <c r="I26" i="23" l="1"/>
  <c r="R25"/>
  <c r="Q25"/>
  <c r="I25"/>
  <c r="D25"/>
  <c r="R24"/>
  <c r="Q24"/>
  <c r="N24"/>
  <c r="M24"/>
  <c r="L24"/>
  <c r="I24"/>
  <c r="H24"/>
  <c r="G24"/>
  <c r="D24"/>
  <c r="I23"/>
  <c r="R22"/>
  <c r="Q22"/>
  <c r="I22"/>
  <c r="D22"/>
  <c r="R21"/>
  <c r="M21"/>
  <c r="L21"/>
  <c r="I21" s="1"/>
  <c r="H21"/>
  <c r="G21"/>
  <c r="R18"/>
  <c r="Q18"/>
  <c r="N18"/>
  <c r="I18"/>
  <c r="D18"/>
  <c r="R17"/>
  <c r="Q17"/>
  <c r="N17"/>
  <c r="I17"/>
  <c r="D17"/>
  <c r="R8"/>
  <c r="R27" s="1"/>
  <c r="Q8"/>
  <c r="M8"/>
  <c r="M27" s="1"/>
  <c r="L8"/>
  <c r="L27" s="1"/>
  <c r="H8"/>
  <c r="H27" s="1"/>
  <c r="G8"/>
  <c r="R21" i="24"/>
  <c r="N22"/>
  <c r="I22"/>
  <c r="D22"/>
  <c r="M21"/>
  <c r="L21"/>
  <c r="K21"/>
  <c r="J21"/>
  <c r="H21"/>
  <c r="G21"/>
  <c r="R20"/>
  <c r="I20"/>
  <c r="D20"/>
  <c r="N18"/>
  <c r="I18"/>
  <c r="D18"/>
  <c r="N17"/>
  <c r="I17"/>
  <c r="D17"/>
  <c r="R8"/>
  <c r="Q8"/>
  <c r="M8"/>
  <c r="L8"/>
  <c r="H8"/>
  <c r="M27" l="1"/>
  <c r="H27"/>
  <c r="R27"/>
  <c r="L27"/>
  <c r="G27"/>
  <c r="N25" i="23"/>
  <c r="N8"/>
  <c r="N19" s="1"/>
  <c r="I8"/>
  <c r="I27" s="1"/>
  <c r="D8"/>
  <c r="D19" s="1"/>
  <c r="N22"/>
  <c r="D21"/>
  <c r="D27" s="1"/>
  <c r="G27"/>
  <c r="Q21"/>
  <c r="Q27" s="1"/>
  <c r="I21" i="24"/>
  <c r="I27"/>
  <c r="D21"/>
  <c r="D27"/>
  <c r="Q21"/>
  <c r="I8"/>
  <c r="I19" s="1"/>
  <c r="D8"/>
  <c r="D19" s="1"/>
  <c r="N8"/>
  <c r="N19" s="1"/>
  <c r="Q19"/>
  <c r="R19"/>
  <c r="H19"/>
  <c r="L19"/>
  <c r="M19"/>
  <c r="I19" i="23" l="1"/>
  <c r="N21"/>
  <c r="N27" s="1"/>
  <c r="Q27" i="24"/>
  <c r="N27" s="1"/>
  <c r="N21"/>
  <c r="T18" i="21"/>
  <c r="J142"/>
  <c r="G107"/>
  <c r="G123"/>
  <c r="G137"/>
  <c r="G147"/>
  <c r="G143" s="1"/>
  <c r="J150"/>
  <c r="J148"/>
  <c r="J143"/>
  <c r="J140" s="1"/>
  <c r="J139"/>
  <c r="J146"/>
  <c r="J124"/>
  <c r="J122"/>
  <c r="J117"/>
  <c r="J116"/>
  <c r="J114" s="1"/>
  <c r="G116"/>
  <c r="J113"/>
  <c r="J108"/>
  <c r="J120"/>
  <c r="J83"/>
  <c r="J27"/>
  <c r="J18"/>
  <c r="J17"/>
  <c r="J31"/>
  <c r="J16"/>
  <c r="J15"/>
  <c r="J12"/>
  <c r="D150"/>
  <c r="D148"/>
  <c r="D143"/>
  <c r="D142"/>
  <c r="G142" s="1"/>
  <c r="D139"/>
  <c r="G139"/>
  <c r="D135"/>
  <c r="D146"/>
  <c r="D133"/>
  <c r="D130"/>
  <c r="D122"/>
  <c r="D117"/>
  <c r="D114" s="1"/>
  <c r="D113"/>
  <c r="G113" s="1"/>
  <c r="D108"/>
  <c r="D120"/>
  <c r="D83"/>
  <c r="D28"/>
  <c r="D22" s="1"/>
  <c r="D21"/>
  <c r="D18"/>
  <c r="D17"/>
  <c r="D31" s="1"/>
  <c r="D16"/>
  <c r="D14"/>
  <c r="D27"/>
  <c r="D13"/>
  <c r="D25"/>
  <c r="D12"/>
  <c r="O152"/>
  <c r="P152" s="1"/>
  <c r="M152"/>
  <c r="N152" s="1"/>
  <c r="O151"/>
  <c r="P151"/>
  <c r="M151"/>
  <c r="N151"/>
  <c r="I150"/>
  <c r="C150"/>
  <c r="M149"/>
  <c r="N149"/>
  <c r="F149"/>
  <c r="O149"/>
  <c r="P149" s="1"/>
  <c r="I148"/>
  <c r="G148"/>
  <c r="C148"/>
  <c r="M147"/>
  <c r="N147"/>
  <c r="F147"/>
  <c r="O147"/>
  <c r="P147" s="1"/>
  <c r="I146"/>
  <c r="C146"/>
  <c r="M145"/>
  <c r="N145" s="1"/>
  <c r="F145"/>
  <c r="O145" s="1"/>
  <c r="P145" s="1"/>
  <c r="O144"/>
  <c r="P144"/>
  <c r="M144"/>
  <c r="N144"/>
  <c r="I143"/>
  <c r="I140"/>
  <c r="C143"/>
  <c r="O142"/>
  <c r="P142" s="1"/>
  <c r="O141"/>
  <c r="P141" s="1"/>
  <c r="M141"/>
  <c r="N141" s="1"/>
  <c r="C140"/>
  <c r="F139"/>
  <c r="O138"/>
  <c r="P138" s="1"/>
  <c r="M138"/>
  <c r="N138" s="1"/>
  <c r="O137"/>
  <c r="P137" s="1"/>
  <c r="G150"/>
  <c r="O136"/>
  <c r="P136" s="1"/>
  <c r="M136"/>
  <c r="N136" s="1"/>
  <c r="F135"/>
  <c r="O135" s="1"/>
  <c r="P135" s="1"/>
  <c r="O134"/>
  <c r="P134"/>
  <c r="M134"/>
  <c r="N134"/>
  <c r="I133"/>
  <c r="C133"/>
  <c r="C130" s="1"/>
  <c r="F130" s="1"/>
  <c r="O132"/>
  <c r="P132" s="1"/>
  <c r="M132"/>
  <c r="N132" s="1"/>
  <c r="O131"/>
  <c r="P131" s="1"/>
  <c r="M131"/>
  <c r="N131" s="1"/>
  <c r="I130"/>
  <c r="O128"/>
  <c r="P128" s="1"/>
  <c r="M128"/>
  <c r="N128" s="1"/>
  <c r="O127"/>
  <c r="P127" s="1"/>
  <c r="M127"/>
  <c r="N127" s="1"/>
  <c r="M126"/>
  <c r="N126" s="1"/>
  <c r="I126"/>
  <c r="C126"/>
  <c r="O125"/>
  <c r="P125" s="1"/>
  <c r="M125"/>
  <c r="N125" s="1"/>
  <c r="F123"/>
  <c r="I122"/>
  <c r="G122"/>
  <c r="C122"/>
  <c r="O121"/>
  <c r="P121" s="1"/>
  <c r="M121"/>
  <c r="N121" s="1"/>
  <c r="I120"/>
  <c r="C120"/>
  <c r="O119"/>
  <c r="P119" s="1"/>
  <c r="M119"/>
  <c r="N119" s="1"/>
  <c r="O118"/>
  <c r="P118" s="1"/>
  <c r="M118"/>
  <c r="N118" s="1"/>
  <c r="I117"/>
  <c r="C117"/>
  <c r="O115"/>
  <c r="P115" s="1"/>
  <c r="M115"/>
  <c r="N115" s="1"/>
  <c r="I114"/>
  <c r="F113"/>
  <c r="M112"/>
  <c r="N112" s="1"/>
  <c r="F112"/>
  <c r="O111"/>
  <c r="P111"/>
  <c r="M111"/>
  <c r="N111"/>
  <c r="I110"/>
  <c r="I124"/>
  <c r="C110"/>
  <c r="D110"/>
  <c r="M109"/>
  <c r="N109"/>
  <c r="F109"/>
  <c r="F108"/>
  <c r="O108" s="1"/>
  <c r="P108" s="1"/>
  <c r="O107"/>
  <c r="M107"/>
  <c r="N107" s="1"/>
  <c r="I107"/>
  <c r="M106"/>
  <c r="N106" s="1"/>
  <c r="F106"/>
  <c r="O106" s="1"/>
  <c r="P106" s="1"/>
  <c r="O104"/>
  <c r="P104"/>
  <c r="M104"/>
  <c r="N104"/>
  <c r="O103"/>
  <c r="P103"/>
  <c r="M103"/>
  <c r="N103"/>
  <c r="M101"/>
  <c r="N101"/>
  <c r="F101"/>
  <c r="O101"/>
  <c r="P101" s="1"/>
  <c r="M100"/>
  <c r="N100" s="1"/>
  <c r="F100"/>
  <c r="O100" s="1"/>
  <c r="P100" s="1"/>
  <c r="M99"/>
  <c r="N99"/>
  <c r="F99"/>
  <c r="O99"/>
  <c r="P99" s="1"/>
  <c r="M98"/>
  <c r="N98" s="1"/>
  <c r="F98"/>
  <c r="O98" s="1"/>
  <c r="P98" s="1"/>
  <c r="M97"/>
  <c r="N97"/>
  <c r="F97"/>
  <c r="O97"/>
  <c r="P97" s="1"/>
  <c r="M96"/>
  <c r="N96" s="1"/>
  <c r="F96"/>
  <c r="O96" s="1"/>
  <c r="P96" s="1"/>
  <c r="M95"/>
  <c r="N95"/>
  <c r="F95"/>
  <c r="O95"/>
  <c r="P95" s="1"/>
  <c r="M94"/>
  <c r="N94" s="1"/>
  <c r="F94"/>
  <c r="O94" s="1"/>
  <c r="P94" s="1"/>
  <c r="M93"/>
  <c r="N93"/>
  <c r="F93"/>
  <c r="O93"/>
  <c r="P93" s="1"/>
  <c r="M92"/>
  <c r="N92" s="1"/>
  <c r="F92"/>
  <c r="O92" s="1"/>
  <c r="P92" s="1"/>
  <c r="M91"/>
  <c r="N91"/>
  <c r="F91"/>
  <c r="O91"/>
  <c r="P91" s="1"/>
  <c r="M90"/>
  <c r="N90" s="1"/>
  <c r="F90"/>
  <c r="O90" s="1"/>
  <c r="P90" s="1"/>
  <c r="M89"/>
  <c r="N89"/>
  <c r="F89"/>
  <c r="O89"/>
  <c r="P89" s="1"/>
  <c r="M88"/>
  <c r="N88" s="1"/>
  <c r="F88"/>
  <c r="O88" s="1"/>
  <c r="P88" s="1"/>
  <c r="M87"/>
  <c r="N87"/>
  <c r="F87"/>
  <c r="O87"/>
  <c r="P87" s="1"/>
  <c r="M86"/>
  <c r="N86" s="1"/>
  <c r="F86"/>
  <c r="O86" s="1"/>
  <c r="P86" s="1"/>
  <c r="M85"/>
  <c r="N85"/>
  <c r="F85"/>
  <c r="O85"/>
  <c r="P85" s="1"/>
  <c r="M84"/>
  <c r="N84" s="1"/>
  <c r="F84"/>
  <c r="O84" s="1"/>
  <c r="P84" s="1"/>
  <c r="I83"/>
  <c r="G83"/>
  <c r="M83" s="1"/>
  <c r="N83" s="1"/>
  <c r="C83"/>
  <c r="M82"/>
  <c r="N82"/>
  <c r="F82"/>
  <c r="O82"/>
  <c r="P82" s="1"/>
  <c r="M81"/>
  <c r="N81" s="1"/>
  <c r="F81"/>
  <c r="O81" s="1"/>
  <c r="P81" s="1"/>
  <c r="M80"/>
  <c r="N80"/>
  <c r="F80"/>
  <c r="O80"/>
  <c r="P80" s="1"/>
  <c r="M79"/>
  <c r="N79" s="1"/>
  <c r="F79"/>
  <c r="O79" s="1"/>
  <c r="P79" s="1"/>
  <c r="M78"/>
  <c r="N78"/>
  <c r="F78"/>
  <c r="O78"/>
  <c r="P78" s="1"/>
  <c r="M77"/>
  <c r="N77" s="1"/>
  <c r="F77"/>
  <c r="O77" s="1"/>
  <c r="P77" s="1"/>
  <c r="M76"/>
  <c r="N76"/>
  <c r="F76"/>
  <c r="O76"/>
  <c r="P76" s="1"/>
  <c r="M75"/>
  <c r="N75" s="1"/>
  <c r="F75"/>
  <c r="O75" s="1"/>
  <c r="P75" s="1"/>
  <c r="M74"/>
  <c r="N74"/>
  <c r="F74"/>
  <c r="O74"/>
  <c r="P74" s="1"/>
  <c r="M73"/>
  <c r="N73" s="1"/>
  <c r="F73"/>
  <c r="O73" s="1"/>
  <c r="P73" s="1"/>
  <c r="M72"/>
  <c r="N72"/>
  <c r="F72"/>
  <c r="O72"/>
  <c r="P72" s="1"/>
  <c r="M71"/>
  <c r="N71" s="1"/>
  <c r="F71"/>
  <c r="O71" s="1"/>
  <c r="P71" s="1"/>
  <c r="M70"/>
  <c r="N70"/>
  <c r="F70"/>
  <c r="O70"/>
  <c r="P70" s="1"/>
  <c r="M69"/>
  <c r="N69" s="1"/>
  <c r="F69"/>
  <c r="O69" s="1"/>
  <c r="P69" s="1"/>
  <c r="M68"/>
  <c r="N68"/>
  <c r="F68"/>
  <c r="O68"/>
  <c r="P68" s="1"/>
  <c r="M67"/>
  <c r="N67" s="1"/>
  <c r="F67"/>
  <c r="O67" s="1"/>
  <c r="P67" s="1"/>
  <c r="M66"/>
  <c r="N66"/>
  <c r="F66"/>
  <c r="O66"/>
  <c r="P66" s="1"/>
  <c r="M65"/>
  <c r="N65" s="1"/>
  <c r="F65"/>
  <c r="O65" s="1"/>
  <c r="P65" s="1"/>
  <c r="M64"/>
  <c r="N64"/>
  <c r="F64"/>
  <c r="O64"/>
  <c r="P64" s="1"/>
  <c r="M63"/>
  <c r="N63" s="1"/>
  <c r="F63"/>
  <c r="O63" s="1"/>
  <c r="P63" s="1"/>
  <c r="M62"/>
  <c r="N62"/>
  <c r="F62"/>
  <c r="O62"/>
  <c r="P62" s="1"/>
  <c r="M61"/>
  <c r="N61" s="1"/>
  <c r="F61"/>
  <c r="O61" s="1"/>
  <c r="P61" s="1"/>
  <c r="M60"/>
  <c r="N60"/>
  <c r="F60"/>
  <c r="O60" s="1"/>
  <c r="P60" s="1"/>
  <c r="M59"/>
  <c r="N59" s="1"/>
  <c r="F59"/>
  <c r="O59" s="1"/>
  <c r="P59" s="1"/>
  <c r="M58"/>
  <c r="N58" s="1"/>
  <c r="F58"/>
  <c r="O58" s="1"/>
  <c r="P58" s="1"/>
  <c r="M57"/>
  <c r="N57"/>
  <c r="F57"/>
  <c r="O57"/>
  <c r="P57" s="1"/>
  <c r="M56"/>
  <c r="N56" s="1"/>
  <c r="F56"/>
  <c r="O56" s="1"/>
  <c r="P56" s="1"/>
  <c r="M55"/>
  <c r="N55"/>
  <c r="F55"/>
  <c r="O55"/>
  <c r="P55" s="1"/>
  <c r="M54"/>
  <c r="N54" s="1"/>
  <c r="F54"/>
  <c r="O54" s="1"/>
  <c r="P54" s="1"/>
  <c r="M53"/>
  <c r="N53"/>
  <c r="F53"/>
  <c r="O53"/>
  <c r="P53" s="1"/>
  <c r="M52"/>
  <c r="N52" s="1"/>
  <c r="F52"/>
  <c r="O52" s="1"/>
  <c r="P52" s="1"/>
  <c r="M51"/>
  <c r="N51"/>
  <c r="F51"/>
  <c r="O51"/>
  <c r="P51" s="1"/>
  <c r="M50"/>
  <c r="N50" s="1"/>
  <c r="F50"/>
  <c r="O50" s="1"/>
  <c r="P50" s="1"/>
  <c r="M49"/>
  <c r="N49"/>
  <c r="F49"/>
  <c r="O49"/>
  <c r="P49" s="1"/>
  <c r="M48"/>
  <c r="N48" s="1"/>
  <c r="F48"/>
  <c r="O48" s="1"/>
  <c r="P48" s="1"/>
  <c r="M47"/>
  <c r="N47"/>
  <c r="F47"/>
  <c r="O47"/>
  <c r="P47" s="1"/>
  <c r="M46"/>
  <c r="N46" s="1"/>
  <c r="F46"/>
  <c r="O46" s="1"/>
  <c r="P46" s="1"/>
  <c r="M45"/>
  <c r="N45"/>
  <c r="F45"/>
  <c r="O45"/>
  <c r="P45" s="1"/>
  <c r="M44"/>
  <c r="N44" s="1"/>
  <c r="F44"/>
  <c r="O44" s="1"/>
  <c r="P44" s="1"/>
  <c r="M43"/>
  <c r="N43"/>
  <c r="F43"/>
  <c r="O43"/>
  <c r="P43" s="1"/>
  <c r="M42"/>
  <c r="N42" s="1"/>
  <c r="F42"/>
  <c r="O42" s="1"/>
  <c r="P42" s="1"/>
  <c r="M41"/>
  <c r="N41"/>
  <c r="F41"/>
  <c r="O41"/>
  <c r="P41" s="1"/>
  <c r="M40"/>
  <c r="N40" s="1"/>
  <c r="F40"/>
  <c r="O40" s="1"/>
  <c r="P40" s="1"/>
  <c r="M39"/>
  <c r="N39"/>
  <c r="F39"/>
  <c r="O39"/>
  <c r="P39" s="1"/>
  <c r="M38"/>
  <c r="N38" s="1"/>
  <c r="F38"/>
  <c r="O38" s="1"/>
  <c r="P38" s="1"/>
  <c r="M37"/>
  <c r="N37"/>
  <c r="F37"/>
  <c r="O37"/>
  <c r="P37" s="1"/>
  <c r="M36"/>
  <c r="N36" s="1"/>
  <c r="F36"/>
  <c r="O36" s="1"/>
  <c r="P36" s="1"/>
  <c r="M35"/>
  <c r="N35"/>
  <c r="F35"/>
  <c r="O35"/>
  <c r="P35" s="1"/>
  <c r="M34"/>
  <c r="N34" s="1"/>
  <c r="F34"/>
  <c r="O34" s="1"/>
  <c r="P34" s="1"/>
  <c r="M33"/>
  <c r="N33"/>
  <c r="F33"/>
  <c r="O33"/>
  <c r="P33" s="1"/>
  <c r="O32"/>
  <c r="P32" s="1"/>
  <c r="M32"/>
  <c r="N32" s="1"/>
  <c r="M30"/>
  <c r="N30" s="1"/>
  <c r="F30"/>
  <c r="O30" s="1"/>
  <c r="P30" s="1"/>
  <c r="I28"/>
  <c r="C28"/>
  <c r="O26"/>
  <c r="P26"/>
  <c r="M26"/>
  <c r="N26"/>
  <c r="O24"/>
  <c r="P24"/>
  <c r="M24"/>
  <c r="N24"/>
  <c r="O23"/>
  <c r="P23"/>
  <c r="M23"/>
  <c r="N23"/>
  <c r="I22"/>
  <c r="C22"/>
  <c r="I21"/>
  <c r="M20"/>
  <c r="N20" s="1"/>
  <c r="F20"/>
  <c r="O20" s="1"/>
  <c r="P20" s="1"/>
  <c r="I19"/>
  <c r="I18"/>
  <c r="F18"/>
  <c r="C18"/>
  <c r="O18" s="1"/>
  <c r="P18" s="1"/>
  <c r="I17"/>
  <c r="I31"/>
  <c r="G17"/>
  <c r="G31"/>
  <c r="M31" s="1"/>
  <c r="N31" s="1"/>
  <c r="C17"/>
  <c r="I16"/>
  <c r="G16"/>
  <c r="F16"/>
  <c r="C16"/>
  <c r="O16"/>
  <c r="P16" s="1"/>
  <c r="I15"/>
  <c r="C15"/>
  <c r="C29" s="1"/>
  <c r="I14"/>
  <c r="I27" s="1"/>
  <c r="G14"/>
  <c r="G27" s="1"/>
  <c r="M27" s="1"/>
  <c r="N27" s="1"/>
  <c r="C14"/>
  <c r="C27" s="1"/>
  <c r="I13"/>
  <c r="I25" s="1"/>
  <c r="F13"/>
  <c r="F25" s="1"/>
  <c r="C13"/>
  <c r="C25" s="1"/>
  <c r="I12"/>
  <c r="G12"/>
  <c r="M12" s="1"/>
  <c r="N12" s="1"/>
  <c r="F12"/>
  <c r="C12"/>
  <c r="O12" s="1"/>
  <c r="P12" s="1"/>
  <c r="O11"/>
  <c r="P11"/>
  <c r="M11"/>
  <c r="N11"/>
  <c r="C10"/>
  <c r="C7"/>
  <c r="O9"/>
  <c r="P9" s="1"/>
  <c r="M9"/>
  <c r="N9" s="1"/>
  <c r="O8"/>
  <c r="P8" s="1"/>
  <c r="M8"/>
  <c r="N8" s="1"/>
  <c r="D124"/>
  <c r="G110"/>
  <c r="D15"/>
  <c r="G108"/>
  <c r="I29"/>
  <c r="D105"/>
  <c r="D102" s="1"/>
  <c r="D129" s="1"/>
  <c r="D140"/>
  <c r="J133"/>
  <c r="G135"/>
  <c r="M17"/>
  <c r="N17" s="1"/>
  <c r="J105"/>
  <c r="J102" s="1"/>
  <c r="F14"/>
  <c r="O14" s="1"/>
  <c r="P14" s="1"/>
  <c r="M108"/>
  <c r="N108" s="1"/>
  <c r="C124"/>
  <c r="C105"/>
  <c r="F124"/>
  <c r="G117"/>
  <c r="M150"/>
  <c r="N150" s="1"/>
  <c r="M14"/>
  <c r="N14" s="1"/>
  <c r="M16"/>
  <c r="N16" s="1"/>
  <c r="O109"/>
  <c r="P109" s="1"/>
  <c r="F110"/>
  <c r="O113"/>
  <c r="P113"/>
  <c r="F83"/>
  <c r="O83"/>
  <c r="P83" s="1"/>
  <c r="M116"/>
  <c r="N116" s="1"/>
  <c r="F120"/>
  <c r="O120" s="1"/>
  <c r="P120" s="1"/>
  <c r="F122"/>
  <c r="O122"/>
  <c r="P122" s="1"/>
  <c r="M122"/>
  <c r="N122" s="1"/>
  <c r="M123"/>
  <c r="N123" s="1"/>
  <c r="O123"/>
  <c r="P123" s="1"/>
  <c r="F126"/>
  <c r="O126" s="1"/>
  <c r="P126" s="1"/>
  <c r="M135"/>
  <c r="N135"/>
  <c r="M137"/>
  <c r="N137"/>
  <c r="F140"/>
  <c r="O140" s="1"/>
  <c r="P140" s="1"/>
  <c r="F148"/>
  <c r="O148" s="1"/>
  <c r="P148" s="1"/>
  <c r="M148"/>
  <c r="N148"/>
  <c r="F117"/>
  <c r="M117"/>
  <c r="N117" s="1"/>
  <c r="F133"/>
  <c r="O133" s="1"/>
  <c r="P133" s="1"/>
  <c r="M139"/>
  <c r="N139"/>
  <c r="O139"/>
  <c r="P139"/>
  <c r="F143"/>
  <c r="O143"/>
  <c r="P143" s="1"/>
  <c r="M143"/>
  <c r="N143" s="1"/>
  <c r="F146"/>
  <c r="O146" s="1"/>
  <c r="P146" s="1"/>
  <c r="F150"/>
  <c r="O150"/>
  <c r="P150" s="1"/>
  <c r="J130"/>
  <c r="G146"/>
  <c r="M146"/>
  <c r="N146" s="1"/>
  <c r="G133"/>
  <c r="G120"/>
  <c r="M120"/>
  <c r="N120" s="1"/>
  <c r="G13"/>
  <c r="G25" s="1"/>
  <c r="M25" s="1"/>
  <c r="D29"/>
  <c r="D10"/>
  <c r="D7" s="1"/>
  <c r="O124"/>
  <c r="P124" s="1"/>
  <c r="F28"/>
  <c r="F22" s="1"/>
  <c r="O22" s="1"/>
  <c r="P22" s="1"/>
  <c r="F15"/>
  <c r="O15" s="1"/>
  <c r="P15" s="1"/>
  <c r="G114"/>
  <c r="M114"/>
  <c r="G28"/>
  <c r="O117"/>
  <c r="P117" s="1"/>
  <c r="C102"/>
  <c r="O110"/>
  <c r="P110"/>
  <c r="M13"/>
  <c r="G130"/>
  <c r="M130" s="1"/>
  <c r="N130" s="1"/>
  <c r="M133"/>
  <c r="N133"/>
  <c r="G15"/>
  <c r="G10"/>
  <c r="G7" s="1"/>
  <c r="G105"/>
  <c r="G102" s="1"/>
  <c r="G124"/>
  <c r="M124" s="1"/>
  <c r="N124" s="1"/>
  <c r="M15"/>
  <c r="N15"/>
  <c r="G22"/>
  <c r="G29"/>
  <c r="M29" s="1"/>
  <c r="M28"/>
  <c r="F29"/>
  <c r="O28"/>
  <c r="P28"/>
  <c r="M110"/>
  <c r="N110"/>
  <c r="M22"/>
  <c r="H153" i="19"/>
  <c r="E153"/>
  <c r="C139"/>
  <c r="D116"/>
  <c r="I139"/>
  <c r="G142"/>
  <c r="J142"/>
  <c r="F142"/>
  <c r="D142"/>
  <c r="C142"/>
  <c r="O142"/>
  <c r="J116"/>
  <c r="I116"/>
  <c r="G116"/>
  <c r="F116"/>
  <c r="C116"/>
  <c r="C165"/>
  <c r="C117"/>
  <c r="J139"/>
  <c r="G139"/>
  <c r="D139"/>
  <c r="J113"/>
  <c r="I113"/>
  <c r="I18" s="1"/>
  <c r="G113"/>
  <c r="D113"/>
  <c r="D18"/>
  <c r="C113"/>
  <c r="J135"/>
  <c r="G135"/>
  <c r="D135"/>
  <c r="D133" s="1"/>
  <c r="J108"/>
  <c r="G108"/>
  <c r="G120"/>
  <c r="D108"/>
  <c r="I108"/>
  <c r="C108"/>
  <c r="I135"/>
  <c r="C135"/>
  <c r="C146"/>
  <c r="O152"/>
  <c r="P152"/>
  <c r="M152"/>
  <c r="N152"/>
  <c r="O151"/>
  <c r="P151"/>
  <c r="M151"/>
  <c r="N151"/>
  <c r="M149"/>
  <c r="N149"/>
  <c r="M147"/>
  <c r="N147"/>
  <c r="M145"/>
  <c r="N145"/>
  <c r="O144"/>
  <c r="P144"/>
  <c r="M144"/>
  <c r="N144"/>
  <c r="M142"/>
  <c r="N142"/>
  <c r="O141"/>
  <c r="P141"/>
  <c r="M141"/>
  <c r="N141"/>
  <c r="M139"/>
  <c r="O138"/>
  <c r="P138" s="1"/>
  <c r="M138"/>
  <c r="N138" s="1"/>
  <c r="O137"/>
  <c r="P137" s="1"/>
  <c r="M137"/>
  <c r="N137" s="1"/>
  <c r="O136"/>
  <c r="P136" s="1"/>
  <c r="M136"/>
  <c r="N136" s="1"/>
  <c r="M135"/>
  <c r="N135" s="1"/>
  <c r="O134"/>
  <c r="P134"/>
  <c r="M134"/>
  <c r="N134"/>
  <c r="O132"/>
  <c r="P132"/>
  <c r="M132"/>
  <c r="N132"/>
  <c r="O131"/>
  <c r="P131"/>
  <c r="M131"/>
  <c r="N131"/>
  <c r="O128"/>
  <c r="P128"/>
  <c r="M128"/>
  <c r="N128"/>
  <c r="O127"/>
  <c r="P127"/>
  <c r="M127"/>
  <c r="N127"/>
  <c r="M126"/>
  <c r="N126"/>
  <c r="O125"/>
  <c r="P125"/>
  <c r="M125"/>
  <c r="N125"/>
  <c r="O123"/>
  <c r="P123"/>
  <c r="O121"/>
  <c r="P121"/>
  <c r="M121"/>
  <c r="N121"/>
  <c r="O119"/>
  <c r="P119"/>
  <c r="M119"/>
  <c r="N119"/>
  <c r="O118"/>
  <c r="P118"/>
  <c r="M118"/>
  <c r="N118"/>
  <c r="O116"/>
  <c r="P116"/>
  <c r="M116"/>
  <c r="N116"/>
  <c r="O115"/>
  <c r="P115"/>
  <c r="M115"/>
  <c r="N115"/>
  <c r="M113"/>
  <c r="N113"/>
  <c r="M112"/>
  <c r="N112"/>
  <c r="O111"/>
  <c r="P111"/>
  <c r="M111"/>
  <c r="N111"/>
  <c r="M109"/>
  <c r="N109"/>
  <c r="M108"/>
  <c r="N108"/>
  <c r="O107"/>
  <c r="M107"/>
  <c r="N107"/>
  <c r="M106"/>
  <c r="N106"/>
  <c r="O104"/>
  <c r="P104" s="1"/>
  <c r="M104"/>
  <c r="N104" s="1"/>
  <c r="O103"/>
  <c r="P103" s="1"/>
  <c r="M103"/>
  <c r="N103" s="1"/>
  <c r="M101"/>
  <c r="N101" s="1"/>
  <c r="M100"/>
  <c r="N100" s="1"/>
  <c r="M99"/>
  <c r="N99" s="1"/>
  <c r="M98"/>
  <c r="N98" s="1"/>
  <c r="M97"/>
  <c r="N97" s="1"/>
  <c r="M96"/>
  <c r="N96" s="1"/>
  <c r="M95"/>
  <c r="N95" s="1"/>
  <c r="M94"/>
  <c r="N94" s="1"/>
  <c r="M93"/>
  <c r="N93" s="1"/>
  <c r="M92"/>
  <c r="N92" s="1"/>
  <c r="M91"/>
  <c r="N91" s="1"/>
  <c r="M90"/>
  <c r="N90" s="1"/>
  <c r="M89"/>
  <c r="N89" s="1"/>
  <c r="M88"/>
  <c r="N88" s="1"/>
  <c r="M87"/>
  <c r="N87" s="1"/>
  <c r="M86"/>
  <c r="N86" s="1"/>
  <c r="M85"/>
  <c r="N85" s="1"/>
  <c r="M84"/>
  <c r="N84" s="1"/>
  <c r="M82"/>
  <c r="N82" s="1"/>
  <c r="M81"/>
  <c r="N81" s="1"/>
  <c r="M80"/>
  <c r="N80" s="1"/>
  <c r="M79"/>
  <c r="N79" s="1"/>
  <c r="M78"/>
  <c r="N78" s="1"/>
  <c r="M77"/>
  <c r="N77" s="1"/>
  <c r="M76"/>
  <c r="N76" s="1"/>
  <c r="M75"/>
  <c r="N75" s="1"/>
  <c r="M74"/>
  <c r="N74" s="1"/>
  <c r="M73"/>
  <c r="N73" s="1"/>
  <c r="M72"/>
  <c r="N72" s="1"/>
  <c r="M71"/>
  <c r="N71" s="1"/>
  <c r="M70"/>
  <c r="N70"/>
  <c r="M69"/>
  <c r="N69"/>
  <c r="M68"/>
  <c r="N68"/>
  <c r="M67"/>
  <c r="N67"/>
  <c r="M66"/>
  <c r="N66"/>
  <c r="M65"/>
  <c r="N65"/>
  <c r="M64"/>
  <c r="N64"/>
  <c r="M63"/>
  <c r="N63"/>
  <c r="M62"/>
  <c r="N62" s="1"/>
  <c r="M61"/>
  <c r="N61" s="1"/>
  <c r="M60"/>
  <c r="N60" s="1"/>
  <c r="M59"/>
  <c r="N59" s="1"/>
  <c r="M58"/>
  <c r="N58" s="1"/>
  <c r="M57"/>
  <c r="N57" s="1"/>
  <c r="M56"/>
  <c r="N56" s="1"/>
  <c r="M55"/>
  <c r="N55" s="1"/>
  <c r="M54"/>
  <c r="N54" s="1"/>
  <c r="M53"/>
  <c r="N53" s="1"/>
  <c r="M52"/>
  <c r="N52" s="1"/>
  <c r="M51"/>
  <c r="N51" s="1"/>
  <c r="M50"/>
  <c r="N50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O32"/>
  <c r="P32" s="1"/>
  <c r="M32"/>
  <c r="N32" s="1"/>
  <c r="M30"/>
  <c r="N30" s="1"/>
  <c r="O26"/>
  <c r="P26" s="1"/>
  <c r="M26"/>
  <c r="N26" s="1"/>
  <c r="O24"/>
  <c r="P24" s="1"/>
  <c r="M24"/>
  <c r="N24" s="1"/>
  <c r="O23"/>
  <c r="P23" s="1"/>
  <c r="M23"/>
  <c r="N23" s="1"/>
  <c r="M20"/>
  <c r="N20" s="1"/>
  <c r="O11"/>
  <c r="P11" s="1"/>
  <c r="M11"/>
  <c r="N11" s="1"/>
  <c r="O9"/>
  <c r="P9" s="1"/>
  <c r="M9"/>
  <c r="N9" s="1"/>
  <c r="O8"/>
  <c r="P8" s="1"/>
  <c r="M8"/>
  <c r="N8" s="1"/>
  <c r="F112"/>
  <c r="O112" s="1"/>
  <c r="P112" s="1"/>
  <c r="I110"/>
  <c r="C110"/>
  <c r="C15" s="1"/>
  <c r="F15" s="1"/>
  <c r="D120"/>
  <c r="M120" s="1"/>
  <c r="J150"/>
  <c r="I150"/>
  <c r="G150"/>
  <c r="D150"/>
  <c r="M150" s="1"/>
  <c r="N150" s="1"/>
  <c r="C150"/>
  <c r="F149"/>
  <c r="O149" s="1"/>
  <c r="P149" s="1"/>
  <c r="J148"/>
  <c r="I148"/>
  <c r="G148"/>
  <c r="D148"/>
  <c r="M148" s="1"/>
  <c r="C148"/>
  <c r="F147"/>
  <c r="O147"/>
  <c r="P147" s="1"/>
  <c r="I146"/>
  <c r="G146"/>
  <c r="D146"/>
  <c r="M146" s="1"/>
  <c r="F145"/>
  <c r="O145" s="1"/>
  <c r="P145" s="1"/>
  <c r="J143"/>
  <c r="I143"/>
  <c r="G143"/>
  <c r="G140" s="1"/>
  <c r="D143"/>
  <c r="M143" s="1"/>
  <c r="N143" s="1"/>
  <c r="C143"/>
  <c r="C28"/>
  <c r="J140"/>
  <c r="C140"/>
  <c r="I133"/>
  <c r="G133"/>
  <c r="G130" s="1"/>
  <c r="C133"/>
  <c r="C130" s="1"/>
  <c r="I130"/>
  <c r="F130" s="1"/>
  <c r="I126"/>
  <c r="C126"/>
  <c r="J124"/>
  <c r="I124"/>
  <c r="C124"/>
  <c r="G123"/>
  <c r="M123"/>
  <c r="N123" s="1"/>
  <c r="J122"/>
  <c r="I122"/>
  <c r="G122"/>
  <c r="D122"/>
  <c r="C122"/>
  <c r="J117"/>
  <c r="I117"/>
  <c r="I28" s="1"/>
  <c r="F28" s="1"/>
  <c r="D117"/>
  <c r="D114" s="1"/>
  <c r="J114"/>
  <c r="C114"/>
  <c r="F109"/>
  <c r="J120"/>
  <c r="C120"/>
  <c r="I107"/>
  <c r="F106"/>
  <c r="O106" s="1"/>
  <c r="P106" s="1"/>
  <c r="J105"/>
  <c r="F101"/>
  <c r="O101" s="1"/>
  <c r="P101" s="1"/>
  <c r="F100"/>
  <c r="O100"/>
  <c r="P100" s="1"/>
  <c r="F99"/>
  <c r="O99" s="1"/>
  <c r="P99" s="1"/>
  <c r="F98"/>
  <c r="O98"/>
  <c r="P98" s="1"/>
  <c r="F97"/>
  <c r="O97" s="1"/>
  <c r="P97" s="1"/>
  <c r="F96"/>
  <c r="O96"/>
  <c r="P96" s="1"/>
  <c r="F95"/>
  <c r="O95" s="1"/>
  <c r="P95" s="1"/>
  <c r="F94"/>
  <c r="O94"/>
  <c r="P94" s="1"/>
  <c r="F93"/>
  <c r="O93" s="1"/>
  <c r="P93" s="1"/>
  <c r="F92"/>
  <c r="O92"/>
  <c r="P92" s="1"/>
  <c r="F91"/>
  <c r="O91" s="1"/>
  <c r="P91" s="1"/>
  <c r="F90"/>
  <c r="O90"/>
  <c r="P90" s="1"/>
  <c r="F89"/>
  <c r="O89" s="1"/>
  <c r="P89" s="1"/>
  <c r="F88"/>
  <c r="O88"/>
  <c r="P88" s="1"/>
  <c r="F87"/>
  <c r="O87" s="1"/>
  <c r="P87" s="1"/>
  <c r="F86"/>
  <c r="O86"/>
  <c r="P86" s="1"/>
  <c r="F85"/>
  <c r="O85" s="1"/>
  <c r="P85" s="1"/>
  <c r="F84"/>
  <c r="O84"/>
  <c r="P84" s="1"/>
  <c r="J83"/>
  <c r="I83"/>
  <c r="G83"/>
  <c r="D83"/>
  <c r="M83"/>
  <c r="C83"/>
  <c r="F82"/>
  <c r="O82" s="1"/>
  <c r="P82" s="1"/>
  <c r="F81"/>
  <c r="O81"/>
  <c r="P81" s="1"/>
  <c r="F80"/>
  <c r="O80" s="1"/>
  <c r="P80" s="1"/>
  <c r="F79"/>
  <c r="O79"/>
  <c r="P79" s="1"/>
  <c r="F78"/>
  <c r="O78" s="1"/>
  <c r="P78" s="1"/>
  <c r="F77"/>
  <c r="O77"/>
  <c r="P77" s="1"/>
  <c r="F76"/>
  <c r="O76" s="1"/>
  <c r="P76" s="1"/>
  <c r="F75"/>
  <c r="O75"/>
  <c r="P75" s="1"/>
  <c r="F74"/>
  <c r="O74" s="1"/>
  <c r="P74" s="1"/>
  <c r="F73"/>
  <c r="O73"/>
  <c r="P73" s="1"/>
  <c r="F72"/>
  <c r="O72" s="1"/>
  <c r="P72" s="1"/>
  <c r="F71"/>
  <c r="O71"/>
  <c r="P71" s="1"/>
  <c r="F70"/>
  <c r="O70" s="1"/>
  <c r="P70" s="1"/>
  <c r="F69"/>
  <c r="O69"/>
  <c r="P69" s="1"/>
  <c r="F68"/>
  <c r="O68" s="1"/>
  <c r="P68" s="1"/>
  <c r="F67"/>
  <c r="O67"/>
  <c r="P67" s="1"/>
  <c r="F66"/>
  <c r="O66" s="1"/>
  <c r="P66" s="1"/>
  <c r="F65"/>
  <c r="O65"/>
  <c r="P65" s="1"/>
  <c r="F64"/>
  <c r="O64" s="1"/>
  <c r="P64" s="1"/>
  <c r="F63"/>
  <c r="O63"/>
  <c r="P63" s="1"/>
  <c r="F62"/>
  <c r="O62" s="1"/>
  <c r="P62" s="1"/>
  <c r="F61"/>
  <c r="O61"/>
  <c r="P61" s="1"/>
  <c r="F60"/>
  <c r="O60" s="1"/>
  <c r="P60" s="1"/>
  <c r="F59"/>
  <c r="O59"/>
  <c r="P59" s="1"/>
  <c r="F58"/>
  <c r="O58" s="1"/>
  <c r="P58" s="1"/>
  <c r="F57"/>
  <c r="O57"/>
  <c r="P57" s="1"/>
  <c r="F56"/>
  <c r="O56" s="1"/>
  <c r="P56" s="1"/>
  <c r="F55"/>
  <c r="O55"/>
  <c r="P55" s="1"/>
  <c r="F54"/>
  <c r="O54" s="1"/>
  <c r="P54" s="1"/>
  <c r="F53"/>
  <c r="O53"/>
  <c r="P53" s="1"/>
  <c r="F52"/>
  <c r="O52" s="1"/>
  <c r="P52" s="1"/>
  <c r="F51"/>
  <c r="O51"/>
  <c r="P51" s="1"/>
  <c r="F50"/>
  <c r="O50" s="1"/>
  <c r="P50" s="1"/>
  <c r="F49"/>
  <c r="O49"/>
  <c r="P49" s="1"/>
  <c r="F48"/>
  <c r="O48" s="1"/>
  <c r="P48" s="1"/>
  <c r="F47"/>
  <c r="O47"/>
  <c r="P47" s="1"/>
  <c r="F46"/>
  <c r="O46" s="1"/>
  <c r="P46" s="1"/>
  <c r="F45"/>
  <c r="O45"/>
  <c r="P45" s="1"/>
  <c r="F44"/>
  <c r="O44" s="1"/>
  <c r="P44" s="1"/>
  <c r="F43"/>
  <c r="O43"/>
  <c r="P43" s="1"/>
  <c r="F42"/>
  <c r="O42" s="1"/>
  <c r="P42" s="1"/>
  <c r="F41"/>
  <c r="O41"/>
  <c r="P41" s="1"/>
  <c r="F40"/>
  <c r="O40" s="1"/>
  <c r="P40" s="1"/>
  <c r="F39"/>
  <c r="O39"/>
  <c r="P39" s="1"/>
  <c r="F38"/>
  <c r="O38" s="1"/>
  <c r="P38" s="1"/>
  <c r="F37"/>
  <c r="O37"/>
  <c r="P37" s="1"/>
  <c r="F36"/>
  <c r="O36" s="1"/>
  <c r="P36" s="1"/>
  <c r="F35"/>
  <c r="O35"/>
  <c r="P35" s="1"/>
  <c r="F34"/>
  <c r="O34" s="1"/>
  <c r="P34" s="1"/>
  <c r="F33"/>
  <c r="O33"/>
  <c r="P33" s="1"/>
  <c r="F30"/>
  <c r="O30" s="1"/>
  <c r="P30" s="1"/>
  <c r="J28"/>
  <c r="J22"/>
  <c r="D28"/>
  <c r="J21"/>
  <c r="J19" s="1"/>
  <c r="D21"/>
  <c r="C21"/>
  <c r="F20"/>
  <c r="O20" s="1"/>
  <c r="P20" s="1"/>
  <c r="G18"/>
  <c r="M18" s="1"/>
  <c r="C18"/>
  <c r="F18" s="1"/>
  <c r="O18" s="1"/>
  <c r="P18" s="1"/>
  <c r="J17"/>
  <c r="J31"/>
  <c r="I17"/>
  <c r="I31"/>
  <c r="G17"/>
  <c r="G31"/>
  <c r="D17"/>
  <c r="M17"/>
  <c r="D31"/>
  <c r="M31"/>
  <c r="C17"/>
  <c r="C31"/>
  <c r="J16"/>
  <c r="I16"/>
  <c r="G16"/>
  <c r="D16"/>
  <c r="M16" s="1"/>
  <c r="C16"/>
  <c r="J15"/>
  <c r="I15"/>
  <c r="J27"/>
  <c r="I14"/>
  <c r="I27" s="1"/>
  <c r="G14"/>
  <c r="G27" s="1"/>
  <c r="D14"/>
  <c r="M14" s="1"/>
  <c r="N14" s="1"/>
  <c r="C14"/>
  <c r="J12"/>
  <c r="I12"/>
  <c r="G12"/>
  <c r="F12"/>
  <c r="D12"/>
  <c r="M12" s="1"/>
  <c r="C12"/>
  <c r="O12" s="1"/>
  <c r="P12" s="1"/>
  <c r="J146" i="10"/>
  <c r="G84"/>
  <c r="G15"/>
  <c r="G28" s="1"/>
  <c r="G122"/>
  <c r="C110"/>
  <c r="D110"/>
  <c r="D16" s="1"/>
  <c r="C147"/>
  <c r="D147" s="1"/>
  <c r="C137"/>
  <c r="C17" s="1"/>
  <c r="C112"/>
  <c r="D112" s="1"/>
  <c r="D18" s="1"/>
  <c r="D32" s="1"/>
  <c r="N16"/>
  <c r="C116"/>
  <c r="D116"/>
  <c r="C142"/>
  <c r="D142"/>
  <c r="C113"/>
  <c r="D113"/>
  <c r="D19" s="1"/>
  <c r="C139"/>
  <c r="D139"/>
  <c r="C108"/>
  <c r="C120" s="1"/>
  <c r="M110"/>
  <c r="C123"/>
  <c r="F123"/>
  <c r="G123" s="1"/>
  <c r="G117" s="1"/>
  <c r="C135"/>
  <c r="M135"/>
  <c r="G87" i="8"/>
  <c r="E87"/>
  <c r="L83"/>
  <c r="K83"/>
  <c r="L84" s="1"/>
  <c r="M147" i="10"/>
  <c r="M137"/>
  <c r="T33" i="8"/>
  <c r="O148" i="10"/>
  <c r="O149" s="1"/>
  <c r="C126"/>
  <c r="D126" s="1"/>
  <c r="F149"/>
  <c r="F147"/>
  <c r="G147"/>
  <c r="F145"/>
  <c r="F112"/>
  <c r="G112" s="1"/>
  <c r="G18" s="1"/>
  <c r="G32" s="1"/>
  <c r="F110"/>
  <c r="G110" s="1"/>
  <c r="G16" s="1"/>
  <c r="F109"/>
  <c r="F108"/>
  <c r="G108" s="1"/>
  <c r="G106" s="1"/>
  <c r="F107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1"/>
  <c r="F21"/>
  <c r="M113"/>
  <c r="N113"/>
  <c r="M11"/>
  <c r="N11"/>
  <c r="M10"/>
  <c r="I14"/>
  <c r="C15"/>
  <c r="D15"/>
  <c r="D28" s="1"/>
  <c r="I15"/>
  <c r="F15" s="1"/>
  <c r="J15"/>
  <c r="C16"/>
  <c r="I16"/>
  <c r="F16" s="1"/>
  <c r="J16"/>
  <c r="I17"/>
  <c r="J17"/>
  <c r="C18"/>
  <c r="C32" s="1"/>
  <c r="I18"/>
  <c r="M8" s="1"/>
  <c r="N8" s="1"/>
  <c r="J18"/>
  <c r="J32"/>
  <c r="I19"/>
  <c r="M139"/>
  <c r="J19"/>
  <c r="I22"/>
  <c r="C28"/>
  <c r="I28"/>
  <c r="F28" s="1"/>
  <c r="J28"/>
  <c r="C84"/>
  <c r="D84"/>
  <c r="I84"/>
  <c r="F84"/>
  <c r="J84"/>
  <c r="I106"/>
  <c r="C14"/>
  <c r="J106"/>
  <c r="J103" s="1"/>
  <c r="J129" s="1"/>
  <c r="C117"/>
  <c r="I117"/>
  <c r="F117"/>
  <c r="J117"/>
  <c r="I120"/>
  <c r="F120" s="1"/>
  <c r="J120"/>
  <c r="C122"/>
  <c r="D122"/>
  <c r="I122"/>
  <c r="F122"/>
  <c r="J122"/>
  <c r="C124"/>
  <c r="I124"/>
  <c r="F124"/>
  <c r="J124"/>
  <c r="I126"/>
  <c r="F126" s="1"/>
  <c r="G126" s="1"/>
  <c r="I133"/>
  <c r="J133"/>
  <c r="J130" s="1"/>
  <c r="J22"/>
  <c r="I143"/>
  <c r="J143"/>
  <c r="J140" s="1"/>
  <c r="I146"/>
  <c r="I148"/>
  <c r="J148"/>
  <c r="I150"/>
  <c r="J150"/>
  <c r="T97" i="8"/>
  <c r="T96"/>
  <c r="T95"/>
  <c r="T94"/>
  <c r="T93"/>
  <c r="T92"/>
  <c r="V96" s="1"/>
  <c r="J84"/>
  <c r="I84"/>
  <c r="J83"/>
  <c r="I83"/>
  <c r="I76"/>
  <c r="P76" s="1"/>
  <c r="J73"/>
  <c r="H72"/>
  <c r="Q66"/>
  <c r="P66"/>
  <c r="O66"/>
  <c r="O67" s="1"/>
  <c r="N66"/>
  <c r="N67" s="1"/>
  <c r="M66"/>
  <c r="M67" s="1"/>
  <c r="L66"/>
  <c r="L67" s="1"/>
  <c r="J66"/>
  <c r="J67" s="1"/>
  <c r="I66"/>
  <c r="I67" s="1"/>
  <c r="H66"/>
  <c r="H67" s="1"/>
  <c r="G66"/>
  <c r="G67" s="1"/>
  <c r="F66"/>
  <c r="F67" s="1"/>
  <c r="E66"/>
  <c r="E67" s="1"/>
  <c r="Q64"/>
  <c r="P64"/>
  <c r="Q63"/>
  <c r="P63"/>
  <c r="N63"/>
  <c r="M63"/>
  <c r="L63"/>
  <c r="J63"/>
  <c r="I63"/>
  <c r="H63"/>
  <c r="G63"/>
  <c r="F63"/>
  <c r="E63"/>
  <c r="K63"/>
  <c r="R63" s="1"/>
  <c r="N61"/>
  <c r="N64" s="1"/>
  <c r="M61"/>
  <c r="M64" s="1"/>
  <c r="L61"/>
  <c r="L64" s="1"/>
  <c r="J61"/>
  <c r="J64" s="1"/>
  <c r="I61"/>
  <c r="I64" s="1"/>
  <c r="H61"/>
  <c r="H64" s="1"/>
  <c r="G61"/>
  <c r="G64" s="1"/>
  <c r="F61"/>
  <c r="F64" s="1"/>
  <c r="E61"/>
  <c r="E64" s="1"/>
  <c r="K60"/>
  <c r="R60" s="1"/>
  <c r="K59"/>
  <c r="R59" s="1"/>
  <c r="V58"/>
  <c r="K58"/>
  <c r="R58"/>
  <c r="K57"/>
  <c r="R57"/>
  <c r="O56"/>
  <c r="K56"/>
  <c r="K55"/>
  <c r="R55"/>
  <c r="S55" s="1"/>
  <c r="Q54"/>
  <c r="P54"/>
  <c r="N54"/>
  <c r="M54"/>
  <c r="L54"/>
  <c r="J54"/>
  <c r="I54"/>
  <c r="H54"/>
  <c r="G54"/>
  <c r="F54"/>
  <c r="E54"/>
  <c r="K54" s="1"/>
  <c r="R54" s="1"/>
  <c r="S54" s="1"/>
  <c r="Q51"/>
  <c r="P51"/>
  <c r="O51"/>
  <c r="N51"/>
  <c r="M51"/>
  <c r="L51"/>
  <c r="J51"/>
  <c r="I51"/>
  <c r="H51"/>
  <c r="G51"/>
  <c r="F51"/>
  <c r="E51"/>
  <c r="Q49"/>
  <c r="P49"/>
  <c r="O49"/>
  <c r="N49"/>
  <c r="M49"/>
  <c r="L49"/>
  <c r="J49"/>
  <c r="I49"/>
  <c r="H49"/>
  <c r="G49"/>
  <c r="F49"/>
  <c r="E49"/>
  <c r="Q43"/>
  <c r="P43"/>
  <c r="O43"/>
  <c r="N43"/>
  <c r="M43"/>
  <c r="L43"/>
  <c r="J43"/>
  <c r="I43"/>
  <c r="H43"/>
  <c r="G43"/>
  <c r="F43"/>
  <c r="E43"/>
  <c r="Q41"/>
  <c r="Q42"/>
  <c r="P41"/>
  <c r="O41"/>
  <c r="O42" s="1"/>
  <c r="N41"/>
  <c r="M41"/>
  <c r="M42"/>
  <c r="L41"/>
  <c r="L42"/>
  <c r="J41"/>
  <c r="J42"/>
  <c r="I41"/>
  <c r="H41"/>
  <c r="H45" s="1"/>
  <c r="G41"/>
  <c r="G42" s="1"/>
  <c r="G46" s="1"/>
  <c r="F41"/>
  <c r="F42" s="1"/>
  <c r="E41"/>
  <c r="E42" s="1"/>
  <c r="E46" s="1"/>
  <c r="Q40"/>
  <c r="P40"/>
  <c r="O40"/>
  <c r="N40"/>
  <c r="M40"/>
  <c r="L40"/>
  <c r="J40"/>
  <c r="I40"/>
  <c r="H40"/>
  <c r="G40"/>
  <c r="F40"/>
  <c r="E40"/>
  <c r="K40"/>
  <c r="R40" s="1"/>
  <c r="Q39"/>
  <c r="P39"/>
  <c r="O39"/>
  <c r="N39"/>
  <c r="M39"/>
  <c r="L39"/>
  <c r="J39"/>
  <c r="I39"/>
  <c r="H39"/>
  <c r="G39"/>
  <c r="F39"/>
  <c r="E39"/>
  <c r="K39"/>
  <c r="R39" s="1"/>
  <c r="K38"/>
  <c r="R38" s="1"/>
  <c r="K37"/>
  <c r="R37" s="1"/>
  <c r="K36"/>
  <c r="R36" s="1"/>
  <c r="K35"/>
  <c r="Q34"/>
  <c r="P34"/>
  <c r="O34"/>
  <c r="N34"/>
  <c r="M34"/>
  <c r="L34"/>
  <c r="J34"/>
  <c r="I34"/>
  <c r="H34"/>
  <c r="G34"/>
  <c r="F34"/>
  <c r="E34"/>
  <c r="K34" s="1"/>
  <c r="R34" s="1"/>
  <c r="K33"/>
  <c r="K32"/>
  <c r="Q30"/>
  <c r="P30"/>
  <c r="O30"/>
  <c r="N30"/>
  <c r="M30"/>
  <c r="L30"/>
  <c r="J30"/>
  <c r="I30"/>
  <c r="H30"/>
  <c r="G30"/>
  <c r="F30"/>
  <c r="E30"/>
  <c r="Q29"/>
  <c r="P29"/>
  <c r="O29"/>
  <c r="O31"/>
  <c r="N29"/>
  <c r="M29"/>
  <c r="L29"/>
  <c r="L31"/>
  <c r="J29"/>
  <c r="I29"/>
  <c r="H29"/>
  <c r="H31"/>
  <c r="G29"/>
  <c r="F29"/>
  <c r="F31" s="1"/>
  <c r="E29"/>
  <c r="K29" s="1"/>
  <c r="R29" s="1"/>
  <c r="Q28"/>
  <c r="P28"/>
  <c r="O28"/>
  <c r="N28"/>
  <c r="M28"/>
  <c r="L28"/>
  <c r="J28"/>
  <c r="I28"/>
  <c r="H28"/>
  <c r="G28"/>
  <c r="F28"/>
  <c r="E28"/>
  <c r="K28" s="1"/>
  <c r="R28" s="1"/>
  <c r="K27"/>
  <c r="R27"/>
  <c r="K26"/>
  <c r="R26"/>
  <c r="Q19"/>
  <c r="P19"/>
  <c r="O19"/>
  <c r="N19"/>
  <c r="M19"/>
  <c r="L19"/>
  <c r="L21" s="1"/>
  <c r="J19"/>
  <c r="J21" s="1"/>
  <c r="I19"/>
  <c r="I20" s="1"/>
  <c r="H19"/>
  <c r="H21" s="1"/>
  <c r="G19"/>
  <c r="F19"/>
  <c r="F21"/>
  <c r="E19"/>
  <c r="E20"/>
  <c r="Q18"/>
  <c r="P18"/>
  <c r="O18"/>
  <c r="N18"/>
  <c r="M18"/>
  <c r="L18"/>
  <c r="J18"/>
  <c r="I18"/>
  <c r="H18"/>
  <c r="G18"/>
  <c r="F18"/>
  <c r="E18"/>
  <c r="E22" s="1"/>
  <c r="L16"/>
  <c r="J16"/>
  <c r="I16"/>
  <c r="H16"/>
  <c r="G16"/>
  <c r="F16"/>
  <c r="E16"/>
  <c r="K16"/>
  <c r="R16" s="1"/>
  <c r="L15"/>
  <c r="J15"/>
  <c r="I15"/>
  <c r="H15"/>
  <c r="G15"/>
  <c r="F15"/>
  <c r="E15"/>
  <c r="K15" s="1"/>
  <c r="R15" s="1"/>
  <c r="K14"/>
  <c r="R14"/>
  <c r="K13"/>
  <c r="R13"/>
  <c r="K12"/>
  <c r="R12"/>
  <c r="K11"/>
  <c r="R11"/>
  <c r="Q10"/>
  <c r="P10"/>
  <c r="O10"/>
  <c r="N10"/>
  <c r="M10"/>
  <c r="L10"/>
  <c r="J10"/>
  <c r="I10"/>
  <c r="H10"/>
  <c r="G10"/>
  <c r="F10"/>
  <c r="E10"/>
  <c r="K10" s="1"/>
  <c r="R10" s="1"/>
  <c r="K9"/>
  <c r="K8"/>
  <c r="K17" s="1"/>
  <c r="Q6"/>
  <c r="P6"/>
  <c r="O6"/>
  <c r="N6"/>
  <c r="M6"/>
  <c r="L6"/>
  <c r="J6"/>
  <c r="J50" s="1"/>
  <c r="I6"/>
  <c r="H6"/>
  <c r="G6"/>
  <c r="G50" s="1"/>
  <c r="F6"/>
  <c r="E6"/>
  <c r="Q5"/>
  <c r="P5"/>
  <c r="P7" s="1"/>
  <c r="O5"/>
  <c r="N5"/>
  <c r="N7"/>
  <c r="M5"/>
  <c r="L5"/>
  <c r="J5"/>
  <c r="I5"/>
  <c r="I7" s="1"/>
  <c r="H5"/>
  <c r="G5"/>
  <c r="G7"/>
  <c r="F5"/>
  <c r="E5"/>
  <c r="E7" s="1"/>
  <c r="Q4"/>
  <c r="P4"/>
  <c r="O4"/>
  <c r="N4"/>
  <c r="M4"/>
  <c r="L4"/>
  <c r="J4"/>
  <c r="I4"/>
  <c r="H4"/>
  <c r="G4"/>
  <c r="F4"/>
  <c r="E4"/>
  <c r="K4" s="1"/>
  <c r="R4" s="1"/>
  <c r="K3"/>
  <c r="R3"/>
  <c r="K2"/>
  <c r="R2"/>
  <c r="H20"/>
  <c r="H22"/>
  <c r="E21"/>
  <c r="H50"/>
  <c r="R33"/>
  <c r="K6"/>
  <c r="R6" s="1"/>
  <c r="O50"/>
  <c r="E44"/>
  <c r="G44"/>
  <c r="I44"/>
  <c r="M44"/>
  <c r="M46" s="1"/>
  <c r="Q44"/>
  <c r="Q46" s="1"/>
  <c r="O61"/>
  <c r="O64"/>
  <c r="J31"/>
  <c r="H44"/>
  <c r="L44"/>
  <c r="L46" s="1"/>
  <c r="N44"/>
  <c r="P44"/>
  <c r="C26" i="10"/>
  <c r="J114"/>
  <c r="C106"/>
  <c r="C103"/>
  <c r="J29"/>
  <c r="J30"/>
  <c r="C22"/>
  <c r="J14"/>
  <c r="J26" s="1"/>
  <c r="I114"/>
  <c r="I129" s="1"/>
  <c r="Q31" i="8"/>
  <c r="M19" i="10"/>
  <c r="M116"/>
  <c r="J12"/>
  <c r="J9" s="1"/>
  <c r="M12"/>
  <c r="N12" s="1"/>
  <c r="F106"/>
  <c r="I103"/>
  <c r="F14"/>
  <c r="I26"/>
  <c r="F26"/>
  <c r="J23"/>
  <c r="J20"/>
  <c r="I130"/>
  <c r="I12"/>
  <c r="I140"/>
  <c r="M140" s="1"/>
  <c r="N140" s="1"/>
  <c r="I9"/>
  <c r="F22"/>
  <c r="F31" i="19"/>
  <c r="F14"/>
  <c r="F16"/>
  <c r="F17"/>
  <c r="F83"/>
  <c r="F113"/>
  <c r="O113"/>
  <c r="P113" s="1"/>
  <c r="F117"/>
  <c r="O117" s="1"/>
  <c r="P117" s="1"/>
  <c r="F122"/>
  <c r="O122"/>
  <c r="F124"/>
  <c r="F126"/>
  <c r="O126" s="1"/>
  <c r="P126" s="1"/>
  <c r="F133"/>
  <c r="F139"/>
  <c r="I142"/>
  <c r="P142"/>
  <c r="F143"/>
  <c r="F148"/>
  <c r="F150"/>
  <c r="O150"/>
  <c r="I120"/>
  <c r="F120"/>
  <c r="O120" s="1"/>
  <c r="P120" s="1"/>
  <c r="I105"/>
  <c r="O11" i="10"/>
  <c r="G103"/>
  <c r="I140" i="19"/>
  <c r="N139" i="10"/>
  <c r="F18"/>
  <c r="D123"/>
  <c r="D117"/>
  <c r="D114" s="1"/>
  <c r="D108"/>
  <c r="D120"/>
  <c r="F135"/>
  <c r="G135" s="1"/>
  <c r="G146" s="1"/>
  <c r="M107"/>
  <c r="J29" i="19"/>
  <c r="C105"/>
  <c r="G117"/>
  <c r="G28" s="1"/>
  <c r="D124" i="10"/>
  <c r="M123"/>
  <c r="M124" s="1"/>
  <c r="G114" i="19"/>
  <c r="D106" i="10"/>
  <c r="D103" s="1"/>
  <c r="P11"/>
  <c r="I102" i="19"/>
  <c r="I114"/>
  <c r="F114"/>
  <c r="O114" s="1"/>
  <c r="P114"/>
  <c r="J102"/>
  <c r="J129"/>
  <c r="O133"/>
  <c r="P133"/>
  <c r="F103" i="10"/>
  <c r="D135"/>
  <c r="C146"/>
  <c r="M7" i="8"/>
  <c r="M50"/>
  <c r="E50"/>
  <c r="M45"/>
  <c r="H73"/>
  <c r="M109" i="10"/>
  <c r="Y11"/>
  <c r="Y12" s="1"/>
  <c r="M18"/>
  <c r="N111" s="1"/>
  <c r="I21" i="19"/>
  <c r="F21" s="1"/>
  <c r="J44" i="8"/>
  <c r="J46" s="1"/>
  <c r="O44"/>
  <c r="O46" s="1"/>
  <c r="G31"/>
  <c r="K19"/>
  <c r="K20"/>
  <c r="J20"/>
  <c r="J22"/>
  <c r="F20"/>
  <c r="F22"/>
  <c r="H7"/>
  <c r="Q7"/>
  <c r="R8"/>
  <c r="N69"/>
  <c r="Q50"/>
  <c r="R35"/>
  <c r="E45"/>
  <c r="G45"/>
  <c r="L45"/>
  <c r="F146" i="10"/>
  <c r="D137"/>
  <c r="D17"/>
  <c r="F137"/>
  <c r="G137"/>
  <c r="G150" s="1"/>
  <c r="N12" i="19"/>
  <c r="O14"/>
  <c r="P14"/>
  <c r="O15"/>
  <c r="P15"/>
  <c r="O31"/>
  <c r="P31"/>
  <c r="N31"/>
  <c r="O109"/>
  <c r="P109" s="1"/>
  <c r="M117"/>
  <c r="N117" s="1"/>
  <c r="M122"/>
  <c r="N122" s="1"/>
  <c r="O124"/>
  <c r="P124" s="1"/>
  <c r="C27"/>
  <c r="D27"/>
  <c r="M27"/>
  <c r="N27" s="1"/>
  <c r="O16"/>
  <c r="P16" s="1"/>
  <c r="N16"/>
  <c r="O17"/>
  <c r="P17"/>
  <c r="N17"/>
  <c r="D22"/>
  <c r="O83"/>
  <c r="P83"/>
  <c r="N83"/>
  <c r="P122"/>
  <c r="D110"/>
  <c r="D105"/>
  <c r="F110"/>
  <c r="G110"/>
  <c r="O143"/>
  <c r="P143"/>
  <c r="O148"/>
  <c r="P148"/>
  <c r="N148"/>
  <c r="P150"/>
  <c r="P107"/>
  <c r="G15"/>
  <c r="O110"/>
  <c r="P110"/>
  <c r="F27"/>
  <c r="O27"/>
  <c r="P27" s="1"/>
  <c r="G17" i="10"/>
  <c r="R19" i="8"/>
  <c r="R20"/>
  <c r="O21" i="19"/>
  <c r="P21"/>
  <c r="O139" i="10"/>
  <c r="M110" i="19"/>
  <c r="N110" s="1"/>
  <c r="D124"/>
  <c r="D15"/>
  <c r="D150" i="10"/>
  <c r="G133"/>
  <c r="G130"/>
  <c r="I71" i="8"/>
  <c r="I73"/>
  <c r="L73" s="1"/>
  <c r="O73" s="1"/>
  <c r="D133" i="10"/>
  <c r="D130"/>
  <c r="D146"/>
  <c r="D14"/>
  <c r="D12" s="1"/>
  <c r="D9" s="1"/>
  <c r="D102" i="19"/>
  <c r="M15"/>
  <c r="N15" s="1"/>
  <c r="D29"/>
  <c r="C114" i="21"/>
  <c r="C129"/>
  <c r="C21"/>
  <c r="C19"/>
  <c r="F116"/>
  <c r="F21"/>
  <c r="F19" s="1"/>
  <c r="O19" s="1"/>
  <c r="P19" s="1"/>
  <c r="O21"/>
  <c r="P21" s="1"/>
  <c r="F114"/>
  <c r="O114" s="1"/>
  <c r="P114" s="1"/>
  <c r="O116"/>
  <c r="P116"/>
  <c r="D19" i="19"/>
  <c r="G22"/>
  <c r="M22"/>
  <c r="N22" s="1"/>
  <c r="M28"/>
  <c r="N28" s="1"/>
  <c r="F140"/>
  <c r="O140" s="1"/>
  <c r="P140" s="1"/>
  <c r="O139"/>
  <c r="P139"/>
  <c r="N13" i="10"/>
  <c r="O12"/>
  <c r="O13" s="1"/>
  <c r="F7" i="8"/>
  <c r="F50"/>
  <c r="L7"/>
  <c r="L50"/>
  <c r="R17"/>
  <c r="R18" s="1"/>
  <c r="R22" s="1"/>
  <c r="K18"/>
  <c r="K22"/>
  <c r="G20"/>
  <c r="G22"/>
  <c r="G21"/>
  <c r="S26"/>
  <c r="I31"/>
  <c r="I50"/>
  <c r="N50"/>
  <c r="P50"/>
  <c r="P31"/>
  <c r="R32"/>
  <c r="K41"/>
  <c r="F45"/>
  <c r="K43"/>
  <c r="J45"/>
  <c r="O45"/>
  <c r="Q45"/>
  <c r="G120" i="10"/>
  <c r="G14"/>
  <c r="M148"/>
  <c r="D143"/>
  <c r="I22" i="19"/>
  <c r="I29"/>
  <c r="D129"/>
  <c r="G29"/>
  <c r="M29" s="1"/>
  <c r="N29" s="1"/>
  <c r="D26" i="10"/>
  <c r="I19" i="19"/>
  <c r="R49" i="8"/>
  <c r="G105" i="19"/>
  <c r="G124"/>
  <c r="M124"/>
  <c r="N124" s="1"/>
  <c r="F44" i="8"/>
  <c r="F46" s="1"/>
  <c r="C102" i="19"/>
  <c r="G124" i="10"/>
  <c r="D148"/>
  <c r="F146" i="19"/>
  <c r="O146"/>
  <c r="P146" s="1"/>
  <c r="N31" i="8"/>
  <c r="K49"/>
  <c r="I21"/>
  <c r="K21" s="1"/>
  <c r="R21" s="1"/>
  <c r="L20"/>
  <c r="L22"/>
  <c r="O7"/>
  <c r="R9"/>
  <c r="R51" s="1"/>
  <c r="K51"/>
  <c r="E31"/>
  <c r="K31"/>
  <c r="K30"/>
  <c r="M31"/>
  <c r="I42"/>
  <c r="I46" s="1"/>
  <c r="I45"/>
  <c r="N42"/>
  <c r="N46" s="1"/>
  <c r="N45"/>
  <c r="P42"/>
  <c r="P46" s="1"/>
  <c r="P45"/>
  <c r="K61"/>
  <c r="R56"/>
  <c r="G143" i="10"/>
  <c r="G29"/>
  <c r="G148"/>
  <c r="D22"/>
  <c r="O130" i="19"/>
  <c r="P130"/>
  <c r="C22"/>
  <c r="C19" s="1"/>
  <c r="C29"/>
  <c r="O28"/>
  <c r="P28"/>
  <c r="M133"/>
  <c r="D130"/>
  <c r="M130" s="1"/>
  <c r="N130" s="1"/>
  <c r="M7" i="21"/>
  <c r="O112"/>
  <c r="P112"/>
  <c r="F17"/>
  <c r="F10"/>
  <c r="C150" i="10"/>
  <c r="F150"/>
  <c r="C148"/>
  <c r="F148"/>
  <c r="I29"/>
  <c r="C143"/>
  <c r="C133"/>
  <c r="J126"/>
  <c r="C114"/>
  <c r="F114"/>
  <c r="C19"/>
  <c r="F19"/>
  <c r="I32"/>
  <c r="F32"/>
  <c r="F113"/>
  <c r="G113"/>
  <c r="F116"/>
  <c r="G116"/>
  <c r="F139"/>
  <c r="G139"/>
  <c r="F142"/>
  <c r="G142"/>
  <c r="G140" s="1"/>
  <c r="C13" i="19"/>
  <c r="D13"/>
  <c r="G13"/>
  <c r="J13"/>
  <c r="J18"/>
  <c r="G21"/>
  <c r="M21" s="1"/>
  <c r="N21" s="1"/>
  <c r="J133"/>
  <c r="D140"/>
  <c r="D153" s="1"/>
  <c r="J146"/>
  <c r="N146" s="1"/>
  <c r="I13"/>
  <c r="N139"/>
  <c r="M10" i="21"/>
  <c r="M102"/>
  <c r="N102"/>
  <c r="M105"/>
  <c r="N105"/>
  <c r="F105"/>
  <c r="O13"/>
  <c r="P13" s="1"/>
  <c r="I10"/>
  <c r="I7" s="1"/>
  <c r="F27"/>
  <c r="O27" s="1"/>
  <c r="P27" s="1"/>
  <c r="C31"/>
  <c r="O17"/>
  <c r="P17" s="1"/>
  <c r="I105"/>
  <c r="I102"/>
  <c r="I129" s="1"/>
  <c r="F129" s="1"/>
  <c r="O129" s="1"/>
  <c r="P129" s="1"/>
  <c r="P107"/>
  <c r="D19"/>
  <c r="J13"/>
  <c r="J21"/>
  <c r="J28"/>
  <c r="N133" i="19"/>
  <c r="J130"/>
  <c r="G25"/>
  <c r="G10"/>
  <c r="G7"/>
  <c r="C25"/>
  <c r="C10"/>
  <c r="G19" i="10"/>
  <c r="F143"/>
  <c r="C140"/>
  <c r="F140"/>
  <c r="C29"/>
  <c r="R31" i="8"/>
  <c r="F102" i="19"/>
  <c r="O102"/>
  <c r="P102" s="1"/>
  <c r="C129"/>
  <c r="F29"/>
  <c r="O29"/>
  <c r="P29" s="1"/>
  <c r="R43" i="8"/>
  <c r="R44" s="1"/>
  <c r="R46" s="1"/>
  <c r="K44"/>
  <c r="R41"/>
  <c r="R42"/>
  <c r="K42"/>
  <c r="J22" i="21"/>
  <c r="N22" s="1"/>
  <c r="N28"/>
  <c r="J29"/>
  <c r="J25"/>
  <c r="N25" s="1"/>
  <c r="N13"/>
  <c r="J10"/>
  <c r="F102"/>
  <c r="O102" s="1"/>
  <c r="P102" s="1"/>
  <c r="O105"/>
  <c r="P105"/>
  <c r="F13" i="19"/>
  <c r="O13" s="1"/>
  <c r="P13" s="1"/>
  <c r="I25"/>
  <c r="F25" s="1"/>
  <c r="O25" s="1"/>
  <c r="P25" s="1"/>
  <c r="I10"/>
  <c r="G19"/>
  <c r="J10"/>
  <c r="J25"/>
  <c r="D25"/>
  <c r="M25" s="1"/>
  <c r="N25" s="1"/>
  <c r="M13"/>
  <c r="N13" s="1"/>
  <c r="D10"/>
  <c r="M10" s="1"/>
  <c r="G22" i="10"/>
  <c r="G114"/>
  <c r="G129" s="1"/>
  <c r="F133"/>
  <c r="C130"/>
  <c r="F130"/>
  <c r="I30"/>
  <c r="I23"/>
  <c r="F7" i="21"/>
  <c r="O7"/>
  <c r="P7" s="1"/>
  <c r="O10"/>
  <c r="P10" s="1"/>
  <c r="G30" i="10"/>
  <c r="G23"/>
  <c r="K64" i="8"/>
  <c r="R64" s="1"/>
  <c r="R30"/>
  <c r="R50" s="1"/>
  <c r="K50"/>
  <c r="C129" i="10"/>
  <c r="F129"/>
  <c r="G102" i="19"/>
  <c r="M105"/>
  <c r="N105" s="1"/>
  <c r="F31" i="21"/>
  <c r="O31" s="1"/>
  <c r="P31" s="1"/>
  <c r="F22" i="19"/>
  <c r="O22"/>
  <c r="P22" s="1"/>
  <c r="D29" i="10"/>
  <c r="D23" s="1"/>
  <c r="D20" s="1"/>
  <c r="D140"/>
  <c r="G26"/>
  <c r="G12"/>
  <c r="G9"/>
  <c r="M19" i="19"/>
  <c r="N19"/>
  <c r="G129"/>
  <c r="M102"/>
  <c r="N102" s="1"/>
  <c r="M7" i="10"/>
  <c r="N7" s="1"/>
  <c r="I20"/>
  <c r="D7" i="19"/>
  <c r="M7" s="1"/>
  <c r="J7"/>
  <c r="J7" i="21"/>
  <c r="N10"/>
  <c r="K46" i="8"/>
  <c r="C23" i="10"/>
  <c r="C20"/>
  <c r="F20" s="1"/>
  <c r="C30"/>
  <c r="F30" s="1"/>
  <c r="D30"/>
  <c r="F29"/>
  <c r="G20"/>
  <c r="F10" i="19"/>
  <c r="O10" s="1"/>
  <c r="P10" s="1"/>
  <c r="I7"/>
  <c r="C153"/>
  <c r="C7"/>
  <c r="J153"/>
  <c r="J19" i="21"/>
  <c r="M129" i="19"/>
  <c r="N129"/>
  <c r="F7"/>
  <c r="O7"/>
  <c r="P7" s="1"/>
  <c r="N7" i="21"/>
  <c r="N7" i="19" l="1"/>
  <c r="N10"/>
  <c r="R7" i="21"/>
  <c r="S7" s="1"/>
  <c r="R18"/>
  <c r="D129" i="10"/>
  <c r="S56" i="8"/>
  <c r="C12" i="10"/>
  <c r="C9" s="1"/>
  <c r="F17"/>
  <c r="M114" i="19"/>
  <c r="N114" s="1"/>
  <c r="F23" i="10"/>
  <c r="O68" i="8"/>
  <c r="N68"/>
  <c r="F9" i="10"/>
  <c r="I22" i="8"/>
  <c r="K45"/>
  <c r="R45" s="1"/>
  <c r="N18" i="19"/>
  <c r="I129"/>
  <c r="Z19" i="10"/>
  <c r="K5" i="8"/>
  <c r="R5" s="1"/>
  <c r="J7"/>
  <c r="K7" s="1"/>
  <c r="R7" s="1"/>
  <c r="H42"/>
  <c r="H46" s="1"/>
  <c r="N120" i="19"/>
  <c r="O25" i="21"/>
  <c r="P25" s="1"/>
  <c r="N29"/>
  <c r="F135" i="19"/>
  <c r="F108"/>
  <c r="F105" s="1"/>
  <c r="O105" s="1"/>
  <c r="P105" s="1"/>
  <c r="O29" i="21"/>
  <c r="P29" s="1"/>
  <c r="F19" i="19"/>
  <c r="O19"/>
  <c r="P19" s="1"/>
  <c r="I153"/>
  <c r="F129"/>
  <c r="M140"/>
  <c r="N140" s="1"/>
  <c r="G153"/>
  <c r="M113" i="21"/>
  <c r="N113" s="1"/>
  <c r="G18"/>
  <c r="M18" s="1"/>
  <c r="N18" s="1"/>
  <c r="G129"/>
  <c r="M129" s="1"/>
  <c r="M142"/>
  <c r="N142" s="1"/>
  <c r="G140"/>
  <c r="M140" s="1"/>
  <c r="N140" s="1"/>
  <c r="J129"/>
  <c r="N129" s="1"/>
  <c r="N114"/>
  <c r="G21"/>
  <c r="G19" s="1"/>
  <c r="M19" s="1"/>
  <c r="N19" s="1"/>
  <c r="Z9" i="10"/>
  <c r="O135" i="19"/>
  <c r="P135" s="1"/>
  <c r="O108"/>
  <c r="P108" s="1"/>
  <c r="O130" i="21"/>
  <c r="P130" s="1"/>
  <c r="P69" i="8" l="1"/>
  <c r="P61" s="1"/>
  <c r="Q69"/>
  <c r="D2" i="10"/>
  <c r="Y9"/>
  <c r="F12"/>
  <c r="F153" i="19"/>
  <c r="O129"/>
  <c r="P129" s="1"/>
  <c r="M21" i="21"/>
  <c r="N21" s="1"/>
  <c r="R69" i="8" l="1"/>
  <c r="R70" s="1"/>
  <c r="Q61"/>
  <c r="R61"/>
  <c r="U61" s="1"/>
</calcChain>
</file>

<file path=xl/comments1.xml><?xml version="1.0" encoding="utf-8"?>
<comments xmlns="http://schemas.openxmlformats.org/spreadsheetml/2006/main">
  <authors>
    <author>Рудаева Т.Б.</author>
  </authors>
  <commentList>
    <comment ref="P61" authorId="0">
      <text>
        <r>
          <rPr>
            <b/>
            <sz val="8"/>
            <color indexed="81"/>
            <rFont val="Tahoma"/>
            <family val="2"/>
            <charset val="204"/>
          </rPr>
          <t>Рудаева Т.Б.:</t>
        </r>
        <r>
          <rPr>
            <sz val="8"/>
            <color indexed="81"/>
            <rFont val="Tahoma"/>
            <family val="2"/>
            <charset val="204"/>
          </rPr>
          <t xml:space="preserve">
предполагаемый 2012
</t>
        </r>
      </text>
    </comment>
    <comment ref="N69" authorId="0">
      <text>
        <r>
          <rPr>
            <b/>
            <sz val="8"/>
            <color indexed="81"/>
            <rFont val="Tahoma"/>
            <family val="2"/>
            <charset val="204"/>
          </rPr>
          <t>Рудаева Т.Б.:</t>
        </r>
        <r>
          <rPr>
            <sz val="8"/>
            <color indexed="81"/>
            <rFont val="Tahoma"/>
            <family val="2"/>
            <charset val="204"/>
          </rPr>
          <t xml:space="preserve">
факт 10 мес 2012</t>
        </r>
      </text>
    </comment>
    <comment ref="H72" authorId="0">
      <text>
        <r>
          <rPr>
            <b/>
            <sz val="8"/>
            <color indexed="81"/>
            <rFont val="Tahoma"/>
            <family val="2"/>
            <charset val="204"/>
          </rPr>
          <t>Рудаева Т.Б.:</t>
        </r>
        <r>
          <rPr>
            <sz val="8"/>
            <color indexed="81"/>
            <rFont val="Tahoma"/>
            <family val="2"/>
            <charset val="204"/>
          </rPr>
          <t xml:space="preserve">
факт ДРСК 9 мес. 2011</t>
        </r>
      </text>
    </comment>
    <comment ref="H73" authorId="0">
      <text>
        <r>
          <rPr>
            <b/>
            <sz val="8"/>
            <color indexed="81"/>
            <rFont val="Tahoma"/>
            <family val="2"/>
            <charset val="204"/>
          </rPr>
          <t>Рудаева Т.Б.:</t>
        </r>
        <r>
          <rPr>
            <sz val="8"/>
            <color indexed="81"/>
            <rFont val="Tahoma"/>
            <family val="2"/>
            <charset val="204"/>
          </rPr>
          <t xml:space="preserve">
9 мес 2012
</t>
        </r>
      </text>
    </comment>
  </commentList>
</comments>
</file>

<file path=xl/comments2.xml><?xml version="1.0" encoding="utf-8"?>
<comments xmlns="http://schemas.openxmlformats.org/spreadsheetml/2006/main">
  <authors>
    <author>Рудаева Т.Б.</author>
  </authors>
  <commentList>
    <comment ref="AC2" authorId="0">
      <text>
        <r>
          <rPr>
            <b/>
            <sz val="8"/>
            <color indexed="81"/>
            <rFont val="Tahoma"/>
            <family val="2"/>
            <charset val="204"/>
          </rPr>
          <t>Рудаева Т.Б.:</t>
        </r>
        <r>
          <rPr>
            <sz val="8"/>
            <color indexed="81"/>
            <rFont val="Tahoma"/>
            <family val="2"/>
            <charset val="204"/>
          </rPr>
          <t xml:space="preserve">
скрытый лист</t>
        </r>
      </text>
    </comment>
  </commentList>
</comments>
</file>

<file path=xl/comments3.xml><?xml version="1.0" encoding="utf-8"?>
<comments xmlns="http://schemas.openxmlformats.org/spreadsheetml/2006/main">
  <authors>
    <author>Татьяна Б. Рудаева</author>
  </authors>
  <commentList>
    <comment ref="D27" authorId="0">
      <text>
        <r>
          <rPr>
            <b/>
            <sz val="9"/>
            <color indexed="81"/>
            <rFont val="Tahoma"/>
            <family val="2"/>
            <charset val="204"/>
          </rPr>
          <t>Татьяна Б. Рудаева:</t>
        </r>
        <r>
          <rPr>
            <sz val="9"/>
            <color indexed="81"/>
            <rFont val="Tahoma"/>
            <family val="2"/>
            <charset val="204"/>
          </rPr>
          <t xml:space="preserve">
Отпуск ССО</t>
        </r>
      </text>
    </comment>
  </commentList>
</comments>
</file>

<file path=xl/comments4.xml><?xml version="1.0" encoding="utf-8"?>
<comments xmlns="http://schemas.openxmlformats.org/spreadsheetml/2006/main">
  <authors>
    <author>Татьяна Б. Рудаева</author>
  </authors>
  <commentList>
    <comment ref="D27" authorId="0">
      <text>
        <r>
          <rPr>
            <b/>
            <sz val="9"/>
            <color indexed="81"/>
            <rFont val="Tahoma"/>
            <family val="2"/>
            <charset val="204"/>
          </rPr>
          <t>Татьяна Б. Рудаева:</t>
        </r>
        <r>
          <rPr>
            <sz val="9"/>
            <color indexed="81"/>
            <rFont val="Tahoma"/>
            <family val="2"/>
            <charset val="204"/>
          </rPr>
          <t xml:space="preserve">
мощность ССО</t>
        </r>
      </text>
    </comment>
  </commentList>
</comments>
</file>

<file path=xl/comments5.xml><?xml version="1.0" encoding="utf-8"?>
<comments xmlns="http://schemas.openxmlformats.org/spreadsheetml/2006/main">
  <authors>
    <author>Татьяна Б. Рудаева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>Татьяна Б. Рудаева:</t>
        </r>
        <r>
          <rPr>
            <sz val="9"/>
            <color indexed="81"/>
            <rFont val="Tahoma"/>
            <family val="2"/>
            <charset val="204"/>
          </rPr>
          <t xml:space="preserve">
Отпуск ССО</t>
        </r>
      </text>
    </comment>
  </commentList>
</comments>
</file>

<file path=xl/sharedStrings.xml><?xml version="1.0" encoding="utf-8"?>
<sst xmlns="http://schemas.openxmlformats.org/spreadsheetml/2006/main" count="1610" uniqueCount="345">
  <si>
    <t>Таблица № П1.30</t>
  </si>
  <si>
    <t>Отпуск (передача) электроэнергии территориальными сетевыми организациями</t>
  </si>
  <si>
    <t>МУП "Уссурийск-электросеть"</t>
  </si>
  <si>
    <t>№</t>
  </si>
  <si>
    <t>Наименование показателя</t>
  </si>
  <si>
    <t>Отпуск ЭЭ, тыс. кВт·ч</t>
  </si>
  <si>
    <t>Заявленная мощность, МВт</t>
  </si>
  <si>
    <t>Присоединенная мощность, МВА</t>
  </si>
  <si>
    <t>Товарная продукция, тыс. руб.</t>
  </si>
  <si>
    <t>1</t>
  </si>
  <si>
    <t>Поступление электроэнергии в сеть - всего</t>
  </si>
  <si>
    <t>в т.ч. из</t>
  </si>
  <si>
    <t>1.1</t>
  </si>
  <si>
    <t xml:space="preserve">не сетевых организаций </t>
  </si>
  <si>
    <t>1.2</t>
  </si>
  <si>
    <t>сетевых организаций</t>
  </si>
  <si>
    <t>1.2.1</t>
  </si>
  <si>
    <t>ОАО "ДРСК"</t>
  </si>
  <si>
    <t>1.2.2</t>
  </si>
  <si>
    <t>ОАО "РЖД"</t>
  </si>
  <si>
    <t>1.2.3</t>
  </si>
  <si>
    <t>1.2.4</t>
  </si>
  <si>
    <t>1.2.5</t>
  </si>
  <si>
    <t>ЗАО УМЖК "Приморская соя"</t>
  </si>
  <si>
    <t>2</t>
  </si>
  <si>
    <t>Потери электроэнергии - всего</t>
  </si>
  <si>
    <t>3</t>
  </si>
  <si>
    <t>Отпуск (передача) электроэнергии сетевыми предприятиями - всего</t>
  </si>
  <si>
    <t>в т.ч.</t>
  </si>
  <si>
    <t>3.1</t>
  </si>
  <si>
    <t>не сетевым организациям</t>
  </si>
  <si>
    <t>3.2.</t>
  </si>
  <si>
    <t>сетевым организациям</t>
  </si>
  <si>
    <t>3.2.1.</t>
  </si>
  <si>
    <t>3.2.1.1</t>
  </si>
  <si>
    <t>также в сальдированном выражении (п. 3.2.1 - п. 1.2.1)</t>
  </si>
  <si>
    <t>3.2.2.</t>
  </si>
  <si>
    <t xml:space="preserve">РЖД </t>
  </si>
  <si>
    <t>3.2.2.1</t>
  </si>
  <si>
    <t>также в сальдированном выражении (п. 3.2.2 - п. 1.2.2)</t>
  </si>
  <si>
    <t>3.2.3.</t>
  </si>
  <si>
    <t>3.2.3.1</t>
  </si>
  <si>
    <t>также в сальдированном выражении (п. 3.2.3 - п. 1.2.3)</t>
  </si>
  <si>
    <t>3.2.4.</t>
  </si>
  <si>
    <t>3.2.4.1</t>
  </si>
  <si>
    <t>…</t>
  </si>
  <si>
    <t>4</t>
  </si>
  <si>
    <t>Поступление электроэнергии в ЕНЭС</t>
  </si>
  <si>
    <t>4.1</t>
  </si>
  <si>
    <t>не сетевых организаций</t>
  </si>
  <si>
    <t>4.2</t>
  </si>
  <si>
    <t>4.2.1</t>
  </si>
  <si>
    <t>сетевой организации 1</t>
  </si>
  <si>
    <t>4.2.2</t>
  </si>
  <si>
    <t>сетевой организации 2</t>
  </si>
  <si>
    <t>5</t>
  </si>
  <si>
    <t>Потери электроэнергии</t>
  </si>
  <si>
    <t>6</t>
  </si>
  <si>
    <t>Отпуск (передача) электроэнергии</t>
  </si>
  <si>
    <t>6.1</t>
  </si>
  <si>
    <t>6.2</t>
  </si>
  <si>
    <t>6.2.1</t>
  </si>
  <si>
    <t>6.2.1.1</t>
  </si>
  <si>
    <t>также в сальдированном выражении (п. 6.2.1 - п. 4.2.1)</t>
  </si>
  <si>
    <t>6.2.2</t>
  </si>
  <si>
    <t>6.2.2.1</t>
  </si>
  <si>
    <t>также в сальдированном выражении (п. 6.2.2 - п. 4.2.2)</t>
  </si>
  <si>
    <t>7</t>
  </si>
  <si>
    <t>Трансформировано из сети ЕНЭС в:</t>
  </si>
  <si>
    <t>8</t>
  </si>
  <si>
    <t>- ВН</t>
  </si>
  <si>
    <t>9</t>
  </si>
  <si>
    <t>- СН1</t>
  </si>
  <si>
    <t>10</t>
  </si>
  <si>
    <t>- СН2</t>
  </si>
  <si>
    <t>11</t>
  </si>
  <si>
    <t>- НН</t>
  </si>
  <si>
    <t>12</t>
  </si>
  <si>
    <t>Поступление электроэнергии в сеть ВН 110 кВ и 220 кВ</t>
  </si>
  <si>
    <t>12.1</t>
  </si>
  <si>
    <t>12.2</t>
  </si>
  <si>
    <t>12.2.1</t>
  </si>
  <si>
    <t>12.2.2</t>
  </si>
  <si>
    <t>13</t>
  </si>
  <si>
    <t>14</t>
  </si>
  <si>
    <t>14.1</t>
  </si>
  <si>
    <t>14.2</t>
  </si>
  <si>
    <t>14.2.1</t>
  </si>
  <si>
    <t>14.2.1.1</t>
  </si>
  <si>
    <t>также в сальдированном выражении (п. 14.2.1 - п. 12.2.1)</t>
  </si>
  <si>
    <t>14.2.2</t>
  </si>
  <si>
    <t>14.2.2.3</t>
  </si>
  <si>
    <t>также в сальдированном выражении (п. 14.2.2 - п. 12.2.2)</t>
  </si>
  <si>
    <t>15</t>
  </si>
  <si>
    <t>Трансформировано из 110 кВ в:</t>
  </si>
  <si>
    <t>16</t>
  </si>
  <si>
    <t>17</t>
  </si>
  <si>
    <t>18</t>
  </si>
  <si>
    <t>19</t>
  </si>
  <si>
    <t>Поступление электроэнергии в сеть СН1</t>
  </si>
  <si>
    <t>19.1</t>
  </si>
  <si>
    <t>19.2</t>
  </si>
  <si>
    <t>в т.ч из</t>
  </si>
  <si>
    <t>19.2.1</t>
  </si>
  <si>
    <t>19.2.2</t>
  </si>
  <si>
    <t>20</t>
  </si>
  <si>
    <t>21</t>
  </si>
  <si>
    <t>21.1</t>
  </si>
  <si>
    <t>21.2</t>
  </si>
  <si>
    <t xml:space="preserve">сетевым организациям </t>
  </si>
  <si>
    <t>21.2.1</t>
  </si>
  <si>
    <t>21.2.1.1</t>
  </si>
  <si>
    <t>также в сальдированном выражении (п. 21.2.1 - п. 19.2.1)</t>
  </si>
  <si>
    <t>21.2.2</t>
  </si>
  <si>
    <t>21.2.2.2</t>
  </si>
  <si>
    <t>также в сальдированном выражении (п. 21.2.2 - п. 19.2.2)</t>
  </si>
  <si>
    <t>22</t>
  </si>
  <si>
    <t>Трансформировано из 35 кВ в:</t>
  </si>
  <si>
    <t>23</t>
  </si>
  <si>
    <t>24</t>
  </si>
  <si>
    <t>25</t>
  </si>
  <si>
    <t>Поступление электроэнергии в сеть СН2</t>
  </si>
  <si>
    <t>25.1</t>
  </si>
  <si>
    <t>25.2</t>
  </si>
  <si>
    <t>25.2.1</t>
  </si>
  <si>
    <t>25.2.2</t>
  </si>
  <si>
    <t>25.2.3</t>
  </si>
  <si>
    <t>25.2.4</t>
  </si>
  <si>
    <t>26</t>
  </si>
  <si>
    <t>27</t>
  </si>
  <si>
    <t>27.1</t>
  </si>
  <si>
    <t>27.2</t>
  </si>
  <si>
    <t>27.2.1</t>
  </si>
  <si>
    <t>27.2.1.1</t>
  </si>
  <si>
    <t>также в сальдированном выражении (п. 27.2.1 - п. 25.2.1)</t>
  </si>
  <si>
    <t>27.2.2</t>
  </si>
  <si>
    <t>27.2.2.1</t>
  </si>
  <si>
    <t>также в сальдированном выражении (п. 27.2.2 - п.25.2.2)</t>
  </si>
  <si>
    <t>27.2.3</t>
  </si>
  <si>
    <t>27.2.3.1</t>
  </si>
  <si>
    <t>также в сальдированном выражении (п. 27.2.3 - п.25.2.3)</t>
  </si>
  <si>
    <t>27.2.4</t>
  </si>
  <si>
    <t>27.2.4.1</t>
  </si>
  <si>
    <t>также в сальдированном выражении (п. 27.2.4 - п. 27.2.4)</t>
  </si>
  <si>
    <t>28</t>
  </si>
  <si>
    <t>Трансформировано из 10-6 кВ в:</t>
  </si>
  <si>
    <t>29</t>
  </si>
  <si>
    <t>30</t>
  </si>
  <si>
    <t>Поступление электроэнергии в сеть НН</t>
  </si>
  <si>
    <t>30.1</t>
  </si>
  <si>
    <t>30.2</t>
  </si>
  <si>
    <t>30.2.1</t>
  </si>
  <si>
    <t>30.2.2</t>
  </si>
  <si>
    <t>30.2.3</t>
  </si>
  <si>
    <t>31</t>
  </si>
  <si>
    <t>32</t>
  </si>
  <si>
    <t>32.1</t>
  </si>
  <si>
    <t>32.2</t>
  </si>
  <si>
    <t>32.2.1</t>
  </si>
  <si>
    <t>32.2.1.1</t>
  </si>
  <si>
    <t>также в сальдированном выражении (п. 32.2.1 - п. 30.2.1)</t>
  </si>
  <si>
    <t>32.2.2</t>
  </si>
  <si>
    <t>32.2.2.1</t>
  </si>
  <si>
    <t>также в сальдированном выражении (п. 32.2.2 - п. 30.2.2)</t>
  </si>
  <si>
    <t>32.2.3</t>
  </si>
  <si>
    <t>РЖД</t>
  </si>
  <si>
    <t>32.2.3.1</t>
  </si>
  <si>
    <t>также в сальдированном выражении (п. 32.2.3 - п. 30.2.3)</t>
  </si>
  <si>
    <t>Директор МУП "Уссурийск-электросеть"</t>
  </si>
  <si>
    <t xml:space="preserve">       А.С.Дорохин</t>
  </si>
  <si>
    <t>Директор СП ПЦЭС филиала ОАО "ДРСК"-"ПЭС"</t>
  </si>
  <si>
    <t xml:space="preserve">       С.Н. Онищенко</t>
  </si>
  <si>
    <t>ОАО "Оборонэнерго"</t>
  </si>
  <si>
    <t>ООО "Уссурийский АРЗ"</t>
  </si>
  <si>
    <t>2013 год</t>
  </si>
  <si>
    <t>МУП УЭС</t>
  </si>
  <si>
    <t>январь</t>
  </si>
  <si>
    <t>февраль</t>
  </si>
  <si>
    <t>март</t>
  </si>
  <si>
    <t>апрель</t>
  </si>
  <si>
    <t>май</t>
  </si>
  <si>
    <t>июнь</t>
  </si>
  <si>
    <t xml:space="preserve">полугодие 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</si>
  <si>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</si>
  <si>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</si>
  <si>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</si>
  <si>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</si>
  <si>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</si>
  <si>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</si>
  <si>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</si>
  <si>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2011 год</t>
  </si>
  <si>
    <t>поступление в сеть</t>
  </si>
  <si>
    <t>план</t>
  </si>
  <si>
    <t>факт</t>
  </si>
  <si>
    <t>факт-план</t>
  </si>
  <si>
    <t>отпуск ССО</t>
  </si>
  <si>
    <t>Сальдо-переток</t>
  </si>
  <si>
    <t>полезный отпуск</t>
  </si>
  <si>
    <t>СН2</t>
  </si>
  <si>
    <t>НН</t>
  </si>
  <si>
    <t>потери</t>
  </si>
  <si>
    <t>млн.кВт*ч</t>
  </si>
  <si>
    <t>%</t>
  </si>
  <si>
    <t>увеличение</t>
  </si>
  <si>
    <t>снижение</t>
  </si>
  <si>
    <t>ДРСК</t>
  </si>
  <si>
    <t>всего</t>
  </si>
  <si>
    <t>Оборонэнерго</t>
  </si>
  <si>
    <t>УМЖК</t>
  </si>
  <si>
    <t>АРЗ</t>
  </si>
  <si>
    <t>ВСЕГо ПОЛУЧЕНО</t>
  </si>
  <si>
    <t>отдача</t>
  </si>
  <si>
    <t>предполагаемый 2012</t>
  </si>
  <si>
    <t>предположит ДРСК</t>
  </si>
  <si>
    <t>Прием из МУП УЭС</t>
  </si>
  <si>
    <t xml:space="preserve">Согласованные перетоки </t>
  </si>
  <si>
    <t>полгода</t>
  </si>
  <si>
    <t>кВтч</t>
  </si>
  <si>
    <t>мощность, МВт</t>
  </si>
  <si>
    <t>прием из РЖД</t>
  </si>
  <si>
    <t>прием из Оборонэнерго</t>
  </si>
  <si>
    <t>отдача Оборонэнерго</t>
  </si>
  <si>
    <t>прием от ЗАО УМЖК Приморская соя</t>
  </si>
  <si>
    <t>прием от УАРЗ</t>
  </si>
  <si>
    <t>Потери в электрической сети</t>
  </si>
  <si>
    <t>млн.кВтч</t>
  </si>
  <si>
    <t>Потери мощности в сети</t>
  </si>
  <si>
    <t>МВт</t>
  </si>
  <si>
    <t>Заявленная мощность потребителей</t>
  </si>
  <si>
    <t>Присоединенная мощность потребителей</t>
  </si>
  <si>
    <t>МВА</t>
  </si>
  <si>
    <t>Поступление э/э в сеть</t>
  </si>
  <si>
    <t>Поступление Мощности в сеть</t>
  </si>
  <si>
    <t>сальдо-переток</t>
  </si>
  <si>
    <t>МУП "Уссурийск-Электросеть"</t>
  </si>
  <si>
    <t>также в сальдированном выражении (п. 3.2.4 - п. 1.2.5)</t>
  </si>
  <si>
    <t>СН-2</t>
  </si>
  <si>
    <t>1-е полугодие 2014</t>
  </si>
  <si>
    <t>2-е полугодие 2014</t>
  </si>
  <si>
    <t>2014 год</t>
  </si>
  <si>
    <t>Директор по работе на розничном рынке электроэнергии ОАО "ДЭК"                                                                                                                Ю.С. Игнатов</t>
  </si>
  <si>
    <t>Отпуск (передача) электроэнергии территориальной сетевой организацией</t>
  </si>
  <si>
    <t>1.2.6</t>
  </si>
  <si>
    <t>ОАО "ФСК ЕЭС"</t>
  </si>
  <si>
    <t>25.2.5</t>
  </si>
  <si>
    <t>Директор по работе на розничном рынке электроэнергии ОАО "ДЭК"                                                                                                                    Ю.С. Игнатов</t>
  </si>
  <si>
    <t xml:space="preserve">           А.С.Дорохин</t>
  </si>
  <si>
    <t>ООО "АЭСК"</t>
  </si>
  <si>
    <t>1-е полугодие 2015</t>
  </si>
  <si>
    <t>2-е полугодие 2015</t>
  </si>
  <si>
    <t>2015 год</t>
  </si>
  <si>
    <r>
      <t>МУП "Уссурийск-электросеть" (</t>
    </r>
    <r>
      <rPr>
        <b/>
        <u/>
        <sz val="18"/>
        <rFont val="Times New Roman"/>
        <family val="1"/>
        <charset val="204"/>
      </rPr>
      <t>предварительная на 15.04.2014г.</t>
    </r>
    <r>
      <rPr>
        <b/>
        <sz val="18"/>
        <rFont val="Times New Roman"/>
        <family val="1"/>
        <charset val="204"/>
      </rPr>
      <t>)</t>
    </r>
  </si>
  <si>
    <t>Директор СП ПЦЭС филиала ОАО "ДРСК"-"ПЭС"                                                                                                                                                     С.Н.Онищенко</t>
  </si>
  <si>
    <t xml:space="preserve"> Ю.С. Игнатов</t>
  </si>
  <si>
    <r>
      <t xml:space="preserve">МУП "Уссурийск-электросеть" </t>
    </r>
    <r>
      <rPr>
        <b/>
        <u/>
        <sz val="18"/>
        <rFont val="Times New Roman"/>
        <family val="1"/>
        <charset val="204"/>
      </rPr>
      <t/>
    </r>
  </si>
  <si>
    <t>1-е полугодие 2016</t>
  </si>
  <si>
    <t>2-е полугодие 2016</t>
  </si>
  <si>
    <t>2016 год</t>
  </si>
  <si>
    <t>Приложение 3</t>
  </si>
  <si>
    <t>Таблица П.1.5</t>
  </si>
  <si>
    <t>Баланс электрической мощности по сетям ВН, СН1, СН2, НН</t>
  </si>
  <si>
    <t>№ п/п</t>
  </si>
  <si>
    <t>Показатели</t>
  </si>
  <si>
    <t>Ед. изм.</t>
  </si>
  <si>
    <t>I полугодие 2016 план</t>
  </si>
  <si>
    <t>II полугодие 2016 план</t>
  </si>
  <si>
    <t>2016 план</t>
  </si>
  <si>
    <t>Всего</t>
  </si>
  <si>
    <t>ВН</t>
  </si>
  <si>
    <t>СН1</t>
  </si>
  <si>
    <t>33</t>
  </si>
  <si>
    <t xml:space="preserve">Поступление мощности в сеть , ВСЕГО </t>
  </si>
  <si>
    <t>из смежной сети, всего</t>
  </si>
  <si>
    <t xml:space="preserve">    в том числе из сети</t>
  </si>
  <si>
    <t>1.1.1</t>
  </si>
  <si>
    <t>ЕНЭС</t>
  </si>
  <si>
    <t>1.1.2</t>
  </si>
  <si>
    <t>1.1.3</t>
  </si>
  <si>
    <t>1.1.4</t>
  </si>
  <si>
    <t xml:space="preserve">от электростанций ПЭ </t>
  </si>
  <si>
    <t>1.3</t>
  </si>
  <si>
    <t>от других поставщиков (в т.ч. с оптового рынка)</t>
  </si>
  <si>
    <t>1.4</t>
  </si>
  <si>
    <t xml:space="preserve">от других организаций </t>
  </si>
  <si>
    <t xml:space="preserve">Потери в сети </t>
  </si>
  <si>
    <t>2.1</t>
  </si>
  <si>
    <t>то же в %</t>
  </si>
  <si>
    <t>Мощность на производственные и хозяйственные нужды</t>
  </si>
  <si>
    <t>Полезный отпуск заявленной мощности потребителей услуг</t>
  </si>
  <si>
    <t>Заявленная мощность потребителей  за исключением указанных в п. 4.2</t>
  </si>
  <si>
    <t>4.1.1</t>
  </si>
  <si>
    <t>в т.ч. потребителей, присоединенных к центру питания на генераторном напряжении</t>
  </si>
  <si>
    <t>Заявленная мощность населения, в том числе:</t>
  </si>
  <si>
    <t>заявленная мощность населения</t>
  </si>
  <si>
    <t>Проверка</t>
  </si>
  <si>
    <t>Справочно</t>
  </si>
  <si>
    <t>Заявленная мощность региона</t>
  </si>
  <si>
    <r>
      <t>Объем мощности потребителей услуг на уровне напряжения ВН1 класса напряжения</t>
    </r>
    <r>
      <rPr>
        <b/>
        <sz val="9"/>
        <rFont val="Tahoma"/>
        <family val="2"/>
        <charset val="204"/>
      </rPr>
      <t xml:space="preserve"> 330 кВ и выше</t>
    </r>
  </si>
  <si>
    <r>
      <t xml:space="preserve">Объем мощности потребителей услуг на уровне напряжения ВН1 класса напряжения </t>
    </r>
    <r>
      <rPr>
        <b/>
        <sz val="9"/>
        <rFont val="Tahoma"/>
        <family val="2"/>
        <charset val="204"/>
      </rPr>
      <t>220 кВ и ниже</t>
    </r>
  </si>
  <si>
    <t>Заявленная мощность потребителей услуг ЕНЭС</t>
  </si>
  <si>
    <t>4.0</t>
  </si>
  <si>
    <t>ООО"Русэнергоресурс"</t>
  </si>
  <si>
    <t>ООО "Транснефтьэнерго"</t>
  </si>
  <si>
    <t>4.3</t>
  </si>
  <si>
    <t>"Последняя миля"</t>
  </si>
  <si>
    <t>4.4</t>
  </si>
  <si>
    <t>п/ст "Волна"</t>
  </si>
  <si>
    <t>4.5</t>
  </si>
  <si>
    <t>ОАО "ГМК Дальполиметалл"</t>
  </si>
  <si>
    <t>4.6</t>
  </si>
  <si>
    <t>ГТП "Береговая"</t>
  </si>
  <si>
    <t>4.7</t>
  </si>
  <si>
    <t>ГТП "Раздольное"</t>
  </si>
  <si>
    <t>4.8</t>
  </si>
  <si>
    <t>ГТП "Штыково"</t>
  </si>
  <si>
    <t>Приложение 2</t>
  </si>
  <si>
    <t>Таблица П.1.4</t>
  </si>
  <si>
    <t>Баланс электрической энергии по сетям ВН, СН1, СН2, и НН</t>
  </si>
  <si>
    <t xml:space="preserve">Поступление эл.энергии в сеть , ВСЕГО </t>
  </si>
  <si>
    <t>млн.кВт.ч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</si>
  <si>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</si>
  <si>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</si>
  <si>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(п.2/п.1)</t>
  </si>
  <si>
    <t>Расход электроэнергии на произв и хознужды</t>
  </si>
  <si>
    <t>Полезный отпуск из сети потребителям услуг</t>
  </si>
  <si>
    <t>потребителям ээ за исключением указанных в п. 4.2</t>
  </si>
  <si>
    <t>в т.ч. потребителям, присоединенным к центру питания на генераторном напряжении</t>
  </si>
  <si>
    <t>населению (для распределения перекрестного субсидирования), в том числе:</t>
  </si>
  <si>
    <t>полезный отпуск населению</t>
  </si>
  <si>
    <t>Полезный отпуск региона</t>
  </si>
  <si>
    <r>
      <t>Объем полезного отпуска электрической энергии потребителей услуг на уровне напряжения ВН1 класса напряжения</t>
    </r>
    <r>
      <rPr>
        <b/>
        <sz val="9"/>
        <rFont val="Tahoma"/>
        <family val="2"/>
        <charset val="204"/>
      </rPr>
      <t xml:space="preserve"> 330 кВ и выше</t>
    </r>
  </si>
  <si>
    <r>
      <t xml:space="preserve">Объем полезного отпуска электрической энергии потребителей услуг на уровне напряжения ВН1 класса напряжения </t>
    </r>
    <r>
      <rPr>
        <b/>
        <sz val="9"/>
        <rFont val="Tahoma"/>
        <family val="2"/>
        <charset val="204"/>
      </rPr>
      <t>220 кВ и ниже</t>
    </r>
  </si>
  <si>
    <t>Полезный отпуск потребителей услуг ЕНЭС</t>
  </si>
  <si>
    <t>Добавить организацию</t>
  </si>
  <si>
    <t>Е.Н. Сорокин</t>
  </si>
  <si>
    <t>АО "ДРСК"</t>
  </si>
  <si>
    <t xml:space="preserve"> Директор СП ПЦЭС филиала АО "ДРСК"-"ПЭС"                                                                                                                                                    </t>
  </si>
  <si>
    <t xml:space="preserve">Директор по работе на розничном рынке электроэнергии ПАО "ДЭК"                                                                                                                   </t>
  </si>
  <si>
    <t>М.П. Морозов</t>
  </si>
  <si>
    <t xml:space="preserve"> </t>
  </si>
  <si>
    <t>населению и приравненным к нему категориям потребителей, в том числе:</t>
  </si>
  <si>
    <t>потребителям группы  "Население и приравненные к нему категории потребителей" на 2016  год</t>
  </si>
  <si>
    <t>ООО "Промышленные электросети Приморского края"</t>
  </si>
  <si>
    <t xml:space="preserve"> на 2016 год.</t>
  </si>
  <si>
    <t xml:space="preserve">МУП "Уссурийск-электросеть"  </t>
  </si>
</sst>
</file>

<file path=xl/styles.xml><?xml version="1.0" encoding="utf-8"?>
<styleSheet xmlns="http://schemas.openxmlformats.org/spreadsheetml/2006/main">
  <numFmts count="33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р_._-;\-* #,##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0.0%"/>
    <numFmt numFmtId="172" formatCode="_-* #,##0.0_р_._-;\-* #,##0.0_р_._-;_-* &quot;-&quot;??_р_._-;_-@_-"/>
    <numFmt numFmtId="173" formatCode="_-* #,##0.00000_р_._-;\-* #,##0.00000_р_._-;_-* &quot;-&quot;???_р_._-;_-@_-"/>
    <numFmt numFmtId="174" formatCode="0.00000"/>
    <numFmt numFmtId="175" formatCode="0.000000"/>
    <numFmt numFmtId="176" formatCode="0.0000000"/>
    <numFmt numFmtId="177" formatCode="0.00000000"/>
    <numFmt numFmtId="178" formatCode="_-* #,##0.00_р_._-;\-* #,##0.00_р_._-;_-* &quot;-&quot;???_р_._-;_-@_-"/>
    <numFmt numFmtId="179" formatCode="_-* #,##0_р_._-;\-* #,##0_р_._-;_-* &quot;-&quot;???_р_._-;_-@_-"/>
    <numFmt numFmtId="180" formatCode="0.000_ ;[Red]\-0.000\ "/>
    <numFmt numFmtId="181" formatCode="_-* #,##0.00[$€-1]_-;\-* #,##0.00[$€-1]_-;_-* &quot;-&quot;??[$€-1]_-"/>
    <numFmt numFmtId="182" formatCode="_(* #,##0.000_);_(* \(#,##0.000\);_(* &quot;-&quot;??_);_(@_)"/>
    <numFmt numFmtId="183" formatCode="_-* #,##0.00\ _S_I_T_-;\-* #,##0.00\ _S_I_T_-;_-* &quot;-&quot;??\ _S_I_T_-;_-@_-"/>
    <numFmt numFmtId="184" formatCode="_-* #,##0.00_-;\-* #,##0.00_-;_-* &quot;-&quot;??_-;_-@_-"/>
    <numFmt numFmtId="185" formatCode="_(* #,##0.00_);_(* \(#,##0.00\);_(* &quot;-&quot;??_);_(@_)"/>
    <numFmt numFmtId="186" formatCode="_-* #,##0.0000_р_._-;\-* #,##0.0000_р_._-;_-* &quot;-&quot;????_р_._-;_-@_-"/>
    <numFmt numFmtId="187" formatCode="_-* #,##0.00_р_._-;\-* #,##0.00_р_._-;_-* &quot;-&quot;????_р_._-;_-@_-"/>
    <numFmt numFmtId="188" formatCode="_-* #,##0.00000000000_р_._-;\-* #,##0.00000000000_р_._-;_-* &quot;-&quot;??_р_._-;_-@_-"/>
    <numFmt numFmtId="189" formatCode="#,##0.0000"/>
    <numFmt numFmtId="190" formatCode="_-* #,##0.000_р_._-;\-* #,##0.000_р_._-;_-* &quot;-&quot;????_р_._-;_-@_-"/>
    <numFmt numFmtId="191" formatCode="_-* #,##0.0_р_._-;\-* #,##0.0_р_._-;_-* &quot;-&quot;????_р_._-;_-@_-"/>
    <numFmt numFmtId="192" formatCode="_-* #,##0_р_._-;\-* #,##0_р_._-;_-* &quot;-&quot;????_р_._-;_-@_-"/>
    <numFmt numFmtId="193" formatCode="0.000%"/>
    <numFmt numFmtId="194" formatCode="_-* #,##0.000000_р_._-;\-* #,##0.000000_р_._-;_-* &quot;-&quot;????_р_._-;_-@_-"/>
    <numFmt numFmtId="195" formatCode="_-* #,##0.00000_р_._-;\-* #,##0.00000_р_._-;_-* &quot;-&quot;????_р_._-;_-@_-"/>
  </numFmts>
  <fonts count="7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 CYR"/>
      <charset val="204"/>
    </font>
    <font>
      <sz val="14"/>
      <name val="Arial Cyr"/>
      <charset val="204"/>
    </font>
    <font>
      <sz val="14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b/>
      <sz val="9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9"/>
      <name val="Tahoma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 Cyr"/>
      <charset val="204"/>
    </font>
    <font>
      <b/>
      <i/>
      <sz val="14"/>
      <name val="Times New Roman CYR"/>
      <charset val="204"/>
    </font>
    <font>
      <b/>
      <sz val="12"/>
      <name val="Arial Cyr"/>
      <charset val="204"/>
    </font>
    <font>
      <b/>
      <u/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7030A0"/>
      <name val="Arial Cyr"/>
      <charset val="204"/>
    </font>
    <font>
      <b/>
      <sz val="10"/>
      <color rgb="FF7030A0"/>
      <name val="Arial Cyr"/>
      <charset val="204"/>
    </font>
    <font>
      <b/>
      <sz val="10"/>
      <color rgb="FF00206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11"/>
      <color rgb="FF00206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ahoma"/>
      <family val="2"/>
      <charset val="204"/>
    </font>
    <font>
      <sz val="10"/>
      <color indexed="23"/>
      <name val="Tahoma"/>
      <family val="2"/>
      <charset val="204"/>
    </font>
    <font>
      <b/>
      <sz val="1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fgColor indexed="2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2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81" fontId="16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" fontId="35" fillId="21" borderId="6" applyBorder="0">
      <alignment horizontal="right"/>
    </xf>
    <xf numFmtId="0" fontId="36" fillId="0" borderId="7" applyNumberFormat="0" applyFill="0" applyAlignment="0" applyProtection="0"/>
    <xf numFmtId="0" fontId="37" fillId="22" borderId="8" applyNumberFormat="0" applyAlignment="0" applyProtection="0"/>
    <xf numFmtId="0" fontId="18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7" fillId="0" borderId="0"/>
    <xf numFmtId="0" fontId="17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39" fillId="0" borderId="0"/>
    <xf numFmtId="0" fontId="53" fillId="0" borderId="0"/>
    <xf numFmtId="0" fontId="39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24" borderId="9" applyNumberFormat="0" applyFont="0" applyAlignment="0" applyProtection="0"/>
    <xf numFmtId="0" fontId="17" fillId="24" borderId="9" applyNumberFormat="0" applyFont="0" applyAlignment="0" applyProtection="0"/>
    <xf numFmtId="0" fontId="17" fillId="24" borderId="9" applyNumberFormat="0" applyFont="0" applyAlignment="0" applyProtection="0"/>
    <xf numFmtId="0" fontId="17" fillId="24" borderId="9" applyNumberFormat="0" applyFont="0" applyAlignment="0" applyProtection="0"/>
    <xf numFmtId="0" fontId="17" fillId="24" borderId="9" applyNumberFormat="0" applyFont="0" applyAlignment="0" applyProtection="0"/>
    <xf numFmtId="0" fontId="17" fillId="24" borderId="9" applyNumberFormat="0" applyFont="0" applyAlignment="0" applyProtection="0"/>
    <xf numFmtId="0" fontId="16" fillId="24" borderId="9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10" applyNumberFormat="0" applyFill="0" applyAlignment="0" applyProtection="0"/>
    <xf numFmtId="0" fontId="15" fillId="0" borderId="0"/>
    <xf numFmtId="0" fontId="45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9" fillId="0" borderId="0" applyFont="0" applyFill="0" applyBorder="0" applyAlignment="0" applyProtection="0"/>
    <xf numFmtId="4" fontId="35" fillId="25" borderId="0" applyFont="0" applyBorder="0">
      <alignment horizontal="right"/>
    </xf>
    <xf numFmtId="0" fontId="46" fillId="4" borderId="0" applyNumberFormat="0" applyBorder="0" applyAlignment="0" applyProtection="0"/>
  </cellStyleXfs>
  <cellXfs count="50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6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Alignment="1">
      <alignment horizontal="center"/>
    </xf>
    <xf numFmtId="0" fontId="0" fillId="0" borderId="11" xfId="0" applyBorder="1"/>
    <xf numFmtId="0" fontId="19" fillId="0" borderId="11" xfId="0" applyFont="1" applyBorder="1"/>
    <xf numFmtId="0" fontId="19" fillId="0" borderId="12" xfId="0" applyFont="1" applyBorder="1"/>
    <xf numFmtId="167" fontId="0" fillId="26" borderId="6" xfId="0" applyNumberFormat="1" applyFill="1" applyBorder="1"/>
    <xf numFmtId="167" fontId="19" fillId="26" borderId="6" xfId="0" applyNumberFormat="1" applyFont="1" applyFill="1" applyBorder="1"/>
    <xf numFmtId="167" fontId="19" fillId="26" borderId="13" xfId="0" applyNumberFormat="1" applyFont="1" applyFill="1" applyBorder="1"/>
    <xf numFmtId="167" fontId="0" fillId="25" borderId="6" xfId="0" applyNumberFormat="1" applyFill="1" applyBorder="1"/>
    <xf numFmtId="167" fontId="19" fillId="25" borderId="6" xfId="0" applyNumberFormat="1" applyFont="1" applyFill="1" applyBorder="1"/>
    <xf numFmtId="167" fontId="19" fillId="25" borderId="13" xfId="0" applyNumberFormat="1" applyFont="1" applyFill="1" applyBorder="1"/>
    <xf numFmtId="0" fontId="20" fillId="21" borderId="14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167" fontId="20" fillId="21" borderId="6" xfId="0" applyNumberFormat="1" applyFont="1" applyFill="1" applyBorder="1"/>
    <xf numFmtId="167" fontId="20" fillId="21" borderId="13" xfId="0" applyNumberFormat="1" applyFont="1" applyFill="1" applyBorder="1"/>
    <xf numFmtId="0" fontId="20" fillId="0" borderId="0" xfId="0" applyFont="1"/>
    <xf numFmtId="0" fontId="0" fillId="26" borderId="6" xfId="0" applyFill="1" applyBorder="1" applyAlignment="1">
      <alignment horizontal="left"/>
    </xf>
    <xf numFmtId="0" fontId="0" fillId="25" borderId="6" xfId="0" applyFill="1" applyBorder="1" applyAlignment="1">
      <alignment horizontal="left"/>
    </xf>
    <xf numFmtId="0" fontId="20" fillId="21" borderId="6" xfId="0" applyFont="1" applyFill="1" applyBorder="1" applyAlignment="1">
      <alignment horizontal="left"/>
    </xf>
    <xf numFmtId="0" fontId="2" fillId="26" borderId="6" xfId="0" applyFont="1" applyFill="1" applyBorder="1" applyAlignment="1">
      <alignment horizontal="left"/>
    </xf>
    <xf numFmtId="0" fontId="19" fillId="26" borderId="13" xfId="0" applyFont="1" applyFill="1" applyBorder="1"/>
    <xf numFmtId="167" fontId="16" fillId="26" borderId="6" xfId="104" applyNumberFormat="1" applyFill="1" applyBorder="1"/>
    <xf numFmtId="167" fontId="19" fillId="26" borderId="6" xfId="104" applyNumberFormat="1" applyFont="1" applyFill="1" applyBorder="1"/>
    <xf numFmtId="10" fontId="19" fillId="26" borderId="13" xfId="104" applyNumberFormat="1" applyFont="1" applyFill="1" applyBorder="1"/>
    <xf numFmtId="0" fontId="2" fillId="25" borderId="6" xfId="0" applyFont="1" applyFill="1" applyBorder="1" applyAlignment="1">
      <alignment horizontal="left"/>
    </xf>
    <xf numFmtId="167" fontId="16" fillId="25" borderId="6" xfId="104" applyNumberFormat="1" applyFill="1" applyBorder="1"/>
    <xf numFmtId="167" fontId="19" fillId="25" borderId="6" xfId="104" applyNumberFormat="1" applyFont="1" applyFill="1" applyBorder="1"/>
    <xf numFmtId="10" fontId="16" fillId="26" borderId="13" xfId="104" applyNumberFormat="1" applyFill="1" applyBorder="1"/>
    <xf numFmtId="0" fontId="21" fillId="21" borderId="16" xfId="0" applyFont="1" applyFill="1" applyBorder="1" applyAlignment="1">
      <alignment horizontal="left"/>
    </xf>
    <xf numFmtId="167" fontId="20" fillId="21" borderId="16" xfId="0" applyNumberFormat="1" applyFont="1" applyFill="1" applyBorder="1"/>
    <xf numFmtId="167" fontId="20" fillId="21" borderId="17" xfId="0" applyNumberFormat="1" applyFont="1" applyFill="1" applyBorder="1"/>
    <xf numFmtId="0" fontId="20" fillId="21" borderId="18" xfId="0" applyFont="1" applyFill="1" applyBorder="1" applyAlignment="1">
      <alignment horizontal="left"/>
    </xf>
    <xf numFmtId="167" fontId="20" fillId="21" borderId="18" xfId="104" applyNumberFormat="1" applyFont="1" applyFill="1" applyBorder="1"/>
    <xf numFmtId="167" fontId="20" fillId="21" borderId="18" xfId="0" applyNumberFormat="1" applyFont="1" applyFill="1" applyBorder="1"/>
    <xf numFmtId="10" fontId="20" fillId="21" borderId="18" xfId="104" applyNumberFormat="1" applyFont="1" applyFill="1" applyBorder="1"/>
    <xf numFmtId="167" fontId="0" fillId="0" borderId="0" xfId="0" applyNumberFormat="1"/>
    <xf numFmtId="167" fontId="54" fillId="0" borderId="0" xfId="0" applyNumberFormat="1" applyFont="1"/>
    <xf numFmtId="0" fontId="19" fillId="0" borderId="0" xfId="0" applyFont="1"/>
    <xf numFmtId="0" fontId="54" fillId="0" borderId="0" xfId="0" applyFont="1"/>
    <xf numFmtId="0" fontId="0" fillId="0" borderId="11" xfId="0" applyFont="1" applyBorder="1"/>
    <xf numFmtId="0" fontId="54" fillId="0" borderId="11" xfId="0" applyFont="1" applyBorder="1"/>
    <xf numFmtId="0" fontId="0" fillId="26" borderId="6" xfId="0" applyFill="1" applyBorder="1"/>
    <xf numFmtId="0" fontId="19" fillId="26" borderId="6" xfId="0" applyFont="1" applyFill="1" applyBorder="1"/>
    <xf numFmtId="0" fontId="54" fillId="26" borderId="6" xfId="0" applyFont="1" applyFill="1" applyBorder="1"/>
    <xf numFmtId="9" fontId="0" fillId="0" borderId="0" xfId="104" applyFont="1"/>
    <xf numFmtId="167" fontId="54" fillId="25" borderId="6" xfId="0" applyNumberFormat="1" applyFont="1" applyFill="1" applyBorder="1"/>
    <xf numFmtId="167" fontId="54" fillId="26" borderId="6" xfId="0" applyNumberFormat="1" applyFont="1" applyFill="1" applyBorder="1"/>
    <xf numFmtId="0" fontId="0" fillId="25" borderId="6" xfId="0" applyFill="1" applyBorder="1"/>
    <xf numFmtId="0" fontId="19" fillId="25" borderId="6" xfId="0" applyFont="1" applyFill="1" applyBorder="1"/>
    <xf numFmtId="0" fontId="54" fillId="25" borderId="6" xfId="0" applyFont="1" applyFill="1" applyBorder="1"/>
    <xf numFmtId="0" fontId="20" fillId="21" borderId="6" xfId="0" applyFont="1" applyFill="1" applyBorder="1"/>
    <xf numFmtId="0" fontId="55" fillId="21" borderId="6" xfId="0" applyFont="1" applyFill="1" applyBorder="1"/>
    <xf numFmtId="10" fontId="16" fillId="26" borderId="6" xfId="104" applyNumberFormat="1" applyFill="1" applyBorder="1"/>
    <xf numFmtId="10" fontId="19" fillId="26" borderId="6" xfId="104" applyNumberFormat="1" applyFont="1" applyFill="1" applyBorder="1"/>
    <xf numFmtId="10" fontId="54" fillId="26" borderId="6" xfId="104" applyNumberFormat="1" applyFont="1" applyFill="1" applyBorder="1"/>
    <xf numFmtId="10" fontId="16" fillId="25" borderId="6" xfId="104" applyNumberFormat="1" applyFill="1" applyBorder="1"/>
    <xf numFmtId="10" fontId="19" fillId="25" borderId="6" xfId="104" applyNumberFormat="1" applyFont="1" applyFill="1" applyBorder="1"/>
    <xf numFmtId="10" fontId="54" fillId="25" borderId="6" xfId="104" applyNumberFormat="1" applyFont="1" applyFill="1" applyBorder="1"/>
    <xf numFmtId="0" fontId="20" fillId="21" borderId="16" xfId="0" applyFont="1" applyFill="1" applyBorder="1"/>
    <xf numFmtId="0" fontId="55" fillId="21" borderId="16" xfId="0" applyFont="1" applyFill="1" applyBorder="1"/>
    <xf numFmtId="10" fontId="55" fillId="21" borderId="18" xfId="104" applyNumberFormat="1" applyFont="1" applyFill="1" applyBorder="1"/>
    <xf numFmtId="180" fontId="0" fillId="0" borderId="6" xfId="0" applyNumberFormat="1" applyBorder="1"/>
    <xf numFmtId="180" fontId="19" fillId="0" borderId="6" xfId="0" applyNumberFormat="1" applyFont="1" applyBorder="1"/>
    <xf numFmtId="0" fontId="0" fillId="0" borderId="19" xfId="0" applyBorder="1"/>
    <xf numFmtId="2" fontId="0" fillId="0" borderId="11" xfId="0" applyNumberFormat="1" applyBorder="1"/>
    <xf numFmtId="2" fontId="19" fillId="0" borderId="11" xfId="0" applyNumberFormat="1" applyFont="1" applyBorder="1"/>
    <xf numFmtId="175" fontId="0" fillId="0" borderId="11" xfId="0" applyNumberFormat="1" applyFont="1" applyBorder="1"/>
    <xf numFmtId="2" fontId="54" fillId="0" borderId="11" xfId="0" applyNumberFormat="1" applyFont="1" applyBorder="1"/>
    <xf numFmtId="2" fontId="19" fillId="0" borderId="20" xfId="0" applyNumberFormat="1" applyFont="1" applyBorder="1"/>
    <xf numFmtId="1" fontId="56" fillId="0" borderId="21" xfId="0" applyNumberFormat="1" applyFont="1" applyBorder="1"/>
    <xf numFmtId="0" fontId="0" fillId="0" borderId="22" xfId="0" applyBorder="1"/>
    <xf numFmtId="2" fontId="0" fillId="0" borderId="6" xfId="0" applyNumberFormat="1" applyBorder="1"/>
    <xf numFmtId="2" fontId="19" fillId="0" borderId="6" xfId="0" applyNumberFormat="1" applyFont="1" applyBorder="1"/>
    <xf numFmtId="175" fontId="0" fillId="0" borderId="6" xfId="0" applyNumberFormat="1" applyFont="1" applyBorder="1"/>
    <xf numFmtId="2" fontId="54" fillId="0" borderId="6" xfId="0" applyNumberFormat="1" applyFont="1" applyBorder="1"/>
    <xf numFmtId="2" fontId="19" fillId="0" borderId="14" xfId="0" applyNumberFormat="1" applyFont="1" applyBorder="1"/>
    <xf numFmtId="1" fontId="56" fillId="0" borderId="23" xfId="0" applyNumberFormat="1" applyFont="1" applyBorder="1"/>
    <xf numFmtId="0" fontId="0" fillId="0" borderId="24" xfId="0" applyBorder="1"/>
    <xf numFmtId="2" fontId="19" fillId="0" borderId="25" xfId="0" applyNumberFormat="1" applyFont="1" applyBorder="1"/>
    <xf numFmtId="175" fontId="19" fillId="0" borderId="25" xfId="0" applyNumberFormat="1" applyFont="1" applyBorder="1"/>
    <xf numFmtId="2" fontId="55" fillId="0" borderId="25" xfId="0" applyNumberFormat="1" applyFont="1" applyBorder="1"/>
    <xf numFmtId="2" fontId="19" fillId="0" borderId="26" xfId="0" applyNumberFormat="1" applyFont="1" applyBorder="1"/>
    <xf numFmtId="0" fontId="0" fillId="0" borderId="27" xfId="0" applyBorder="1"/>
    <xf numFmtId="167" fontId="0" fillId="0" borderId="28" xfId="0" applyNumberFormat="1" applyBorder="1"/>
    <xf numFmtId="167" fontId="19" fillId="0" borderId="28" xfId="0" applyNumberFormat="1" applyFont="1" applyBorder="1"/>
    <xf numFmtId="175" fontId="0" fillId="0" borderId="28" xfId="0" applyNumberFormat="1" applyBorder="1"/>
    <xf numFmtId="175" fontId="0" fillId="0" borderId="28" xfId="0" applyNumberFormat="1" applyFont="1" applyBorder="1"/>
    <xf numFmtId="167" fontId="54" fillId="0" borderId="28" xfId="0" applyNumberFormat="1" applyFont="1" applyBorder="1"/>
    <xf numFmtId="167" fontId="19" fillId="0" borderId="29" xfId="0" applyNumberFormat="1" applyFont="1" applyBorder="1"/>
    <xf numFmtId="167" fontId="56" fillId="0" borderId="23" xfId="0" applyNumberFormat="1" applyFont="1" applyFill="1" applyBorder="1"/>
    <xf numFmtId="167" fontId="56" fillId="0" borderId="30" xfId="0" applyNumberFormat="1" applyFont="1" applyFill="1" applyBorder="1"/>
    <xf numFmtId="0" fontId="22" fillId="0" borderId="31" xfId="0" applyFont="1" applyFill="1" applyBorder="1"/>
    <xf numFmtId="0" fontId="22" fillId="0" borderId="0" xfId="0" applyFont="1"/>
    <xf numFmtId="167" fontId="0" fillId="0" borderId="28" xfId="0" applyNumberFormat="1" applyFont="1" applyBorder="1"/>
    <xf numFmtId="9" fontId="54" fillId="0" borderId="0" xfId="104" applyFont="1"/>
    <xf numFmtId="10" fontId="0" fillId="0" borderId="0" xfId="0" applyNumberFormat="1"/>
    <xf numFmtId="10" fontId="54" fillId="0" borderId="0" xfId="0" applyNumberFormat="1" applyFont="1"/>
    <xf numFmtId="167" fontId="57" fillId="0" borderId="0" xfId="0" applyNumberFormat="1" applyFont="1"/>
    <xf numFmtId="167" fontId="19" fillId="0" borderId="0" xfId="0" applyNumberFormat="1" applyFont="1"/>
    <xf numFmtId="167" fontId="58" fillId="28" borderId="0" xfId="0" applyNumberFormat="1" applyFont="1" applyFill="1"/>
    <xf numFmtId="0" fontId="57" fillId="28" borderId="0" xfId="0" applyFont="1" applyFill="1"/>
    <xf numFmtId="3" fontId="0" fillId="0" borderId="0" xfId="0" applyNumberFormat="1"/>
    <xf numFmtId="3" fontId="19" fillId="0" borderId="0" xfId="0" applyNumberFormat="1" applyFont="1"/>
    <xf numFmtId="3" fontId="55" fillId="0" borderId="0" xfId="0" applyNumberFormat="1" applyFont="1"/>
    <xf numFmtId="0" fontId="19" fillId="27" borderId="6" xfId="0" applyFont="1" applyFill="1" applyBorder="1" applyAlignment="1">
      <alignment vertical="center"/>
    </xf>
    <xf numFmtId="0" fontId="19" fillId="27" borderId="6" xfId="0" applyFont="1" applyFill="1" applyBorder="1" applyAlignment="1">
      <alignment vertical="center" wrapText="1"/>
    </xf>
    <xf numFmtId="3" fontId="19" fillId="0" borderId="6" xfId="0" applyNumberFormat="1" applyFont="1" applyFill="1" applyBorder="1"/>
    <xf numFmtId="167" fontId="0" fillId="0" borderId="6" xfId="0" applyNumberFormat="1" applyBorder="1"/>
    <xf numFmtId="0" fontId="0" fillId="29" borderId="0" xfId="0" applyFill="1"/>
    <xf numFmtId="3" fontId="19" fillId="29" borderId="6" xfId="0" applyNumberFormat="1" applyFont="1" applyFill="1" applyBorder="1"/>
    <xf numFmtId="167" fontId="0" fillId="29" borderId="6" xfId="0" applyNumberFormat="1" applyFill="1" applyBorder="1"/>
    <xf numFmtId="0" fontId="23" fillId="30" borderId="6" xfId="0" applyFont="1" applyFill="1" applyBorder="1" applyAlignment="1">
      <alignment horizontal="left" wrapText="1"/>
    </xf>
    <xf numFmtId="166" fontId="23" fillId="30" borderId="6" xfId="0" applyNumberFormat="1" applyFont="1" applyFill="1" applyBorder="1" applyAlignment="1">
      <alignment horizontal="center"/>
    </xf>
    <xf numFmtId="166" fontId="23" fillId="30" borderId="32" xfId="0" applyNumberFormat="1" applyFont="1" applyFill="1" applyBorder="1" applyAlignment="1">
      <alignment horizontal="center"/>
    </xf>
    <xf numFmtId="0" fontId="24" fillId="0" borderId="11" xfId="93" applyFont="1" applyFill="1" applyBorder="1" applyAlignment="1" applyProtection="1">
      <alignment horizontal="left" vertical="center" wrapText="1"/>
    </xf>
    <xf numFmtId="0" fontId="24" fillId="0" borderId="11" xfId="93" applyFont="1" applyBorder="1" applyAlignment="1" applyProtection="1">
      <alignment horizontal="center" vertical="center" wrapText="1"/>
    </xf>
    <xf numFmtId="2" fontId="24" fillId="21" borderId="11" xfId="93" applyNumberFormat="1" applyFont="1" applyFill="1" applyBorder="1" applyAlignment="1" applyProtection="1">
      <alignment horizontal="right" vertical="center"/>
      <protection locked="0"/>
    </xf>
    <xf numFmtId="167" fontId="24" fillId="25" borderId="12" xfId="93" applyNumberFormat="1" applyFont="1" applyFill="1" applyBorder="1" applyAlignment="1" applyProtection="1">
      <alignment horizontal="right" vertical="center"/>
    </xf>
    <xf numFmtId="0" fontId="24" fillId="0" borderId="6" xfId="93" applyFont="1" applyFill="1" applyBorder="1" applyAlignment="1" applyProtection="1">
      <alignment horizontal="left" vertical="center" wrapText="1"/>
    </xf>
    <xf numFmtId="0" fontId="24" fillId="0" borderId="6" xfId="93" applyFont="1" applyBorder="1" applyAlignment="1" applyProtection="1">
      <alignment horizontal="center" vertical="center"/>
    </xf>
    <xf numFmtId="2" fontId="24" fillId="21" borderId="6" xfId="93" applyNumberFormat="1" applyFont="1" applyFill="1" applyBorder="1" applyAlignment="1" applyProtection="1">
      <alignment horizontal="right" vertical="center"/>
      <protection locked="0"/>
    </xf>
    <xf numFmtId="167" fontId="24" fillId="25" borderId="13" xfId="93" applyNumberFormat="1" applyFont="1" applyFill="1" applyBorder="1" applyAlignment="1" applyProtection="1">
      <alignment horizontal="right" vertical="center"/>
    </xf>
    <xf numFmtId="0" fontId="24" fillId="0" borderId="6" xfId="93" applyFont="1" applyFill="1" applyBorder="1" applyAlignment="1" applyProtection="1">
      <alignment horizontal="left" vertical="top" wrapText="1"/>
    </xf>
    <xf numFmtId="0" fontId="24" fillId="0" borderId="6" xfId="93" applyFont="1" applyFill="1" applyBorder="1" applyAlignment="1" applyProtection="1">
      <alignment horizontal="center" vertical="center"/>
    </xf>
    <xf numFmtId="9" fontId="0" fillId="0" borderId="0" xfId="104" applyNumberFormat="1" applyFont="1"/>
    <xf numFmtId="0" fontId="24" fillId="0" borderId="18" xfId="93" applyFont="1" applyFill="1" applyBorder="1" applyAlignment="1" applyProtection="1">
      <alignment horizontal="left" vertical="top" wrapText="1"/>
    </xf>
    <xf numFmtId="0" fontId="24" fillId="0" borderId="18" xfId="93" applyFont="1" applyFill="1" applyBorder="1" applyAlignment="1" applyProtection="1">
      <alignment horizontal="center" vertical="center"/>
    </xf>
    <xf numFmtId="2" fontId="24" fillId="21" borderId="18" xfId="93" applyNumberFormat="1" applyFont="1" applyFill="1" applyBorder="1" applyAlignment="1" applyProtection="1">
      <alignment horizontal="right" vertical="center"/>
      <protection locked="0"/>
    </xf>
    <xf numFmtId="167" fontId="24" fillId="25" borderId="33" xfId="93" applyNumberFormat="1" applyFont="1" applyFill="1" applyBorder="1" applyAlignment="1" applyProtection="1">
      <alignment horizontal="right" vertical="center"/>
    </xf>
    <xf numFmtId="43" fontId="5" fillId="0" borderId="0" xfId="109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Fill="1"/>
    <xf numFmtId="164" fontId="7" fillId="0" borderId="6" xfId="109" applyNumberFormat="1" applyFont="1" applyFill="1" applyBorder="1" applyAlignment="1">
      <alignment horizontal="center" vertical="center" wrapText="1"/>
    </xf>
    <xf numFmtId="43" fontId="7" fillId="0" borderId="6" xfId="109" applyFont="1" applyFill="1" applyBorder="1" applyAlignment="1">
      <alignment horizontal="center" vertical="center" wrapText="1"/>
    </xf>
    <xf numFmtId="165" fontId="11" fillId="0" borderId="0" xfId="109" applyNumberFormat="1" applyFont="1" applyFill="1" applyBorder="1" applyAlignment="1"/>
    <xf numFmtId="165" fontId="11" fillId="0" borderId="0" xfId="109" applyNumberFormat="1" applyFont="1" applyFill="1" applyAlignment="1"/>
    <xf numFmtId="49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 wrapText="1"/>
    </xf>
    <xf numFmtId="166" fontId="6" fillId="0" borderId="6" xfId="0" applyNumberFormat="1" applyFont="1" applyFill="1" applyBorder="1" applyAlignment="1">
      <alignment horizontal="center"/>
    </xf>
    <xf numFmtId="168" fontId="47" fillId="0" borderId="0" xfId="0" applyNumberFormat="1" applyFont="1" applyFill="1" applyBorder="1" applyAlignment="1">
      <alignment horizontal="left"/>
    </xf>
    <xf numFmtId="168" fontId="47" fillId="0" borderId="0" xfId="0" applyNumberFormat="1" applyFont="1" applyFill="1" applyBorder="1"/>
    <xf numFmtId="0" fontId="47" fillId="0" borderId="0" xfId="0" applyFont="1" applyFill="1" applyBorder="1"/>
    <xf numFmtId="0" fontId="47" fillId="0" borderId="0" xfId="0" applyFont="1" applyFill="1"/>
    <xf numFmtId="49" fontId="48" fillId="0" borderId="6" xfId="0" applyNumberFormat="1" applyFont="1" applyFill="1" applyBorder="1" applyAlignment="1">
      <alignment horizontal="center"/>
    </xf>
    <xf numFmtId="0" fontId="48" fillId="0" borderId="6" xfId="0" applyFont="1" applyFill="1" applyBorder="1" applyAlignment="1">
      <alignment horizontal="left" wrapText="1"/>
    </xf>
    <xf numFmtId="166" fontId="48" fillId="0" borderId="6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Border="1"/>
    <xf numFmtId="179" fontId="59" fillId="0" borderId="0" xfId="0" applyNumberFormat="1" applyFont="1" applyFill="1" applyBorder="1" applyAlignment="1">
      <alignment horizontal="left"/>
    </xf>
    <xf numFmtId="166" fontId="48" fillId="0" borderId="14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/>
    </xf>
    <xf numFmtId="167" fontId="47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left"/>
    </xf>
    <xf numFmtId="49" fontId="48" fillId="0" borderId="6" xfId="0" applyNumberFormat="1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left" vertical="center" wrapText="1"/>
    </xf>
    <xf numFmtId="10" fontId="10" fillId="0" borderId="0" xfId="0" applyNumberFormat="1" applyFont="1" applyFill="1" applyBorder="1" applyAlignment="1">
      <alignment horizontal="left"/>
    </xf>
    <xf numFmtId="167" fontId="10" fillId="0" borderId="0" xfId="0" applyNumberFormat="1" applyFont="1" applyFill="1" applyBorder="1"/>
    <xf numFmtId="9" fontId="10" fillId="0" borderId="0" xfId="0" applyNumberFormat="1" applyFont="1" applyFill="1" applyBorder="1" applyAlignment="1">
      <alignment horizontal="left"/>
    </xf>
    <xf numFmtId="0" fontId="10" fillId="0" borderId="34" xfId="0" applyFont="1" applyFill="1" applyBorder="1"/>
    <xf numFmtId="49" fontId="48" fillId="0" borderId="6" xfId="0" applyNumberFormat="1" applyFont="1" applyFill="1" applyBorder="1" applyAlignment="1">
      <alignment horizontal="center" vertical="top"/>
    </xf>
    <xf numFmtId="49" fontId="48" fillId="0" borderId="6" xfId="0" applyNumberFormat="1" applyFont="1" applyFill="1" applyBorder="1" applyAlignment="1">
      <alignment horizontal="left" wrapText="1" indent="1"/>
    </xf>
    <xf numFmtId="0" fontId="6" fillId="0" borderId="6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49" fillId="0" borderId="0" xfId="0" applyFont="1" applyFill="1"/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/>
    <xf numFmtId="0" fontId="50" fillId="0" borderId="0" xfId="0" applyFont="1" applyFill="1"/>
    <xf numFmtId="0" fontId="48" fillId="0" borderId="6" xfId="0" applyFont="1" applyFill="1" applyBorder="1" applyAlignment="1">
      <alignment wrapText="1"/>
    </xf>
    <xf numFmtId="0" fontId="49" fillId="0" borderId="34" xfId="0" applyFont="1" applyFill="1" applyBorder="1"/>
    <xf numFmtId="164" fontId="10" fillId="0" borderId="0" xfId="0" applyNumberFormat="1" applyFont="1" applyFill="1" applyBorder="1"/>
    <xf numFmtId="168" fontId="49" fillId="0" borderId="0" xfId="0" applyNumberFormat="1" applyFont="1" applyFill="1" applyBorder="1" applyAlignment="1">
      <alignment horizontal="left"/>
    </xf>
    <xf numFmtId="4" fontId="48" fillId="0" borderId="6" xfId="0" applyNumberFormat="1" applyFont="1" applyFill="1" applyBorder="1" applyAlignment="1">
      <alignment horizontal="center"/>
    </xf>
    <xf numFmtId="167" fontId="49" fillId="0" borderId="0" xfId="0" applyNumberFormat="1" applyFont="1" applyFill="1" applyBorder="1"/>
    <xf numFmtId="164" fontId="47" fillId="0" borderId="0" xfId="0" applyNumberFormat="1" applyFont="1" applyFill="1" applyBorder="1" applyAlignment="1">
      <alignment horizontal="left"/>
    </xf>
    <xf numFmtId="0" fontId="22" fillId="29" borderId="31" xfId="0" applyFont="1" applyFill="1" applyBorder="1"/>
    <xf numFmtId="0" fontId="22" fillId="29" borderId="0" xfId="0" applyFont="1" applyFill="1"/>
    <xf numFmtId="167" fontId="22" fillId="29" borderId="0" xfId="0" applyNumberFormat="1" applyFont="1" applyFill="1"/>
    <xf numFmtId="167" fontId="60" fillId="29" borderId="0" xfId="0" applyNumberFormat="1" applyFont="1" applyFill="1"/>
    <xf numFmtId="0" fontId="19" fillId="0" borderId="27" xfId="0" applyFont="1" applyBorder="1"/>
    <xf numFmtId="175" fontId="19" fillId="0" borderId="28" xfId="0" applyNumberFormat="1" applyFont="1" applyBorder="1"/>
    <xf numFmtId="167" fontId="55" fillId="0" borderId="28" xfId="0" applyNumberFormat="1" applyFont="1" applyBorder="1"/>
    <xf numFmtId="0" fontId="22" fillId="30" borderId="0" xfId="0" applyFont="1" applyFill="1"/>
    <xf numFmtId="167" fontId="51" fillId="31" borderId="0" xfId="0" applyNumberFormat="1" applyFont="1" applyFill="1"/>
    <xf numFmtId="0" fontId="22" fillId="31" borderId="0" xfId="0" applyFont="1" applyFill="1"/>
    <xf numFmtId="167" fontId="22" fillId="30" borderId="0" xfId="0" applyNumberFormat="1" applyFont="1" applyFill="1"/>
    <xf numFmtId="167" fontId="61" fillId="30" borderId="0" xfId="0" applyNumberFormat="1" applyFont="1" applyFill="1"/>
    <xf numFmtId="164" fontId="5" fillId="0" borderId="0" xfId="109" applyNumberFormat="1" applyFont="1" applyFill="1" applyAlignment="1">
      <alignment horizontal="center"/>
    </xf>
    <xf numFmtId="43" fontId="5" fillId="0" borderId="0" xfId="109" applyFont="1" applyFill="1" applyAlignment="1">
      <alignment horizontal="center"/>
    </xf>
    <xf numFmtId="9" fontId="16" fillId="0" borderId="0" xfId="104" applyFont="1" applyFill="1" applyBorder="1"/>
    <xf numFmtId="9" fontId="10" fillId="0" borderId="0" xfId="104" applyFont="1" applyFill="1" applyBorder="1"/>
    <xf numFmtId="9" fontId="8" fillId="0" borderId="0" xfId="104" applyFont="1" applyFill="1" applyBorder="1" applyAlignment="1">
      <alignment horizontal="center" vertical="center" wrapText="1"/>
    </xf>
    <xf numFmtId="9" fontId="11" fillId="0" borderId="0" xfId="104" applyFont="1" applyFill="1" applyBorder="1" applyAlignment="1"/>
    <xf numFmtId="164" fontId="6" fillId="0" borderId="6" xfId="109" applyNumberFormat="1" applyFont="1" applyFill="1" applyBorder="1" applyAlignment="1">
      <alignment horizontal="center"/>
    </xf>
    <xf numFmtId="164" fontId="6" fillId="0" borderId="6" xfId="109" applyNumberFormat="1" applyFont="1" applyFill="1" applyBorder="1" applyAlignment="1">
      <alignment horizontal="right"/>
    </xf>
    <xf numFmtId="9" fontId="47" fillId="0" borderId="0" xfId="104" applyFont="1" applyFill="1" applyBorder="1"/>
    <xf numFmtId="164" fontId="48" fillId="0" borderId="6" xfId="109" applyNumberFormat="1" applyFont="1" applyFill="1" applyBorder="1" applyAlignment="1">
      <alignment horizontal="center"/>
    </xf>
    <xf numFmtId="164" fontId="48" fillId="0" borderId="6" xfId="109" applyNumberFormat="1" applyFont="1" applyFill="1" applyBorder="1" applyAlignment="1">
      <alignment horizontal="right"/>
    </xf>
    <xf numFmtId="9" fontId="10" fillId="0" borderId="0" xfId="104" applyFont="1" applyFill="1" applyBorder="1" applyAlignment="1">
      <alignment horizontal="left"/>
    </xf>
    <xf numFmtId="10" fontId="6" fillId="0" borderId="6" xfId="104" applyNumberFormat="1" applyFont="1" applyFill="1" applyBorder="1" applyAlignment="1">
      <alignment horizontal="center"/>
    </xf>
    <xf numFmtId="43" fontId="6" fillId="0" borderId="6" xfId="109" applyFont="1" applyFill="1" applyBorder="1" applyAlignment="1">
      <alignment horizontal="center"/>
    </xf>
    <xf numFmtId="43" fontId="48" fillId="0" borderId="6" xfId="109" applyFont="1" applyFill="1" applyBorder="1" applyAlignment="1">
      <alignment horizontal="center"/>
    </xf>
    <xf numFmtId="43" fontId="48" fillId="0" borderId="6" xfId="109" applyFont="1" applyFill="1" applyBorder="1" applyAlignment="1">
      <alignment horizontal="right"/>
    </xf>
    <xf numFmtId="9" fontId="49" fillId="0" borderId="0" xfId="104" applyFont="1" applyFill="1" applyBorder="1"/>
    <xf numFmtId="9" fontId="50" fillId="0" borderId="0" xfId="104" applyFont="1" applyFill="1" applyBorder="1"/>
    <xf numFmtId="166" fontId="6" fillId="0" borderId="6" xfId="92" applyNumberFormat="1" applyFont="1" applyFill="1" applyBorder="1" applyAlignment="1">
      <alignment horizontal="center"/>
    </xf>
    <xf numFmtId="164" fontId="48" fillId="0" borderId="6" xfId="109" applyNumberFormat="1" applyFont="1" applyFill="1" applyBorder="1" applyAlignment="1">
      <alignment horizontal="center" vertical="center" wrapText="1"/>
    </xf>
    <xf numFmtId="166" fontId="48" fillId="0" borderId="6" xfId="92" applyNumberFormat="1" applyFont="1" applyFill="1" applyBorder="1" applyAlignment="1">
      <alignment horizontal="center"/>
    </xf>
    <xf numFmtId="171" fontId="10" fillId="0" borderId="0" xfId="104" applyNumberFormat="1" applyFont="1" applyFill="1" applyBorder="1" applyAlignment="1">
      <alignment horizontal="left"/>
    </xf>
    <xf numFmtId="171" fontId="49" fillId="0" borderId="0" xfId="104" applyNumberFormat="1" applyFont="1" applyFill="1" applyBorder="1" applyAlignment="1">
      <alignment horizontal="left"/>
    </xf>
    <xf numFmtId="10" fontId="49" fillId="0" borderId="0" xfId="104" applyNumberFormat="1" applyFont="1" applyFill="1" applyBorder="1"/>
    <xf numFmtId="43" fontId="14" fillId="0" borderId="0" xfId="109" applyFont="1" applyFill="1" applyAlignment="1">
      <alignment horizontal="center"/>
    </xf>
    <xf numFmtId="9" fontId="14" fillId="0" borderId="0" xfId="104" applyFont="1" applyFill="1" applyBorder="1"/>
    <xf numFmtId="2" fontId="47" fillId="0" borderId="0" xfId="0" applyNumberFormat="1" applyFont="1" applyFill="1" applyBorder="1" applyAlignment="1">
      <alignment horizontal="left"/>
    </xf>
    <xf numFmtId="2" fontId="47" fillId="0" borderId="0" xfId="104" applyNumberFormat="1" applyFont="1" applyFill="1" applyBorder="1" applyAlignment="1">
      <alignment horizontal="left"/>
    </xf>
    <xf numFmtId="2" fontId="47" fillId="0" borderId="0" xfId="0" applyNumberFormat="1" applyFont="1" applyFill="1" applyBorder="1"/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/>
    <xf numFmtId="1" fontId="47" fillId="0" borderId="0" xfId="103" applyNumberFormat="1" applyFont="1" applyFill="1" applyBorder="1" applyAlignment="1">
      <alignment horizontal="left"/>
    </xf>
    <xf numFmtId="167" fontId="6" fillId="0" borderId="6" xfId="104" applyNumberFormat="1" applyFont="1" applyFill="1" applyBorder="1" applyAlignment="1">
      <alignment horizontal="center"/>
    </xf>
    <xf numFmtId="9" fontId="10" fillId="0" borderId="0" xfId="103" applyFont="1" applyFill="1" applyBorder="1" applyAlignment="1">
      <alignment horizontal="left"/>
    </xf>
    <xf numFmtId="168" fontId="11" fillId="0" borderId="0" xfId="104" applyNumberFormat="1" applyFont="1" applyFill="1" applyBorder="1" applyAlignment="1"/>
    <xf numFmtId="1" fontId="10" fillId="0" borderId="0" xfId="104" applyNumberFormat="1" applyFont="1" applyFill="1" applyBorder="1" applyAlignment="1">
      <alignment horizontal="left"/>
    </xf>
    <xf numFmtId="10" fontId="10" fillId="0" borderId="0" xfId="103" applyNumberFormat="1" applyFont="1" applyFill="1" applyBorder="1" applyAlignment="1">
      <alignment horizontal="left"/>
    </xf>
    <xf numFmtId="2" fontId="47" fillId="0" borderId="0" xfId="104" applyNumberFormat="1" applyFont="1" applyFill="1" applyBorder="1"/>
    <xf numFmtId="168" fontId="8" fillId="0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left" vertical="center" wrapText="1"/>
    </xf>
    <xf numFmtId="167" fontId="6" fillId="0" borderId="6" xfId="103" applyNumberFormat="1" applyFont="1" applyFill="1" applyBorder="1" applyAlignment="1">
      <alignment horizontal="center"/>
    </xf>
    <xf numFmtId="43" fontId="6" fillId="0" borderId="6" xfId="109" applyNumberFormat="1" applyFont="1" applyFill="1" applyBorder="1" applyAlignment="1">
      <alignment horizontal="center"/>
    </xf>
    <xf numFmtId="9" fontId="0" fillId="0" borderId="0" xfId="103" applyFont="1"/>
    <xf numFmtId="10" fontId="10" fillId="0" borderId="0" xfId="103" applyNumberFormat="1" applyFont="1" applyFill="1" applyBorder="1"/>
    <xf numFmtId="10" fontId="10" fillId="0" borderId="0" xfId="0" applyNumberFormat="1" applyFont="1" applyFill="1" applyBorder="1"/>
    <xf numFmtId="0" fontId="13" fillId="0" borderId="15" xfId="0" applyFont="1" applyFill="1" applyBorder="1" applyAlignment="1">
      <alignment vertical="center" wrapText="1"/>
    </xf>
    <xf numFmtId="169" fontId="6" fillId="0" borderId="6" xfId="109" applyNumberFormat="1" applyFont="1" applyFill="1" applyBorder="1" applyAlignment="1">
      <alignment horizontal="center"/>
    </xf>
    <xf numFmtId="169" fontId="6" fillId="0" borderId="6" xfId="104" applyNumberFormat="1" applyFont="1" applyFill="1" applyBorder="1" applyAlignment="1">
      <alignment horizontal="center"/>
    </xf>
    <xf numFmtId="169" fontId="48" fillId="0" borderId="6" xfId="109" applyNumberFormat="1" applyFont="1" applyFill="1" applyBorder="1" applyAlignment="1">
      <alignment horizontal="center"/>
    </xf>
    <xf numFmtId="169" fontId="6" fillId="0" borderId="6" xfId="92" applyNumberFormat="1" applyFont="1" applyFill="1" applyBorder="1" applyAlignment="1">
      <alignment horizontal="center"/>
    </xf>
    <xf numFmtId="169" fontId="48" fillId="0" borderId="6" xfId="109" applyNumberFormat="1" applyFont="1" applyFill="1" applyBorder="1" applyAlignment="1">
      <alignment horizontal="center" vertical="center" wrapText="1"/>
    </xf>
    <xf numFmtId="169" fontId="48" fillId="0" borderId="6" xfId="92" applyNumberFormat="1" applyFont="1" applyFill="1" applyBorder="1" applyAlignment="1">
      <alignment horizontal="center"/>
    </xf>
    <xf numFmtId="164" fontId="6" fillId="0" borderId="6" xfId="92" applyNumberFormat="1" applyFont="1" applyFill="1" applyBorder="1" applyAlignment="1">
      <alignment horizontal="center"/>
    </xf>
    <xf numFmtId="164" fontId="48" fillId="0" borderId="6" xfId="92" applyNumberFormat="1" applyFont="1" applyFill="1" applyBorder="1" applyAlignment="1">
      <alignment horizontal="center"/>
    </xf>
    <xf numFmtId="169" fontId="6" fillId="0" borderId="6" xfId="109" applyNumberFormat="1" applyFont="1" applyFill="1" applyBorder="1" applyAlignment="1">
      <alignment horizontal="right"/>
    </xf>
    <xf numFmtId="169" fontId="48" fillId="0" borderId="6" xfId="109" applyNumberFormat="1" applyFont="1" applyFill="1" applyBorder="1" applyAlignment="1">
      <alignment horizontal="right"/>
    </xf>
    <xf numFmtId="164" fontId="6" fillId="0" borderId="6" xfId="104" applyNumberFormat="1" applyFont="1" applyFill="1" applyBorder="1" applyAlignment="1">
      <alignment horizontal="center"/>
    </xf>
    <xf numFmtId="169" fontId="6" fillId="0" borderId="6" xfId="103" applyNumberFormat="1" applyFont="1" applyFill="1" applyBorder="1" applyAlignment="1">
      <alignment horizontal="center"/>
    </xf>
    <xf numFmtId="174" fontId="10" fillId="0" borderId="0" xfId="0" applyNumberFormat="1" applyFont="1" applyFill="1" applyBorder="1"/>
    <xf numFmtId="164" fontId="47" fillId="0" borderId="0" xfId="0" applyNumberFormat="1" applyFont="1" applyFill="1" applyBorder="1"/>
    <xf numFmtId="178" fontId="47" fillId="0" borderId="0" xfId="0" applyNumberFormat="1" applyFont="1" applyFill="1" applyBorder="1"/>
    <xf numFmtId="172" fontId="47" fillId="0" borderId="0" xfId="0" applyNumberFormat="1" applyFont="1" applyFill="1" applyBorder="1"/>
    <xf numFmtId="169" fontId="47" fillId="0" borderId="0" xfId="0" applyNumberFormat="1" applyFont="1" applyFill="1" applyBorder="1"/>
    <xf numFmtId="164" fontId="47" fillId="0" borderId="0" xfId="104" applyNumberFormat="1" applyFont="1" applyFill="1" applyBorder="1"/>
    <xf numFmtId="164" fontId="6" fillId="32" borderId="6" xfId="109" applyNumberFormat="1" applyFont="1" applyFill="1" applyBorder="1" applyAlignment="1">
      <alignment horizontal="center"/>
    </xf>
    <xf numFmtId="169" fontId="5" fillId="0" borderId="0" xfId="109" applyNumberFormat="1" applyFont="1" applyFill="1" applyAlignment="1">
      <alignment horizontal="center"/>
    </xf>
    <xf numFmtId="169" fontId="5" fillId="0" borderId="0" xfId="109" applyNumberFormat="1" applyFont="1" applyFill="1"/>
    <xf numFmtId="186" fontId="47" fillId="0" borderId="0" xfId="0" applyNumberFormat="1" applyFont="1" applyFill="1" applyBorder="1"/>
    <xf numFmtId="173" fontId="47" fillId="0" borderId="0" xfId="0" applyNumberFormat="1" applyFont="1" applyFill="1" applyBorder="1"/>
    <xf numFmtId="179" fontId="10" fillId="0" borderId="0" xfId="0" applyNumberFormat="1" applyFont="1" applyFill="1" applyBorder="1"/>
    <xf numFmtId="179" fontId="8" fillId="0" borderId="0" xfId="0" applyNumberFormat="1" applyFont="1" applyFill="1" applyBorder="1" applyAlignment="1">
      <alignment horizontal="center" vertical="center" wrapText="1"/>
    </xf>
    <xf numFmtId="179" fontId="11" fillId="0" borderId="0" xfId="109" applyNumberFormat="1" applyFont="1" applyFill="1" applyBorder="1" applyAlignment="1"/>
    <xf numFmtId="179" fontId="47" fillId="0" borderId="0" xfId="0" applyNumberFormat="1" applyFont="1" applyFill="1" applyBorder="1"/>
    <xf numFmtId="179" fontId="14" fillId="0" borderId="0" xfId="0" applyNumberFormat="1" applyFont="1" applyFill="1" applyBorder="1"/>
    <xf numFmtId="179" fontId="16" fillId="0" borderId="0" xfId="0" applyNumberFormat="1" applyFont="1" applyFill="1" applyBorder="1"/>
    <xf numFmtId="177" fontId="10" fillId="0" borderId="0" xfId="0" applyNumberFormat="1" applyFont="1" applyFill="1" applyBorder="1"/>
    <xf numFmtId="170" fontId="5" fillId="0" borderId="0" xfId="109" applyNumberFormat="1" applyFont="1" applyFill="1" applyAlignment="1">
      <alignment horizontal="center"/>
    </xf>
    <xf numFmtId="170" fontId="5" fillId="0" borderId="0" xfId="109" applyNumberFormat="1" applyFont="1" applyFill="1"/>
    <xf numFmtId="170" fontId="16" fillId="0" borderId="0" xfId="0" applyNumberFormat="1" applyFont="1" applyFill="1"/>
    <xf numFmtId="10" fontId="47" fillId="0" borderId="0" xfId="103" applyNumberFormat="1" applyFont="1" applyFill="1" applyBorder="1"/>
    <xf numFmtId="10" fontId="47" fillId="0" borderId="0" xfId="0" applyNumberFormat="1" applyFont="1" applyFill="1" applyBorder="1"/>
    <xf numFmtId="0" fontId="14" fillId="0" borderId="0" xfId="0" applyFont="1" applyFill="1" applyAlignment="1"/>
    <xf numFmtId="187" fontId="10" fillId="0" borderId="0" xfId="0" applyNumberFormat="1" applyFont="1" applyFill="1" applyBorder="1"/>
    <xf numFmtId="187" fontId="8" fillId="0" borderId="0" xfId="0" applyNumberFormat="1" applyFont="1" applyFill="1" applyBorder="1" applyAlignment="1">
      <alignment horizontal="center" vertical="center" wrapText="1"/>
    </xf>
    <xf numFmtId="187" fontId="11" fillId="0" borderId="0" xfId="109" applyNumberFormat="1" applyFont="1" applyFill="1" applyBorder="1" applyAlignment="1"/>
    <xf numFmtId="187" fontId="47" fillId="0" borderId="0" xfId="0" applyNumberFormat="1" applyFont="1" applyFill="1" applyBorder="1"/>
    <xf numFmtId="187" fontId="14" fillId="0" borderId="0" xfId="0" applyNumberFormat="1" applyFont="1" applyFill="1" applyBorder="1"/>
    <xf numFmtId="188" fontId="5" fillId="0" borderId="0" xfId="109" applyNumberFormat="1" applyFont="1" applyFill="1" applyAlignment="1">
      <alignment horizontal="center"/>
    </xf>
    <xf numFmtId="188" fontId="5" fillId="0" borderId="0" xfId="109" applyNumberFormat="1" applyFont="1" applyFill="1"/>
    <xf numFmtId="166" fontId="10" fillId="0" borderId="0" xfId="0" applyNumberFormat="1" applyFont="1" applyFill="1" applyBorder="1"/>
    <xf numFmtId="166" fontId="8" fillId="0" borderId="0" xfId="0" applyNumberFormat="1" applyFont="1" applyFill="1" applyBorder="1" applyAlignment="1">
      <alignment horizontal="center" vertical="center" wrapText="1"/>
    </xf>
    <xf numFmtId="166" fontId="11" fillId="0" borderId="0" xfId="109" applyNumberFormat="1" applyFont="1" applyFill="1" applyBorder="1" applyAlignment="1"/>
    <xf numFmtId="166" fontId="47" fillId="0" borderId="0" xfId="0" applyNumberFormat="1" applyFont="1" applyFill="1" applyBorder="1"/>
    <xf numFmtId="166" fontId="49" fillId="0" borderId="0" xfId="0" applyNumberFormat="1" applyFont="1" applyFill="1" applyBorder="1"/>
    <xf numFmtId="166" fontId="50" fillId="0" borderId="0" xfId="0" applyNumberFormat="1" applyFont="1" applyFill="1" applyBorder="1"/>
    <xf numFmtId="166" fontId="14" fillId="0" borderId="0" xfId="0" applyNumberFormat="1" applyFont="1" applyFill="1" applyBorder="1"/>
    <xf numFmtId="189" fontId="47" fillId="0" borderId="0" xfId="0" applyNumberFormat="1" applyFont="1" applyFill="1" applyBorder="1"/>
    <xf numFmtId="170" fontId="6" fillId="0" borderId="6" xfId="109" applyNumberFormat="1" applyFont="1" applyFill="1" applyBorder="1" applyAlignment="1">
      <alignment horizontal="center"/>
    </xf>
    <xf numFmtId="190" fontId="47" fillId="0" borderId="0" xfId="0" applyNumberFormat="1" applyFont="1" applyFill="1" applyBorder="1"/>
    <xf numFmtId="191" fontId="47" fillId="0" borderId="0" xfId="0" applyNumberFormat="1" applyFont="1" applyFill="1" applyBorder="1"/>
    <xf numFmtId="192" fontId="47" fillId="0" borderId="0" xfId="0" applyNumberFormat="1" applyFont="1" applyFill="1" applyBorder="1"/>
    <xf numFmtId="49" fontId="24" fillId="0" borderId="0" xfId="38" applyNumberFormat="1" applyFont="1" applyFill="1" applyBorder="1" applyAlignment="1" applyProtection="1">
      <alignment horizontal="left" vertical="center" wrapText="1" indent="1"/>
    </xf>
    <xf numFmtId="49" fontId="35" fillId="0" borderId="6" xfId="38" applyNumberFormat="1" applyFont="1" applyBorder="1" applyAlignment="1" applyProtection="1">
      <alignment horizontal="center" vertical="center"/>
    </xf>
    <xf numFmtId="49" fontId="63" fillId="0" borderId="6" xfId="38" applyNumberFormat="1" applyFont="1" applyBorder="1" applyAlignment="1" applyProtection="1">
      <alignment horizontal="center" vertical="center"/>
    </xf>
    <xf numFmtId="49" fontId="35" fillId="0" borderId="6" xfId="38" applyNumberFormat="1" applyFont="1" applyBorder="1" applyAlignment="1" applyProtection="1">
      <alignment horizontal="center" vertical="top"/>
    </xf>
    <xf numFmtId="49" fontId="35" fillId="0" borderId="6" xfId="38" applyNumberFormat="1" applyFont="1" applyBorder="1" applyAlignment="1" applyProtection="1">
      <alignment vertical="top" wrapText="1"/>
    </xf>
    <xf numFmtId="49" fontId="35" fillId="0" borderId="6" xfId="38" applyNumberFormat="1" applyFont="1" applyBorder="1" applyAlignment="1" applyProtection="1">
      <alignment horizontal="center" vertical="center" wrapText="1"/>
    </xf>
    <xf numFmtId="4" fontId="35" fillId="25" borderId="6" xfId="38" applyNumberFormat="1" applyFont="1" applyFill="1" applyBorder="1" applyAlignment="1" applyProtection="1">
      <alignment horizontal="right" vertical="center"/>
    </xf>
    <xf numFmtId="49" fontId="35" fillId="0" borderId="6" xfId="38" applyNumberFormat="1" applyFont="1" applyBorder="1" applyAlignment="1" applyProtection="1">
      <alignment horizontal="left" vertical="top" wrapText="1" indent="1"/>
    </xf>
    <xf numFmtId="4" fontId="35" fillId="0" borderId="6" xfId="38" applyNumberFormat="1" applyFont="1" applyFill="1" applyBorder="1" applyAlignment="1" applyProtection="1">
      <alignment horizontal="right" vertical="center"/>
    </xf>
    <xf numFmtId="4" fontId="35" fillId="0" borderId="6" xfId="38" applyNumberFormat="1" applyFont="1" applyBorder="1" applyAlignment="1" applyProtection="1">
      <alignment horizontal="right" vertical="center"/>
    </xf>
    <xf numFmtId="49" fontId="35" fillId="0" borderId="6" xfId="38" applyNumberFormat="1" applyFont="1" applyBorder="1" applyAlignment="1" applyProtection="1">
      <alignment horizontal="left" vertical="top" wrapText="1" indent="2"/>
    </xf>
    <xf numFmtId="4" fontId="35" fillId="21" borderId="6" xfId="38" applyNumberFormat="1" applyFont="1" applyFill="1" applyBorder="1" applyAlignment="1" applyProtection="1">
      <alignment vertical="center"/>
      <protection locked="0"/>
    </xf>
    <xf numFmtId="4" fontId="35" fillId="0" borderId="6" xfId="38" applyNumberFormat="1" applyFont="1" applyFill="1" applyBorder="1" applyAlignment="1" applyProtection="1">
      <alignment vertical="center"/>
    </xf>
    <xf numFmtId="49" fontId="35" fillId="0" borderId="6" xfId="38" applyNumberFormat="1" applyFont="1" applyFill="1" applyBorder="1" applyAlignment="1" applyProtection="1">
      <alignment vertical="top" wrapText="1"/>
    </xf>
    <xf numFmtId="4" fontId="35" fillId="21" borderId="6" xfId="38" applyNumberFormat="1" applyFont="1" applyFill="1" applyBorder="1" applyAlignment="1" applyProtection="1">
      <alignment horizontal="right" vertical="center"/>
      <protection locked="0"/>
    </xf>
    <xf numFmtId="49" fontId="35" fillId="0" borderId="6" xfId="38" applyNumberFormat="1" applyFont="1" applyFill="1" applyBorder="1" applyAlignment="1" applyProtection="1">
      <alignment horizontal="left" vertical="top" wrapText="1" indent="1"/>
    </xf>
    <xf numFmtId="49" fontId="35" fillId="0" borderId="6" xfId="38" applyNumberFormat="1" applyFont="1" applyFill="1" applyBorder="1" applyAlignment="1" applyProtection="1">
      <alignment horizontal="left" vertical="top" wrapText="1" indent="2"/>
    </xf>
    <xf numFmtId="2" fontId="35" fillId="0" borderId="6" xfId="38" applyNumberFormat="1" applyFont="1" applyFill="1" applyBorder="1" applyAlignment="1" applyProtection="1">
      <alignment horizontal="center" vertical="top"/>
    </xf>
    <xf numFmtId="2" fontId="35" fillId="0" borderId="6" xfId="38" applyNumberFormat="1" applyFont="1" applyFill="1" applyBorder="1" applyAlignment="1" applyProtection="1">
      <alignment vertical="top" wrapText="1"/>
    </xf>
    <xf numFmtId="2" fontId="35" fillId="0" borderId="6" xfId="38" applyNumberFormat="1" applyFont="1" applyFill="1" applyBorder="1" applyAlignment="1" applyProtection="1">
      <alignment vertical="center" wrapText="1"/>
    </xf>
    <xf numFmtId="4" fontId="35" fillId="25" borderId="6" xfId="38" applyNumberFormat="1" applyFont="1" applyFill="1" applyBorder="1" applyAlignment="1" applyProtection="1">
      <alignment vertical="center"/>
    </xf>
    <xf numFmtId="49" fontId="24" fillId="0" borderId="0" xfId="38" applyNumberFormat="1" applyFont="1" applyFill="1" applyBorder="1" applyAlignment="1" applyProtection="1">
      <alignment horizontal="left" vertical="top"/>
    </xf>
    <xf numFmtId="0" fontId="35" fillId="0" borderId="0" xfId="38" applyNumberFormat="1" applyFont="1" applyAlignment="1" applyProtection="1">
      <alignment vertical="top" wrapText="1"/>
    </xf>
    <xf numFmtId="0" fontId="35" fillId="0" borderId="0" xfId="38" applyNumberFormat="1" applyFont="1" applyAlignment="1" applyProtection="1">
      <alignment vertical="center" wrapText="1"/>
    </xf>
    <xf numFmtId="0" fontId="35" fillId="0" borderId="0" xfId="38" applyNumberFormat="1" applyFont="1" applyAlignment="1" applyProtection="1">
      <alignment vertical="center"/>
    </xf>
    <xf numFmtId="49" fontId="35" fillId="0" borderId="6" xfId="38" applyNumberFormat="1" applyFont="1" applyFill="1" applyBorder="1" applyAlignment="1" applyProtection="1">
      <alignment horizontal="center" vertical="center"/>
    </xf>
    <xf numFmtId="0" fontId="35" fillId="0" borderId="6" xfId="38" applyNumberFormat="1" applyFont="1" applyBorder="1" applyAlignment="1" applyProtection="1">
      <alignment vertical="center"/>
    </xf>
    <xf numFmtId="49" fontId="35" fillId="0" borderId="6" xfId="38" applyNumberFormat="1" applyFont="1" applyFill="1" applyBorder="1" applyAlignment="1" applyProtection="1">
      <alignment horizontal="center" vertical="top"/>
    </xf>
    <xf numFmtId="49" fontId="35" fillId="0" borderId="6" xfId="38" applyNumberFormat="1" applyFont="1" applyFill="1" applyBorder="1" applyAlignment="1" applyProtection="1">
      <alignment horizontal="center" vertical="center" wrapText="1"/>
    </xf>
    <xf numFmtId="49" fontId="35" fillId="0" borderId="6" xfId="38" applyNumberFormat="1" applyFont="1" applyFill="1" applyBorder="1" applyAlignment="1" applyProtection="1">
      <alignment horizontal="left" vertical="top" wrapText="1"/>
    </xf>
    <xf numFmtId="0" fontId="35" fillId="0" borderId="0" xfId="38" applyNumberFormat="1" applyFont="1" applyAlignment="1" applyProtection="1">
      <alignment vertical="top"/>
    </xf>
    <xf numFmtId="49" fontId="24" fillId="0" borderId="0" xfId="77" applyNumberFormat="1" applyFont="1" applyFill="1" applyBorder="1" applyAlignment="1" applyProtection="1">
      <alignment horizontal="left" vertical="center" wrapText="1" indent="1"/>
    </xf>
    <xf numFmtId="49" fontId="35" fillId="0" borderId="0" xfId="77" applyNumberFormat="1" applyFont="1" applyAlignment="1">
      <alignment vertical="top"/>
    </xf>
    <xf numFmtId="49" fontId="35" fillId="0" borderId="0" xfId="77" applyNumberFormat="1" applyFont="1" applyAlignment="1" applyProtection="1">
      <alignment horizontal="right" vertical="top"/>
    </xf>
    <xf numFmtId="49" fontId="35" fillId="0" borderId="6" xfId="77" applyNumberFormat="1" applyFont="1" applyBorder="1" applyAlignment="1" applyProtection="1">
      <alignment horizontal="center" vertical="center"/>
    </xf>
    <xf numFmtId="49" fontId="63" fillId="0" borderId="6" xfId="77" applyNumberFormat="1" applyFont="1" applyBorder="1" applyAlignment="1" applyProtection="1">
      <alignment horizontal="center" vertical="center"/>
    </xf>
    <xf numFmtId="49" fontId="35" fillId="0" borderId="6" xfId="77" applyNumberFormat="1" applyFont="1" applyFill="1" applyBorder="1" applyAlignment="1" applyProtection="1">
      <alignment vertical="top" wrapText="1"/>
    </xf>
    <xf numFmtId="49" fontId="35" fillId="0" borderId="6" xfId="77" applyNumberFormat="1" applyFont="1" applyBorder="1" applyAlignment="1" applyProtection="1">
      <alignment horizontal="center" vertical="center" wrapText="1"/>
    </xf>
    <xf numFmtId="167" fontId="35" fillId="25" borderId="6" xfId="38" applyNumberFormat="1" applyFont="1" applyFill="1" applyBorder="1" applyAlignment="1" applyProtection="1">
      <alignment horizontal="right" vertical="center"/>
    </xf>
    <xf numFmtId="49" fontId="35" fillId="0" borderId="6" xfId="77" applyNumberFormat="1" applyFont="1" applyFill="1" applyBorder="1" applyAlignment="1" applyProtection="1">
      <alignment horizontal="left" vertical="top" wrapText="1" indent="1"/>
    </xf>
    <xf numFmtId="167" fontId="35" fillId="0" borderId="6" xfId="38" applyNumberFormat="1" applyFont="1" applyFill="1" applyBorder="1" applyAlignment="1" applyProtection="1">
      <alignment horizontal="right" vertical="center"/>
    </xf>
    <xf numFmtId="167" fontId="35" fillId="0" borderId="6" xfId="38" applyNumberFormat="1" applyFont="1" applyBorder="1" applyAlignment="1" applyProtection="1">
      <alignment horizontal="right" vertical="center"/>
    </xf>
    <xf numFmtId="49" fontId="35" fillId="0" borderId="6" xfId="77" applyNumberFormat="1" applyFont="1" applyFill="1" applyBorder="1" applyAlignment="1" applyProtection="1">
      <alignment horizontal="left" vertical="top" wrapText="1" indent="2"/>
    </xf>
    <xf numFmtId="167" fontId="35" fillId="21" borderId="6" xfId="38" applyNumberFormat="1" applyFont="1" applyFill="1" applyBorder="1" applyAlignment="1" applyProtection="1">
      <alignment vertical="center"/>
      <protection locked="0"/>
    </xf>
    <xf numFmtId="167" fontId="35" fillId="0" borderId="6" xfId="38" applyNumberFormat="1" applyFont="1" applyFill="1" applyBorder="1" applyAlignment="1" applyProtection="1">
      <alignment vertical="center"/>
    </xf>
    <xf numFmtId="167" fontId="35" fillId="21" borderId="6" xfId="38" applyNumberFormat="1" applyFont="1" applyFill="1" applyBorder="1" applyAlignment="1" applyProtection="1">
      <alignment horizontal="right" vertical="center"/>
      <protection locked="0"/>
    </xf>
    <xf numFmtId="2" fontId="35" fillId="0" borderId="6" xfId="77" applyNumberFormat="1" applyFont="1" applyFill="1" applyBorder="1" applyAlignment="1" applyProtection="1">
      <alignment horizontal="center" vertical="center"/>
    </xf>
    <xf numFmtId="2" fontId="35" fillId="0" borderId="6" xfId="77" applyNumberFormat="1" applyFont="1" applyFill="1" applyBorder="1" applyAlignment="1" applyProtection="1">
      <alignment vertical="top" wrapText="1"/>
    </xf>
    <xf numFmtId="2" fontId="35" fillId="0" borderId="6" xfId="77" applyNumberFormat="1" applyFont="1" applyFill="1" applyBorder="1" applyAlignment="1" applyProtection="1">
      <alignment vertical="center" wrapText="1"/>
    </xf>
    <xf numFmtId="167" fontId="35" fillId="25" borderId="6" xfId="38" applyNumberFormat="1" applyFont="1" applyFill="1" applyBorder="1" applyAlignment="1" applyProtection="1">
      <alignment vertical="center"/>
    </xf>
    <xf numFmtId="167" fontId="35" fillId="0" borderId="0" xfId="38" applyNumberFormat="1" applyFont="1" applyAlignment="1" applyProtection="1">
      <alignment vertical="center"/>
    </xf>
    <xf numFmtId="49" fontId="35" fillId="0" borderId="6" xfId="77" applyNumberFormat="1" applyFont="1" applyFill="1" applyBorder="1" applyAlignment="1" applyProtection="1">
      <alignment horizontal="center" vertical="center"/>
    </xf>
    <xf numFmtId="167" fontId="35" fillId="25" borderId="6" xfId="77" applyNumberFormat="1" applyFont="1" applyFill="1" applyBorder="1" applyAlignment="1" applyProtection="1">
      <alignment horizontal="right" vertical="center"/>
    </xf>
    <xf numFmtId="167" fontId="35" fillId="0" borderId="6" xfId="77" applyNumberFormat="1" applyFont="1" applyBorder="1" applyAlignment="1" applyProtection="1">
      <alignment vertical="center"/>
    </xf>
    <xf numFmtId="49" fontId="35" fillId="0" borderId="6" xfId="77" applyNumberFormat="1" applyFont="1" applyFill="1" applyBorder="1" applyAlignment="1" applyProtection="1">
      <alignment vertical="center" wrapText="1"/>
    </xf>
    <xf numFmtId="49" fontId="35" fillId="0" borderId="6" xfId="77" applyNumberFormat="1" applyFont="1" applyFill="1" applyBorder="1" applyAlignment="1" applyProtection="1">
      <alignment horizontal="center" vertical="top"/>
    </xf>
    <xf numFmtId="49" fontId="35" fillId="0" borderId="6" xfId="77" applyNumberFormat="1" applyFont="1" applyFill="1" applyBorder="1" applyAlignment="1" applyProtection="1">
      <alignment horizontal="center" vertical="top" wrapText="1"/>
    </xf>
    <xf numFmtId="4" fontId="35" fillId="0" borderId="6" xfId="77" applyNumberFormat="1" applyFont="1" applyFill="1" applyBorder="1" applyAlignment="1" applyProtection="1">
      <alignment horizontal="right" vertical="center"/>
    </xf>
    <xf numFmtId="0" fontId="35" fillId="0" borderId="6" xfId="77" applyNumberFormat="1" applyFont="1" applyBorder="1" applyAlignment="1" applyProtection="1">
      <alignment vertical="center"/>
    </xf>
    <xf numFmtId="4" fontId="35" fillId="25" borderId="6" xfId="77" applyNumberFormat="1" applyFont="1" applyFill="1" applyBorder="1" applyAlignment="1" applyProtection="1">
      <alignment horizontal="right" vertical="center"/>
    </xf>
    <xf numFmtId="49" fontId="35" fillId="26" borderId="6" xfId="77" applyNumberFormat="1" applyFont="1" applyFill="1" applyBorder="1" applyAlignment="1" applyProtection="1">
      <alignment horizontal="left" vertical="top" wrapText="1" indent="1"/>
      <protection locked="0"/>
    </xf>
    <xf numFmtId="4" fontId="35" fillId="21" borderId="6" xfId="77" applyNumberFormat="1" applyFont="1" applyFill="1" applyBorder="1" applyAlignment="1" applyProtection="1">
      <alignment horizontal="right" vertical="center"/>
      <protection locked="0"/>
    </xf>
    <xf numFmtId="4" fontId="35" fillId="25" borderId="6" xfId="77" applyNumberFormat="1" applyFont="1" applyFill="1" applyBorder="1" applyAlignment="1" applyProtection="1">
      <alignment vertical="center"/>
    </xf>
    <xf numFmtId="0" fontId="35" fillId="33" borderId="48" xfId="77" applyNumberFormat="1" applyFont="1" applyFill="1" applyBorder="1" applyAlignment="1" applyProtection="1">
      <alignment vertical="top"/>
    </xf>
    <xf numFmtId="49" fontId="64" fillId="33" borderId="49" xfId="77" applyNumberFormat="1" applyFont="1" applyFill="1" applyBorder="1" applyAlignment="1" applyProtection="1">
      <alignment horizontal="left" vertical="top" indent="1"/>
    </xf>
    <xf numFmtId="0" fontId="35" fillId="33" borderId="49" xfId="77" applyNumberFormat="1" applyFont="1" applyFill="1" applyBorder="1" applyAlignment="1" applyProtection="1">
      <alignment vertical="top" wrapText="1"/>
    </xf>
    <xf numFmtId="0" fontId="35" fillId="33" borderId="49" xfId="77" applyNumberFormat="1" applyFont="1" applyFill="1" applyBorder="1" applyAlignment="1" applyProtection="1">
      <alignment vertical="center"/>
    </xf>
    <xf numFmtId="0" fontId="35" fillId="0" borderId="0" xfId="77" applyNumberFormat="1" applyFont="1" applyAlignment="1" applyProtection="1">
      <alignment vertical="top"/>
    </xf>
    <xf numFmtId="0" fontId="35" fillId="0" borderId="0" xfId="77" applyNumberFormat="1" applyFont="1" applyAlignment="1" applyProtection="1">
      <alignment vertical="top" wrapText="1"/>
    </xf>
    <xf numFmtId="193" fontId="47" fillId="0" borderId="0" xfId="103" applyNumberFormat="1" applyFont="1" applyFill="1" applyBorder="1"/>
    <xf numFmtId="1" fontId="10" fillId="0" borderId="0" xfId="0" applyNumberFormat="1" applyFont="1" applyFill="1" applyBorder="1"/>
    <xf numFmtId="194" fontId="47" fillId="0" borderId="0" xfId="0" applyNumberFormat="1" applyFont="1" applyFill="1" applyBorder="1"/>
    <xf numFmtId="4" fontId="24" fillId="25" borderId="6" xfId="38" applyNumberFormat="1" applyFont="1" applyFill="1" applyBorder="1" applyAlignment="1" applyProtection="1">
      <alignment horizontal="right" vertical="center"/>
    </xf>
    <xf numFmtId="4" fontId="24" fillId="0" borderId="6" xfId="38" applyNumberFormat="1" applyFont="1" applyFill="1" applyBorder="1" applyAlignment="1" applyProtection="1">
      <alignment horizontal="right" vertical="center"/>
    </xf>
    <xf numFmtId="4" fontId="24" fillId="0" borderId="6" xfId="38" applyNumberFormat="1" applyFont="1" applyFill="1" applyBorder="1" applyAlignment="1" applyProtection="1">
      <alignment vertical="center"/>
    </xf>
    <xf numFmtId="0" fontId="24" fillId="0" borderId="47" xfId="38" applyNumberFormat="1" applyFont="1" applyBorder="1" applyAlignment="1" applyProtection="1">
      <alignment vertical="center"/>
    </xf>
    <xf numFmtId="4" fontId="24" fillId="21" borderId="6" xfId="38" applyNumberFormat="1" applyFont="1" applyFill="1" applyBorder="1" applyAlignment="1" applyProtection="1">
      <alignment horizontal="right" vertical="center"/>
      <protection locked="0"/>
    </xf>
    <xf numFmtId="0" fontId="24" fillId="0" borderId="0" xfId="38" applyNumberFormat="1" applyFont="1" applyAlignment="1" applyProtection="1">
      <alignment vertical="center"/>
    </xf>
    <xf numFmtId="166" fontId="24" fillId="25" borderId="6" xfId="38" applyNumberFormat="1" applyFont="1" applyFill="1" applyBorder="1" applyAlignment="1" applyProtection="1">
      <alignment horizontal="right" vertical="center"/>
    </xf>
    <xf numFmtId="166" fontId="35" fillId="21" borderId="6" xfId="38" applyNumberFormat="1" applyFont="1" applyFill="1" applyBorder="1" applyAlignment="1" applyProtection="1">
      <alignment vertical="center"/>
      <protection locked="0"/>
    </xf>
    <xf numFmtId="167" fontId="24" fillId="25" borderId="6" xfId="38" applyNumberFormat="1" applyFont="1" applyFill="1" applyBorder="1" applyAlignment="1" applyProtection="1">
      <alignment horizontal="right" vertical="center"/>
    </xf>
    <xf numFmtId="167" fontId="24" fillId="0" borderId="6" xfId="38" applyNumberFormat="1" applyFont="1" applyFill="1" applyBorder="1" applyAlignment="1" applyProtection="1">
      <alignment horizontal="right" vertical="center"/>
    </xf>
    <xf numFmtId="167" fontId="24" fillId="25" borderId="6" xfId="38" applyNumberFormat="1" applyFont="1" applyFill="1" applyBorder="1" applyAlignment="1" applyProtection="1">
      <alignment vertical="center"/>
    </xf>
    <xf numFmtId="167" fontId="24" fillId="0" borderId="47" xfId="38" applyNumberFormat="1" applyFont="1" applyBorder="1" applyAlignment="1" applyProtection="1">
      <alignment vertical="center"/>
    </xf>
    <xf numFmtId="167" fontId="24" fillId="25" borderId="6" xfId="77" applyNumberFormat="1" applyFont="1" applyFill="1" applyBorder="1" applyAlignment="1" applyProtection="1">
      <alignment horizontal="right" vertical="center"/>
    </xf>
    <xf numFmtId="167" fontId="24" fillId="21" borderId="6" xfId="77" applyNumberFormat="1" applyFont="1" applyFill="1" applyBorder="1" applyAlignment="1" applyProtection="1">
      <alignment horizontal="right" vertical="center"/>
      <protection locked="0"/>
    </xf>
    <xf numFmtId="167" fontId="24" fillId="0" borderId="6" xfId="38" applyNumberFormat="1" applyFont="1" applyFill="1" applyBorder="1" applyAlignment="1" applyProtection="1">
      <alignment vertical="center"/>
    </xf>
    <xf numFmtId="167" fontId="24" fillId="0" borderId="0" xfId="38" applyNumberFormat="1" applyFont="1" applyAlignment="1" applyProtection="1">
      <alignment vertical="center"/>
    </xf>
    <xf numFmtId="0" fontId="48" fillId="0" borderId="0" xfId="0" applyFont="1" applyFill="1"/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43" fontId="48" fillId="0" borderId="0" xfId="109" applyFont="1" applyFill="1" applyAlignment="1">
      <alignment horizontal="center"/>
    </xf>
    <xf numFmtId="0" fontId="48" fillId="0" borderId="0" xfId="0" applyFont="1" applyFill="1" applyAlignment="1"/>
    <xf numFmtId="0" fontId="48" fillId="0" borderId="0" xfId="0" applyFont="1" applyFill="1" applyBorder="1"/>
    <xf numFmtId="9" fontId="48" fillId="0" borderId="0" xfId="104" applyFont="1" applyFill="1" applyBorder="1"/>
    <xf numFmtId="166" fontId="48" fillId="0" borderId="0" xfId="0" applyNumberFormat="1" applyFont="1" applyFill="1" applyBorder="1"/>
    <xf numFmtId="179" fontId="48" fillId="0" borderId="0" xfId="0" applyNumberFormat="1" applyFont="1" applyFill="1" applyBorder="1"/>
    <xf numFmtId="187" fontId="48" fillId="0" borderId="0" xfId="0" applyNumberFormat="1" applyFont="1" applyFill="1" applyBorder="1"/>
    <xf numFmtId="0" fontId="1" fillId="0" borderId="0" xfId="0" applyFont="1"/>
    <xf numFmtId="49" fontId="67" fillId="0" borderId="6" xfId="77" applyNumberFormat="1" applyFont="1" applyBorder="1" applyAlignment="1" applyProtection="1">
      <alignment horizontal="center" vertical="center"/>
    </xf>
    <xf numFmtId="49" fontId="68" fillId="0" borderId="6" xfId="77" applyNumberFormat="1" applyFont="1" applyBorder="1" applyAlignment="1" applyProtection="1">
      <alignment horizontal="center" vertical="center"/>
    </xf>
    <xf numFmtId="49" fontId="67" fillId="0" borderId="6" xfId="77" applyNumberFormat="1" applyFont="1" applyFill="1" applyBorder="1" applyAlignment="1" applyProtection="1">
      <alignment vertical="top" wrapText="1"/>
    </xf>
    <xf numFmtId="49" fontId="67" fillId="0" borderId="6" xfId="77" applyNumberFormat="1" applyFont="1" applyBorder="1" applyAlignment="1" applyProtection="1">
      <alignment horizontal="center" vertical="center" wrapText="1"/>
    </xf>
    <xf numFmtId="167" fontId="69" fillId="25" borderId="6" xfId="38" applyNumberFormat="1" applyFont="1" applyFill="1" applyBorder="1" applyAlignment="1" applyProtection="1">
      <alignment horizontal="right" vertical="center"/>
    </xf>
    <xf numFmtId="49" fontId="67" fillId="0" borderId="6" xfId="77" applyNumberFormat="1" applyFont="1" applyFill="1" applyBorder="1" applyAlignment="1" applyProtection="1">
      <alignment horizontal="left" vertical="top" wrapText="1" indent="1"/>
    </xf>
    <xf numFmtId="167" fontId="67" fillId="25" borderId="6" xfId="38" applyNumberFormat="1" applyFont="1" applyFill="1" applyBorder="1" applyAlignment="1" applyProtection="1">
      <alignment horizontal="right" vertical="center"/>
    </xf>
    <xf numFmtId="167" fontId="67" fillId="21" borderId="6" xfId="38" applyNumberFormat="1" applyFont="1" applyFill="1" applyBorder="1" applyAlignment="1" applyProtection="1">
      <alignment vertical="center"/>
      <protection locked="0"/>
    </xf>
    <xf numFmtId="167" fontId="69" fillId="0" borderId="6" xfId="38" applyNumberFormat="1" applyFont="1" applyFill="1" applyBorder="1" applyAlignment="1" applyProtection="1">
      <alignment horizontal="right" vertical="center"/>
    </xf>
    <xf numFmtId="167" fontId="67" fillId="21" borderId="6" xfId="38" applyNumberFormat="1" applyFont="1" applyFill="1" applyBorder="1" applyAlignment="1" applyProtection="1">
      <alignment horizontal="right" vertical="center"/>
      <protection locked="0"/>
    </xf>
    <xf numFmtId="49" fontId="67" fillId="0" borderId="6" xfId="77" applyNumberFormat="1" applyFont="1" applyFill="1" applyBorder="1" applyAlignment="1" applyProtection="1">
      <alignment horizontal="left" vertical="top" wrapText="1" indent="2"/>
    </xf>
    <xf numFmtId="2" fontId="67" fillId="0" borderId="6" xfId="77" applyNumberFormat="1" applyFont="1" applyFill="1" applyBorder="1" applyAlignment="1" applyProtection="1">
      <alignment horizontal="center" vertical="center"/>
    </xf>
    <xf numFmtId="2" fontId="67" fillId="0" borderId="6" xfId="77" applyNumberFormat="1" applyFont="1" applyFill="1" applyBorder="1" applyAlignment="1" applyProtection="1">
      <alignment vertical="top" wrapText="1"/>
    </xf>
    <xf numFmtId="2" fontId="67" fillId="0" borderId="6" xfId="77" applyNumberFormat="1" applyFont="1" applyFill="1" applyBorder="1" applyAlignment="1" applyProtection="1">
      <alignment vertical="center" wrapText="1"/>
    </xf>
    <xf numFmtId="167" fontId="69" fillId="25" borderId="6" xfId="38" applyNumberFormat="1" applyFont="1" applyFill="1" applyBorder="1" applyAlignment="1" applyProtection="1">
      <alignment vertical="center"/>
    </xf>
    <xf numFmtId="167" fontId="67" fillId="25" borderId="6" xfId="38" applyNumberFormat="1" applyFont="1" applyFill="1" applyBorder="1" applyAlignment="1" applyProtection="1">
      <alignment vertical="center"/>
    </xf>
    <xf numFmtId="167" fontId="69" fillId="0" borderId="6" xfId="38" applyNumberFormat="1" applyFont="1" applyFill="1" applyBorder="1" applyAlignment="1" applyProtection="1">
      <alignment vertical="center"/>
    </xf>
    <xf numFmtId="168" fontId="10" fillId="0" borderId="0" xfId="0" applyNumberFormat="1" applyFont="1" applyFill="1"/>
    <xf numFmtId="164" fontId="11" fillId="0" borderId="0" xfId="109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2" fontId="6" fillId="0" borderId="6" xfId="109" applyNumberFormat="1" applyFont="1" applyFill="1" applyBorder="1" applyAlignment="1">
      <alignment horizontal="center"/>
    </xf>
    <xf numFmtId="172" fontId="6" fillId="0" borderId="6" xfId="104" applyNumberFormat="1" applyFont="1" applyFill="1" applyBorder="1" applyAlignment="1">
      <alignment horizontal="center"/>
    </xf>
    <xf numFmtId="9" fontId="47" fillId="0" borderId="0" xfId="103" applyFont="1" applyFill="1" applyBorder="1"/>
    <xf numFmtId="186" fontId="10" fillId="0" borderId="0" xfId="0" applyNumberFormat="1" applyFont="1" applyFill="1" applyBorder="1"/>
    <xf numFmtId="195" fontId="47" fillId="0" borderId="0" xfId="0" applyNumberFormat="1" applyFont="1" applyFill="1" applyBorder="1"/>
    <xf numFmtId="0" fontId="1" fillId="0" borderId="0" xfId="0" applyFont="1" applyFill="1"/>
    <xf numFmtId="166" fontId="1" fillId="0" borderId="0" xfId="0" applyNumberFormat="1" applyFont="1" applyFill="1" applyBorder="1"/>
    <xf numFmtId="0" fontId="1" fillId="0" borderId="0" xfId="0" applyFont="1" applyFill="1" applyBorder="1"/>
    <xf numFmtId="187" fontId="1" fillId="0" borderId="0" xfId="0" applyNumberFormat="1" applyFont="1" applyFill="1" applyBorder="1"/>
    <xf numFmtId="9" fontId="1" fillId="0" borderId="0" xfId="104" applyFont="1" applyFill="1" applyBorder="1"/>
    <xf numFmtId="179" fontId="1" fillId="0" borderId="0" xfId="0" applyNumberFormat="1" applyFont="1" applyFill="1" applyBorder="1"/>
    <xf numFmtId="170" fontId="1" fillId="0" borderId="0" xfId="0" applyNumberFormat="1" applyFont="1" applyFill="1"/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0" fillId="0" borderId="22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6" borderId="14" xfId="0" applyFill="1" applyBorder="1" applyAlignment="1">
      <alignment horizontal="left"/>
    </xf>
    <xf numFmtId="0" fontId="0" fillId="26" borderId="15" xfId="0" applyFill="1" applyBorder="1" applyAlignment="1">
      <alignment horizontal="left"/>
    </xf>
    <xf numFmtId="0" fontId="0" fillId="25" borderId="14" xfId="0" applyFill="1" applyBorder="1" applyAlignment="1">
      <alignment horizontal="left"/>
    </xf>
    <xf numFmtId="0" fontId="0" fillId="25" borderId="15" xfId="0" applyFill="1" applyBorder="1" applyAlignment="1">
      <alignment horizontal="left"/>
    </xf>
    <xf numFmtId="0" fontId="0" fillId="26" borderId="25" xfId="0" applyFill="1" applyBorder="1" applyAlignment="1">
      <alignment horizontal="left" vertical="center"/>
    </xf>
    <xf numFmtId="0" fontId="0" fillId="26" borderId="16" xfId="0" applyFill="1" applyBorder="1" applyAlignment="1">
      <alignment horizontal="left" vertical="center"/>
    </xf>
    <xf numFmtId="0" fontId="0" fillId="25" borderId="25" xfId="0" applyFill="1" applyBorder="1" applyAlignment="1">
      <alignment horizontal="left" vertical="center"/>
    </xf>
    <xf numFmtId="0" fontId="0" fillId="25" borderId="16" xfId="0" applyFill="1" applyBorder="1" applyAlignment="1">
      <alignment horizontal="left" vertical="center"/>
    </xf>
    <xf numFmtId="0" fontId="20" fillId="21" borderId="25" xfId="0" applyFont="1" applyFill="1" applyBorder="1" applyAlignment="1">
      <alignment horizontal="center" wrapText="1"/>
    </xf>
    <xf numFmtId="0" fontId="20" fillId="21" borderId="16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21" borderId="39" xfId="0" applyFont="1" applyFill="1" applyBorder="1" applyAlignment="1">
      <alignment horizontal="center" wrapText="1"/>
    </xf>
    <xf numFmtId="0" fontId="20" fillId="21" borderId="40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27" borderId="43" xfId="0" applyFont="1" applyFill="1" applyBorder="1" applyAlignment="1">
      <alignment horizontal="center" vertical="center"/>
    </xf>
    <xf numFmtId="0" fontId="19" fillId="27" borderId="44" xfId="0" applyFont="1" applyFill="1" applyBorder="1" applyAlignment="1">
      <alignment horizontal="center" vertical="center"/>
    </xf>
    <xf numFmtId="49" fontId="24" fillId="25" borderId="37" xfId="93" applyNumberFormat="1" applyFont="1" applyFill="1" applyBorder="1" applyAlignment="1" applyProtection="1">
      <alignment horizontal="left" vertical="center" wrapText="1"/>
    </xf>
    <xf numFmtId="0" fontId="24" fillId="25" borderId="15" xfId="93" applyFont="1" applyFill="1" applyBorder="1" applyAlignment="1" applyProtection="1">
      <alignment horizontal="left" vertical="center" wrapText="1"/>
    </xf>
    <xf numFmtId="0" fontId="24" fillId="25" borderId="45" xfId="93" applyFont="1" applyFill="1" applyBorder="1" applyAlignment="1" applyProtection="1">
      <alignment horizontal="left" vertical="center" wrapText="1"/>
    </xf>
    <xf numFmtId="0" fontId="19" fillId="27" borderId="6" xfId="0" applyFont="1" applyFill="1" applyBorder="1" applyAlignment="1">
      <alignment horizontal="center" vertical="center"/>
    </xf>
    <xf numFmtId="0" fontId="0" fillId="29" borderId="14" xfId="0" applyFill="1" applyBorder="1" applyAlignment="1">
      <alignment horizontal="center"/>
    </xf>
    <xf numFmtId="0" fontId="0" fillId="29" borderId="15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49" fontId="24" fillId="0" borderId="46" xfId="77" applyNumberFormat="1" applyFont="1" applyFill="1" applyBorder="1" applyAlignment="1" applyProtection="1">
      <alignment horizontal="center" vertical="center" wrapText="1"/>
    </xf>
    <xf numFmtId="49" fontId="35" fillId="0" borderId="6" xfId="77" applyNumberFormat="1" applyFont="1" applyBorder="1" applyAlignment="1" applyProtection="1">
      <alignment horizontal="center" vertical="center"/>
    </xf>
    <xf numFmtId="49" fontId="35" fillId="0" borderId="6" xfId="77" applyNumberFormat="1" applyFont="1" applyBorder="1" applyAlignment="1" applyProtection="1">
      <alignment horizontal="center" vertical="center" wrapText="1"/>
    </xf>
    <xf numFmtId="49" fontId="24" fillId="0" borderId="46" xfId="38" applyNumberFormat="1" applyFont="1" applyFill="1" applyBorder="1" applyAlignment="1" applyProtection="1">
      <alignment horizontal="center" vertical="center" wrapText="1"/>
    </xf>
    <xf numFmtId="49" fontId="35" fillId="0" borderId="6" xfId="38" applyNumberFormat="1" applyFont="1" applyBorder="1" applyAlignment="1" applyProtection="1">
      <alignment horizontal="center" vertical="center"/>
    </xf>
    <xf numFmtId="49" fontId="35" fillId="0" borderId="6" xfId="38" applyNumberFormat="1" applyFont="1" applyBorder="1" applyAlignment="1" applyProtection="1">
      <alignment horizontal="center" vertical="center" wrapText="1"/>
    </xf>
    <xf numFmtId="49" fontId="67" fillId="0" borderId="6" xfId="77" applyNumberFormat="1" applyFont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/>
    </xf>
    <xf numFmtId="49" fontId="6" fillId="0" borderId="0" xfId="77" applyNumberFormat="1" applyFont="1" applyFill="1" applyBorder="1" applyAlignment="1" applyProtection="1">
      <alignment horizontal="center" vertical="center" wrapText="1"/>
    </xf>
    <xf numFmtId="49" fontId="67" fillId="0" borderId="6" xfId="77" applyNumberFormat="1" applyFont="1" applyBorder="1" applyAlignment="1" applyProtection="1">
      <alignment horizontal="center" vertical="center"/>
    </xf>
  </cellXfs>
  <cellStyles count="12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uro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Значение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38"/>
    <cellStyle name="Обычный 11" xfId="39"/>
    <cellStyle name="Обычный 12" xfId="40"/>
    <cellStyle name="Обычный 13" xfId="41"/>
    <cellStyle name="Обычный 14" xfId="42"/>
    <cellStyle name="Обычный 15" xfId="43"/>
    <cellStyle name="Обычный 16" xfId="44"/>
    <cellStyle name="Обычный 17" xfId="45"/>
    <cellStyle name="Обычный 18" xfId="46"/>
    <cellStyle name="Обычный 19" xfId="47"/>
    <cellStyle name="Обычный 2" xfId="48"/>
    <cellStyle name="Обычный 2 2" xfId="49"/>
    <cellStyle name="Обычный 2 3" xfId="50"/>
    <cellStyle name="Обычный 2 4" xfId="51"/>
    <cellStyle name="Обычный 2 5" xfId="52"/>
    <cellStyle name="Обычный 2_1D6CCA7B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25" xfId="59"/>
    <cellStyle name="Обычный 26" xfId="60"/>
    <cellStyle name="Обычный 27" xfId="61"/>
    <cellStyle name="Обычный 28" xfId="62"/>
    <cellStyle name="Обычный 29" xfId="63"/>
    <cellStyle name="Обычный 3" xfId="64"/>
    <cellStyle name="Обычный 3 2" xfId="65"/>
    <cellStyle name="Обычный 3_Ведомость Хасан_март2010" xfId="66"/>
    <cellStyle name="Обычный 30" xfId="67"/>
    <cellStyle name="Обычный 31" xfId="68"/>
    <cellStyle name="Обычный 32" xfId="69"/>
    <cellStyle name="Обычный 33" xfId="70"/>
    <cellStyle name="Обычный 34" xfId="71"/>
    <cellStyle name="Обычный 35" xfId="72"/>
    <cellStyle name="Обычный 36" xfId="73"/>
    <cellStyle name="Обычный 37" xfId="74"/>
    <cellStyle name="Обычный 38" xfId="75"/>
    <cellStyle name="Обычный 39" xfId="76"/>
    <cellStyle name="Обычный 4" xfId="77"/>
    <cellStyle name="Обычный 40" xfId="78"/>
    <cellStyle name="Обычный 41" xfId="79"/>
    <cellStyle name="Обычный 42" xfId="80"/>
    <cellStyle name="Обычный 43" xfId="81"/>
    <cellStyle name="Обычный 44" xfId="82"/>
    <cellStyle name="Обычный 45" xfId="83"/>
    <cellStyle name="Обычный 46" xfId="84"/>
    <cellStyle name="Обычный 47" xfId="85"/>
    <cellStyle name="Обычный 48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Обычный_1.30 ООО Приморская энергетическая сетевая компания 2" xfId="92"/>
    <cellStyle name="Обычный_FORM3.1" xfId="93"/>
    <cellStyle name="Плохой 2" xfId="94"/>
    <cellStyle name="Пояснение 2" xfId="95"/>
    <cellStyle name="Примечание 2" xfId="96"/>
    <cellStyle name="Примечание 3" xfId="97"/>
    <cellStyle name="Примечание 4" xfId="98"/>
    <cellStyle name="Примечание 5" xfId="99"/>
    <cellStyle name="Примечание 6" xfId="100"/>
    <cellStyle name="Примечание 7" xfId="101"/>
    <cellStyle name="Примечание 8" xfId="102"/>
    <cellStyle name="Процентный" xfId="103" builtinId="5"/>
    <cellStyle name="Процентный 2" xfId="104"/>
    <cellStyle name="Процентный 3" xfId="105"/>
    <cellStyle name="Связанная ячейка 2" xfId="106"/>
    <cellStyle name="Стиль 1" xfId="107"/>
    <cellStyle name="Текст предупреждения 2" xfId="108"/>
    <cellStyle name="Финансовый 2" xfId="109"/>
    <cellStyle name="Финансовый 2 2" xfId="110"/>
    <cellStyle name="Финансовый 2_БЛАНК от ЗЭС УСЛУГА и ПО для сверки янв12" xfId="111"/>
    <cellStyle name="Финансовый 26" xfId="112"/>
    <cellStyle name="Финансовый 3" xfId="113"/>
    <cellStyle name="Финансовый 3 2" xfId="114"/>
    <cellStyle name="Финансовый 3_файл для сверки Услуга_май_2010 от Дсб 2" xfId="115"/>
    <cellStyle name="Финансовый 4" xfId="116"/>
    <cellStyle name="Финансовый 47" xfId="117"/>
    <cellStyle name="Финансовый 5" xfId="118"/>
    <cellStyle name="Финансовый 6" xfId="119"/>
    <cellStyle name="Финансовый 7" xfId="120"/>
    <cellStyle name="Финансовый 8" xfId="121"/>
    <cellStyle name="Финансовый 9" xfId="122"/>
    <cellStyle name="Формула_Книга3" xfId="123"/>
    <cellStyle name="Хороший 2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2/Local%20Settings/Temporary%20Internet%20Files/Content.IE5/E11DT17Q/&#1044;&#1072;&#1085;&#1085;&#1099;&#1077;%20&#1074;%20&#1044;&#1058;%20&#1055;&#1050;/FORM3.1.2013(v1.0).xls%20-%202.BKP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2013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  <pageSetUpPr fitToPage="1"/>
  </sheetPr>
  <dimension ref="A1:V97"/>
  <sheetViews>
    <sheetView topLeftCell="E86" zoomScale="90" zoomScaleNormal="90" workbookViewId="0">
      <selection activeCell="K79" sqref="K79"/>
    </sheetView>
  </sheetViews>
  <sheetFormatPr defaultRowHeight="12.75"/>
  <cols>
    <col min="1" max="1" width="4.42578125" customWidth="1"/>
    <col min="2" max="2" width="19.28515625" customWidth="1"/>
    <col min="3" max="3" width="8.42578125" customWidth="1"/>
    <col min="4" max="4" width="13.42578125" customWidth="1"/>
    <col min="5" max="5" width="13" customWidth="1"/>
    <col min="6" max="6" width="12.85546875" customWidth="1"/>
    <col min="7" max="7" width="11" customWidth="1"/>
    <col min="8" max="8" width="11.85546875" customWidth="1"/>
    <col min="9" max="9" width="10.5703125" customWidth="1"/>
    <col min="10" max="11" width="12.42578125" customWidth="1"/>
    <col min="12" max="12" width="12.140625" customWidth="1"/>
    <col min="13" max="13" width="12.42578125" customWidth="1"/>
    <col min="14" max="14" width="16.42578125" customWidth="1"/>
    <col min="15" max="15" width="12.7109375" style="54" customWidth="1"/>
    <col min="16" max="16" width="11.5703125" style="54" bestFit="1" customWidth="1"/>
    <col min="17" max="17" width="12.42578125" style="54" customWidth="1"/>
    <col min="18" max="18" width="14.5703125" style="53" customWidth="1"/>
    <col min="19" max="19" width="16.85546875" customWidth="1"/>
    <col min="20" max="20" width="12.140625" customWidth="1"/>
    <col min="21" max="21" width="17.42578125" customWidth="1"/>
  </cols>
  <sheetData>
    <row r="1" spans="1:19">
      <c r="A1" s="440" t="s">
        <v>175</v>
      </c>
      <c r="B1" s="441"/>
      <c r="C1" s="441"/>
      <c r="D1" s="442"/>
      <c r="E1" s="18" t="s">
        <v>176</v>
      </c>
      <c r="F1" s="18" t="s">
        <v>177</v>
      </c>
      <c r="G1" s="18" t="s">
        <v>178</v>
      </c>
      <c r="H1" s="18" t="s">
        <v>179</v>
      </c>
      <c r="I1" s="18" t="s">
        <v>180</v>
      </c>
      <c r="J1" s="18" t="s">
        <v>181</v>
      </c>
      <c r="K1" s="19" t="s">
        <v>182</v>
      </c>
      <c r="L1" s="18" t="s">
        <v>183</v>
      </c>
      <c r="M1" s="18" t="s">
        <v>184</v>
      </c>
      <c r="N1" s="18" t="s">
        <v>185</v>
      </c>
      <c r="O1" s="18" t="s">
        <v>186</v>
      </c>
      <c r="P1" s="18" t="s">
        <v>187</v>
      </c>
      <c r="Q1" s="18" t="s">
        <v>188</v>
      </c>
      <c r="R1" s="20" t="s">
        <v>189</v>
      </c>
      <c r="S1">
        <v>2011</v>
      </c>
    </row>
    <row r="2" spans="1:19" ht="12.75" customHeight="1">
      <c r="A2" s="443" t="s">
        <v>190</v>
      </c>
      <c r="B2" s="445" t="s">
        <v>191</v>
      </c>
      <c r="C2" s="448" t="s">
        <v>192</v>
      </c>
      <c r="D2" s="449"/>
      <c r="E2" s="21">
        <v>67.282341000000002</v>
      </c>
      <c r="F2" s="21">
        <v>61.946201000000002</v>
      </c>
      <c r="G2" s="21">
        <v>55.437624999999997</v>
      </c>
      <c r="H2" s="21">
        <v>48.658462999999998</v>
      </c>
      <c r="I2" s="21">
        <v>39.318629999999999</v>
      </c>
      <c r="J2" s="21">
        <v>37.399296</v>
      </c>
      <c r="K2" s="22">
        <f>SUM(E2:J2)</f>
        <v>310.04255599999999</v>
      </c>
      <c r="L2" s="21">
        <v>36.178896000000002</v>
      </c>
      <c r="M2" s="21">
        <v>34.854354999999998</v>
      </c>
      <c r="N2" s="21">
        <v>38.522461</v>
      </c>
      <c r="O2" s="21">
        <v>46.276975</v>
      </c>
      <c r="P2" s="21">
        <v>56.177098000000001</v>
      </c>
      <c r="Q2" s="21">
        <v>61.828654</v>
      </c>
      <c r="R2" s="23">
        <f>SUM(E2:Q2)-K2</f>
        <v>583.8809950000001</v>
      </c>
    </row>
    <row r="3" spans="1:19">
      <c r="A3" s="443"/>
      <c r="B3" s="446"/>
      <c r="C3" s="450" t="s">
        <v>193</v>
      </c>
      <c r="D3" s="451"/>
      <c r="E3" s="24">
        <v>69.666058000000007</v>
      </c>
      <c r="F3" s="24">
        <v>58.590496999999999</v>
      </c>
      <c r="G3" s="24">
        <v>58.751451000000003</v>
      </c>
      <c r="H3" s="24">
        <v>48.878981000000003</v>
      </c>
      <c r="I3" s="24">
        <v>42.739288000000002</v>
      </c>
      <c r="J3" s="24">
        <v>36.044150999999999</v>
      </c>
      <c r="K3" s="25">
        <f t="shared" ref="K3:K16" si="0">SUM(E3:J3)</f>
        <v>314.67042600000002</v>
      </c>
      <c r="L3" s="24">
        <v>35.518051</v>
      </c>
      <c r="M3" s="24">
        <v>36.592122000000003</v>
      </c>
      <c r="N3" s="24">
        <v>37.488447000000001</v>
      </c>
      <c r="O3" s="24">
        <v>46.020851</v>
      </c>
      <c r="P3" s="24">
        <v>56.958955000000003</v>
      </c>
      <c r="Q3" s="24">
        <v>74.705119999999994</v>
      </c>
      <c r="R3" s="26">
        <f t="shared" ref="R3:R17" si="1">SUM(E3:Q3)-K3</f>
        <v>601.95397200000002</v>
      </c>
    </row>
    <row r="4" spans="1:19" s="31" customFormat="1">
      <c r="A4" s="443"/>
      <c r="B4" s="447"/>
      <c r="C4" s="27" t="s">
        <v>194</v>
      </c>
      <c r="D4" s="28"/>
      <c r="E4" s="29">
        <f t="shared" ref="E4:Q4" si="2">E3-E2</f>
        <v>2.3837170000000043</v>
      </c>
      <c r="F4" s="29">
        <f t="shared" si="2"/>
        <v>-3.3557040000000029</v>
      </c>
      <c r="G4" s="29">
        <f t="shared" si="2"/>
        <v>3.3138260000000059</v>
      </c>
      <c r="H4" s="29">
        <f t="shared" si="2"/>
        <v>0.22051800000000554</v>
      </c>
      <c r="I4" s="29">
        <f t="shared" si="2"/>
        <v>3.4206580000000031</v>
      </c>
      <c r="J4" s="29">
        <f t="shared" si="2"/>
        <v>-1.3551450000000003</v>
      </c>
      <c r="K4" s="29">
        <f t="shared" si="0"/>
        <v>4.6278700000000157</v>
      </c>
      <c r="L4" s="29">
        <f t="shared" si="2"/>
        <v>-0.6608450000000019</v>
      </c>
      <c r="M4" s="29">
        <f t="shared" si="2"/>
        <v>1.7377670000000052</v>
      </c>
      <c r="N4" s="29">
        <f t="shared" si="2"/>
        <v>-1.0340139999999991</v>
      </c>
      <c r="O4" s="29">
        <f t="shared" si="2"/>
        <v>-0.2561239999999998</v>
      </c>
      <c r="P4" s="29">
        <f t="shared" si="2"/>
        <v>0.78185700000000224</v>
      </c>
      <c r="Q4" s="29">
        <f t="shared" si="2"/>
        <v>12.876465999999994</v>
      </c>
      <c r="R4" s="30">
        <f t="shared" si="1"/>
        <v>18.072977000000016</v>
      </c>
    </row>
    <row r="5" spans="1:19">
      <c r="A5" s="443"/>
      <c r="B5" s="445" t="s">
        <v>195</v>
      </c>
      <c r="C5" s="448" t="s">
        <v>192</v>
      </c>
      <c r="D5" s="449"/>
      <c r="E5" s="21">
        <f t="shared" ref="E5:Q6" si="3">E2-E8</f>
        <v>2.5615820000000014</v>
      </c>
      <c r="F5" s="21">
        <f t="shared" si="3"/>
        <v>2.3584230000000019</v>
      </c>
      <c r="G5" s="21">
        <f t="shared" si="3"/>
        <v>2.1106279999999984</v>
      </c>
      <c r="H5" s="21">
        <f t="shared" si="3"/>
        <v>1.852530999999999</v>
      </c>
      <c r="I5" s="21">
        <f t="shared" si="3"/>
        <v>1.4973480000000023</v>
      </c>
      <c r="J5" s="21">
        <f t="shared" si="3"/>
        <v>1.4238709999999983</v>
      </c>
      <c r="K5" s="22">
        <f t="shared" si="0"/>
        <v>11.804383000000001</v>
      </c>
      <c r="L5" s="21">
        <f t="shared" si="3"/>
        <v>1.3774070000000052</v>
      </c>
      <c r="M5" s="21">
        <f t="shared" si="3"/>
        <v>1.3269790000000015</v>
      </c>
      <c r="N5" s="21">
        <f t="shared" si="3"/>
        <v>1.466631999999997</v>
      </c>
      <c r="O5" s="21">
        <f t="shared" si="3"/>
        <v>1.7618629999999982</v>
      </c>
      <c r="P5" s="21">
        <f t="shared" si="3"/>
        <v>2.1387879999999981</v>
      </c>
      <c r="Q5" s="21">
        <f t="shared" si="3"/>
        <v>2.3539480000000026</v>
      </c>
      <c r="R5" s="23">
        <f t="shared" si="1"/>
        <v>22.230000000000004</v>
      </c>
    </row>
    <row r="6" spans="1:19">
      <c r="A6" s="443"/>
      <c r="B6" s="446"/>
      <c r="C6" s="450" t="s">
        <v>193</v>
      </c>
      <c r="D6" s="451"/>
      <c r="E6" s="24">
        <f t="shared" si="3"/>
        <v>2.8084100000000092</v>
      </c>
      <c r="F6" s="24">
        <f t="shared" si="3"/>
        <v>2.0016789999999958</v>
      </c>
      <c r="G6" s="24">
        <f t="shared" si="3"/>
        <v>1.8541640000000044</v>
      </c>
      <c r="H6" s="24">
        <f t="shared" si="3"/>
        <v>1.7362570000000019</v>
      </c>
      <c r="I6" s="24">
        <f t="shared" si="3"/>
        <v>1.3717060000000032</v>
      </c>
      <c r="J6" s="24">
        <f t="shared" si="3"/>
        <v>1.4317270000000022</v>
      </c>
      <c r="K6" s="25">
        <f t="shared" si="0"/>
        <v>11.203943000000017</v>
      </c>
      <c r="L6" s="24">
        <f t="shared" si="3"/>
        <v>0.82218999999999909</v>
      </c>
      <c r="M6" s="24">
        <f t="shared" si="3"/>
        <v>1.025151000000001</v>
      </c>
      <c r="N6" s="24">
        <f t="shared" si="3"/>
        <v>1.1674130000000034</v>
      </c>
      <c r="O6" s="24">
        <f t="shared" si="3"/>
        <v>1.0690999999999988</v>
      </c>
      <c r="P6" s="24">
        <f t="shared" si="3"/>
        <v>1.7470360000000014</v>
      </c>
      <c r="Q6" s="24">
        <f t="shared" si="3"/>
        <v>1.782755999999992</v>
      </c>
      <c r="R6" s="26">
        <f t="shared" si="1"/>
        <v>18.817589000000012</v>
      </c>
    </row>
    <row r="7" spans="1:19">
      <c r="A7" s="443"/>
      <c r="B7" s="447"/>
      <c r="C7" s="27" t="s">
        <v>194</v>
      </c>
      <c r="D7" s="28"/>
      <c r="E7" s="29">
        <f t="shared" ref="E7:Q7" si="4">E6-E5</f>
        <v>0.24682800000000782</v>
      </c>
      <c r="F7" s="29">
        <f t="shared" si="4"/>
        <v>-0.35674400000000617</v>
      </c>
      <c r="G7" s="29">
        <f t="shared" si="4"/>
        <v>-0.25646399999999403</v>
      </c>
      <c r="H7" s="29">
        <f t="shared" si="4"/>
        <v>-0.1162739999999971</v>
      </c>
      <c r="I7" s="29">
        <f t="shared" si="4"/>
        <v>-0.12564199999999914</v>
      </c>
      <c r="J7" s="29">
        <f t="shared" si="4"/>
        <v>7.8560000000038599E-3</v>
      </c>
      <c r="K7" s="29">
        <f t="shared" si="0"/>
        <v>-0.60043999999998476</v>
      </c>
      <c r="L7" s="29">
        <f t="shared" si="4"/>
        <v>-0.55521700000000607</v>
      </c>
      <c r="M7" s="29">
        <f t="shared" si="4"/>
        <v>-0.30182800000000043</v>
      </c>
      <c r="N7" s="29">
        <f t="shared" si="4"/>
        <v>-0.29921899999999368</v>
      </c>
      <c r="O7" s="29">
        <f t="shared" si="4"/>
        <v>-0.69276299999999935</v>
      </c>
      <c r="P7" s="29">
        <f t="shared" si="4"/>
        <v>-0.39175199999999677</v>
      </c>
      <c r="Q7" s="29">
        <f t="shared" si="4"/>
        <v>-0.57119200000001058</v>
      </c>
      <c r="R7" s="30">
        <f t="shared" si="1"/>
        <v>-3.4124109999999916</v>
      </c>
    </row>
    <row r="8" spans="1:19">
      <c r="A8" s="443"/>
      <c r="B8" s="445" t="s">
        <v>196</v>
      </c>
      <c r="C8" s="448" t="s">
        <v>192</v>
      </c>
      <c r="D8" s="449"/>
      <c r="E8" s="21">
        <v>64.720759000000001</v>
      </c>
      <c r="F8" s="21">
        <v>59.587778</v>
      </c>
      <c r="G8" s="21">
        <v>53.326996999999999</v>
      </c>
      <c r="H8" s="21">
        <v>46.805931999999999</v>
      </c>
      <c r="I8" s="21">
        <v>37.821281999999997</v>
      </c>
      <c r="J8" s="21">
        <v>35.975425000000001</v>
      </c>
      <c r="K8" s="22">
        <f t="shared" si="0"/>
        <v>298.23817299999996</v>
      </c>
      <c r="L8" s="21">
        <v>34.801488999999997</v>
      </c>
      <c r="M8" s="21">
        <v>33.527375999999997</v>
      </c>
      <c r="N8" s="21">
        <v>37.055829000000003</v>
      </c>
      <c r="O8" s="21">
        <v>44.515112000000002</v>
      </c>
      <c r="P8" s="21">
        <v>54.038310000000003</v>
      </c>
      <c r="Q8" s="21">
        <v>59.474705999999998</v>
      </c>
      <c r="R8" s="23">
        <f t="shared" si="1"/>
        <v>561.65099499999997</v>
      </c>
    </row>
    <row r="9" spans="1:19">
      <c r="A9" s="443"/>
      <c r="B9" s="446"/>
      <c r="C9" s="450" t="s">
        <v>193</v>
      </c>
      <c r="D9" s="451"/>
      <c r="E9" s="24">
        <v>66.857647999999998</v>
      </c>
      <c r="F9" s="24">
        <v>56.588818000000003</v>
      </c>
      <c r="G9" s="24">
        <v>56.897286999999999</v>
      </c>
      <c r="H9" s="24">
        <v>47.142724000000001</v>
      </c>
      <c r="I9" s="24">
        <v>41.367581999999999</v>
      </c>
      <c r="J9" s="24">
        <v>34.612423999999997</v>
      </c>
      <c r="K9" s="25">
        <f t="shared" si="0"/>
        <v>303.46648299999998</v>
      </c>
      <c r="L9" s="24">
        <v>34.695861000000001</v>
      </c>
      <c r="M9" s="24">
        <v>35.566971000000002</v>
      </c>
      <c r="N9" s="24">
        <v>36.321033999999997</v>
      </c>
      <c r="O9" s="24">
        <v>44.951751000000002</v>
      </c>
      <c r="P9" s="24">
        <v>55.211919000000002</v>
      </c>
      <c r="Q9" s="24">
        <v>72.922364000000002</v>
      </c>
      <c r="R9" s="26">
        <f t="shared" si="1"/>
        <v>583.13638300000002</v>
      </c>
    </row>
    <row r="10" spans="1:19">
      <c r="A10" s="443"/>
      <c r="B10" s="447"/>
      <c r="C10" s="27" t="s">
        <v>194</v>
      </c>
      <c r="D10" s="28"/>
      <c r="E10" s="29">
        <f t="shared" ref="E10:Q10" si="5">E9-E8</f>
        <v>2.1368889999999965</v>
      </c>
      <c r="F10" s="29">
        <f t="shared" si="5"/>
        <v>-2.9989599999999967</v>
      </c>
      <c r="G10" s="29">
        <f t="shared" si="5"/>
        <v>3.57029</v>
      </c>
      <c r="H10" s="29">
        <f t="shared" si="5"/>
        <v>0.33679200000000264</v>
      </c>
      <c r="I10" s="29">
        <f t="shared" si="5"/>
        <v>3.5463000000000022</v>
      </c>
      <c r="J10" s="29">
        <f t="shared" si="5"/>
        <v>-1.3630010000000041</v>
      </c>
      <c r="K10" s="29">
        <f t="shared" si="0"/>
        <v>5.2283100000000005</v>
      </c>
      <c r="L10" s="29">
        <f t="shared" si="5"/>
        <v>-0.10562799999999584</v>
      </c>
      <c r="M10" s="29">
        <f t="shared" si="5"/>
        <v>2.0395950000000056</v>
      </c>
      <c r="N10" s="29">
        <f t="shared" si="5"/>
        <v>-0.73479500000000542</v>
      </c>
      <c r="O10" s="29">
        <f t="shared" si="5"/>
        <v>0.43663899999999956</v>
      </c>
      <c r="P10" s="29">
        <f t="shared" si="5"/>
        <v>1.173608999999999</v>
      </c>
      <c r="Q10" s="29">
        <f t="shared" si="5"/>
        <v>13.447658000000004</v>
      </c>
      <c r="R10" s="30">
        <f t="shared" si="1"/>
        <v>21.485388000000007</v>
      </c>
    </row>
    <row r="11" spans="1:19" hidden="1">
      <c r="A11" s="443"/>
      <c r="B11" s="445" t="s">
        <v>197</v>
      </c>
      <c r="C11" s="452" t="s">
        <v>192</v>
      </c>
      <c r="D11" s="32" t="s">
        <v>198</v>
      </c>
      <c r="E11" s="21">
        <v>14.594312</v>
      </c>
      <c r="F11" s="21">
        <v>13.639302000000001</v>
      </c>
      <c r="G11" s="21">
        <v>12.176895</v>
      </c>
      <c r="H11" s="21">
        <v>10.818451</v>
      </c>
      <c r="I11" s="21">
        <v>9.1180029999999999</v>
      </c>
      <c r="J11" s="21">
        <v>8.5125279999999997</v>
      </c>
      <c r="K11" s="22">
        <f t="shared" si="0"/>
        <v>68.859491000000006</v>
      </c>
      <c r="L11" s="21">
        <v>8.3964099999999995</v>
      </c>
      <c r="M11" s="21">
        <v>8.3172630000000005</v>
      </c>
      <c r="N11" s="21">
        <v>8.7868739999999992</v>
      </c>
      <c r="O11" s="21">
        <v>10.214639999999999</v>
      </c>
      <c r="P11" s="21">
        <v>12.265760999999999</v>
      </c>
      <c r="Q11" s="21">
        <v>13.166824999999999</v>
      </c>
      <c r="R11" s="23">
        <f t="shared" si="1"/>
        <v>130.00726400000002</v>
      </c>
    </row>
    <row r="12" spans="1:19" hidden="1">
      <c r="A12" s="443"/>
      <c r="B12" s="446"/>
      <c r="C12" s="453"/>
      <c r="D12" s="32" t="s">
        <v>199</v>
      </c>
      <c r="E12" s="21">
        <v>35.041446999999998</v>
      </c>
      <c r="F12" s="21">
        <v>32.694476000000002</v>
      </c>
      <c r="G12" s="21">
        <v>27.793101999999998</v>
      </c>
      <c r="H12" s="21">
        <v>25.233481000000001</v>
      </c>
      <c r="I12" s="21">
        <v>20.138278999999997</v>
      </c>
      <c r="J12" s="21">
        <v>19.255897000000001</v>
      </c>
      <c r="K12" s="22">
        <f t="shared" si="0"/>
        <v>160.15668199999999</v>
      </c>
      <c r="L12" s="21">
        <v>18.474078999999996</v>
      </c>
      <c r="M12" s="21">
        <v>17.506112999999996</v>
      </c>
      <c r="N12" s="21">
        <v>20.364955000000002</v>
      </c>
      <c r="O12" s="21">
        <v>24.125472000000006</v>
      </c>
      <c r="P12" s="21">
        <v>28.809549000000004</v>
      </c>
      <c r="Q12" s="21">
        <v>30.716880999999997</v>
      </c>
      <c r="R12" s="23">
        <f t="shared" si="1"/>
        <v>300.15373099999999</v>
      </c>
    </row>
    <row r="13" spans="1:19" hidden="1">
      <c r="A13" s="443"/>
      <c r="B13" s="446"/>
      <c r="C13" s="454" t="s">
        <v>193</v>
      </c>
      <c r="D13" s="33" t="s">
        <v>198</v>
      </c>
      <c r="E13" s="24">
        <v>15.404032000000001</v>
      </c>
      <c r="F13" s="24">
        <v>13.434082999999999</v>
      </c>
      <c r="G13" s="24">
        <v>13.183967000000001</v>
      </c>
      <c r="H13" s="24">
        <v>11.730693</v>
      </c>
      <c r="I13" s="24">
        <v>10.610367999999999</v>
      </c>
      <c r="J13" s="24">
        <v>10.003188</v>
      </c>
      <c r="K13" s="25">
        <f t="shared" si="0"/>
        <v>74.366331000000002</v>
      </c>
      <c r="L13" s="24">
        <v>10.127177</v>
      </c>
      <c r="M13" s="24"/>
      <c r="N13" s="24"/>
      <c r="O13" s="24"/>
      <c r="P13" s="24"/>
      <c r="Q13" s="24"/>
      <c r="R13" s="26">
        <f t="shared" si="1"/>
        <v>84.493507999999991</v>
      </c>
    </row>
    <row r="14" spans="1:19" hidden="1">
      <c r="A14" s="443"/>
      <c r="B14" s="446"/>
      <c r="C14" s="455" t="s">
        <v>193</v>
      </c>
      <c r="D14" s="33" t="s">
        <v>199</v>
      </c>
      <c r="E14" s="24">
        <v>35.397016000000001</v>
      </c>
      <c r="F14" s="24">
        <v>28.655195999999901</v>
      </c>
      <c r="G14" s="24">
        <v>29.041609000000001</v>
      </c>
      <c r="H14" s="24">
        <v>26.357274</v>
      </c>
      <c r="I14" s="24">
        <v>23.686584</v>
      </c>
      <c r="J14" s="24">
        <v>20.635591999999999</v>
      </c>
      <c r="K14" s="25">
        <f t="shared" si="0"/>
        <v>163.77327099999991</v>
      </c>
      <c r="L14" s="24">
        <v>20.542819000000001</v>
      </c>
      <c r="M14" s="24"/>
      <c r="N14" s="24"/>
      <c r="O14" s="24"/>
      <c r="P14" s="24"/>
      <c r="Q14" s="24"/>
      <c r="R14" s="26">
        <f t="shared" si="1"/>
        <v>184.31608999999992</v>
      </c>
    </row>
    <row r="15" spans="1:19" hidden="1">
      <c r="A15" s="443"/>
      <c r="B15" s="446"/>
      <c r="C15" s="456" t="s">
        <v>194</v>
      </c>
      <c r="D15" s="34" t="s">
        <v>198</v>
      </c>
      <c r="E15" s="29">
        <f t="shared" ref="E15:J16" si="6">E13-E11</f>
        <v>0.80972000000000044</v>
      </c>
      <c r="F15" s="29">
        <f t="shared" si="6"/>
        <v>-0.20521900000000137</v>
      </c>
      <c r="G15" s="29">
        <f t="shared" si="6"/>
        <v>1.0070720000000009</v>
      </c>
      <c r="H15" s="29">
        <f t="shared" si="6"/>
        <v>0.91224200000000089</v>
      </c>
      <c r="I15" s="29">
        <f t="shared" si="6"/>
        <v>1.4923649999999995</v>
      </c>
      <c r="J15" s="29">
        <f t="shared" si="6"/>
        <v>1.4906600000000001</v>
      </c>
      <c r="K15" s="29">
        <f t="shared" si="0"/>
        <v>5.5068400000000004</v>
      </c>
      <c r="L15" s="29">
        <f>L13-L11</f>
        <v>1.7307670000000002</v>
      </c>
      <c r="M15" s="29"/>
      <c r="N15" s="29"/>
      <c r="O15" s="29"/>
      <c r="P15" s="29"/>
      <c r="Q15" s="29"/>
      <c r="R15" s="30">
        <f t="shared" si="1"/>
        <v>7.2376070000000006</v>
      </c>
    </row>
    <row r="16" spans="1:19" hidden="1">
      <c r="A16" s="443"/>
      <c r="B16" s="447"/>
      <c r="C16" s="457"/>
      <c r="D16" s="34" t="s">
        <v>199</v>
      </c>
      <c r="E16" s="29">
        <f t="shared" si="6"/>
        <v>0.35556900000000269</v>
      </c>
      <c r="F16" s="29">
        <f t="shared" si="6"/>
        <v>-4.039280000000101</v>
      </c>
      <c r="G16" s="29">
        <f t="shared" si="6"/>
        <v>1.2485070000000036</v>
      </c>
      <c r="H16" s="29">
        <f t="shared" si="6"/>
        <v>1.1237929999999992</v>
      </c>
      <c r="I16" s="29">
        <f t="shared" si="6"/>
        <v>3.5483050000000027</v>
      </c>
      <c r="J16" s="29">
        <f t="shared" si="6"/>
        <v>1.3796949999999981</v>
      </c>
      <c r="K16" s="29">
        <f t="shared" si="0"/>
        <v>3.6165889999999052</v>
      </c>
      <c r="L16" s="29">
        <f>L14-L12</f>
        <v>2.0687400000000054</v>
      </c>
      <c r="M16" s="29"/>
      <c r="N16" s="29"/>
      <c r="O16" s="29"/>
      <c r="P16" s="29"/>
      <c r="Q16" s="29"/>
      <c r="R16" s="30">
        <f t="shared" si="1"/>
        <v>5.6853289999999106</v>
      </c>
    </row>
    <row r="17" spans="1:20" hidden="1">
      <c r="A17" s="443"/>
      <c r="B17" s="458" t="s">
        <v>200</v>
      </c>
      <c r="C17" s="452" t="s">
        <v>192</v>
      </c>
      <c r="D17" s="35" t="s">
        <v>201</v>
      </c>
      <c r="E17" s="21">
        <v>15.085000000000001</v>
      </c>
      <c r="F17" s="21">
        <v>13.254</v>
      </c>
      <c r="G17" s="21">
        <v>13.356999999999999</v>
      </c>
      <c r="H17" s="21">
        <v>10.754</v>
      </c>
      <c r="I17" s="21">
        <v>8.5649999999999995</v>
      </c>
      <c r="J17" s="21">
        <v>8.2070000000000007</v>
      </c>
      <c r="K17" s="22">
        <f>K8-K11-K12</f>
        <v>69.22199999999998</v>
      </c>
      <c r="L17" s="21">
        <v>7.931</v>
      </c>
      <c r="M17" s="21">
        <v>7.7039999999999997</v>
      </c>
      <c r="N17" s="21">
        <v>7.9039999999999999</v>
      </c>
      <c r="O17" s="21">
        <v>10.175000000000001</v>
      </c>
      <c r="P17" s="21">
        <v>12.962999999999999</v>
      </c>
      <c r="Q17" s="21">
        <v>15.590999999999999</v>
      </c>
      <c r="R17" s="36">
        <f t="shared" si="1"/>
        <v>131.49</v>
      </c>
    </row>
    <row r="18" spans="1:20" hidden="1">
      <c r="A18" s="443"/>
      <c r="B18" s="458"/>
      <c r="C18" s="453" t="s">
        <v>193</v>
      </c>
      <c r="D18" s="32" t="s">
        <v>202</v>
      </c>
      <c r="E18" s="37">
        <f t="shared" ref="E18:R18" si="7">E17/E2</f>
        <v>0.22420444615623586</v>
      </c>
      <c r="F18" s="37">
        <f t="shared" si="7"/>
        <v>0.21395985203354115</v>
      </c>
      <c r="G18" s="37">
        <f t="shared" si="7"/>
        <v>0.2409374499719279</v>
      </c>
      <c r="H18" s="37">
        <f t="shared" si="7"/>
        <v>0.22100985803846701</v>
      </c>
      <c r="I18" s="37">
        <f t="shared" si="7"/>
        <v>0.21783566721424424</v>
      </c>
      <c r="J18" s="37">
        <f t="shared" si="7"/>
        <v>0.21944263335866004</v>
      </c>
      <c r="K18" s="38">
        <f t="shared" si="7"/>
        <v>0.22326612479610697</v>
      </c>
      <c r="L18" s="37">
        <f t="shared" si="7"/>
        <v>0.21921619719960497</v>
      </c>
      <c r="M18" s="37">
        <f t="shared" si="7"/>
        <v>0.22103407163896735</v>
      </c>
      <c r="N18" s="37">
        <f t="shared" si="7"/>
        <v>0.20517899933755529</v>
      </c>
      <c r="O18" s="37">
        <f t="shared" si="7"/>
        <v>0.21987176128085298</v>
      </c>
      <c r="P18" s="37">
        <f t="shared" si="7"/>
        <v>0.23075239664391348</v>
      </c>
      <c r="Q18" s="37">
        <f t="shared" si="7"/>
        <v>0.2521646355102603</v>
      </c>
      <c r="R18" s="39">
        <f t="shared" si="7"/>
        <v>0.22519999987326184</v>
      </c>
    </row>
    <row r="19" spans="1:20" hidden="1">
      <c r="A19" s="443"/>
      <c r="B19" s="458"/>
      <c r="C19" s="454" t="s">
        <v>193</v>
      </c>
      <c r="D19" s="40" t="s">
        <v>201</v>
      </c>
      <c r="E19" s="24">
        <f t="shared" ref="E19:Q19" si="8">E9-E13-E14</f>
        <v>16.056599999999996</v>
      </c>
      <c r="F19" s="24">
        <f t="shared" si="8"/>
        <v>14.499539000000102</v>
      </c>
      <c r="G19" s="24">
        <f t="shared" si="8"/>
        <v>14.671710999999995</v>
      </c>
      <c r="H19" s="24">
        <f t="shared" si="8"/>
        <v>9.0547569999999986</v>
      </c>
      <c r="I19" s="24">
        <f t="shared" si="8"/>
        <v>7.0706299999999978</v>
      </c>
      <c r="J19" s="24">
        <f t="shared" si="8"/>
        <v>3.9736439999999966</v>
      </c>
      <c r="K19" s="25">
        <f>SUM(E19:J19)</f>
        <v>65.326881000000071</v>
      </c>
      <c r="L19" s="24">
        <f>L9-L13-L14</f>
        <v>4.0258649999999996</v>
      </c>
      <c r="M19" s="24">
        <f t="shared" si="8"/>
        <v>35.566971000000002</v>
      </c>
      <c r="N19" s="24">
        <f t="shared" si="8"/>
        <v>36.321033999999997</v>
      </c>
      <c r="O19" s="24">
        <f t="shared" si="8"/>
        <v>44.951751000000002</v>
      </c>
      <c r="P19" s="24">
        <f t="shared" si="8"/>
        <v>55.211919000000002</v>
      </c>
      <c r="Q19" s="24">
        <f t="shared" si="8"/>
        <v>72.922364000000002</v>
      </c>
      <c r="R19" s="26">
        <f>SUM(E19:Q19)-K19</f>
        <v>314.32678500000009</v>
      </c>
    </row>
    <row r="20" spans="1:20" hidden="1">
      <c r="A20" s="443"/>
      <c r="B20" s="458"/>
      <c r="C20" s="455" t="s">
        <v>193</v>
      </c>
      <c r="D20" s="33" t="s">
        <v>202</v>
      </c>
      <c r="E20" s="41">
        <f t="shared" ref="E20:K20" si="9">E19/E3</f>
        <v>0.23047952562494628</v>
      </c>
      <c r="F20" s="41">
        <f t="shared" si="9"/>
        <v>0.2474725380807079</v>
      </c>
      <c r="G20" s="41">
        <f t="shared" si="9"/>
        <v>0.24972508338560004</v>
      </c>
      <c r="H20" s="41">
        <f t="shared" si="9"/>
        <v>0.18524848134620478</v>
      </c>
      <c r="I20" s="41">
        <f t="shared" si="9"/>
        <v>0.16543630768954309</v>
      </c>
      <c r="J20" s="41">
        <f t="shared" si="9"/>
        <v>0.11024379517220413</v>
      </c>
      <c r="K20" s="42">
        <f t="shared" si="9"/>
        <v>0.20760413309384235</v>
      </c>
      <c r="L20" s="41">
        <f>L19/L3</f>
        <v>0.11334701332570303</v>
      </c>
      <c r="M20" s="41"/>
      <c r="N20" s="41"/>
      <c r="O20" s="41"/>
      <c r="P20" s="41"/>
      <c r="Q20" s="41"/>
      <c r="R20" s="43">
        <f>R19/R3</f>
        <v>0.52217744150046086</v>
      </c>
    </row>
    <row r="21" spans="1:20" hidden="1">
      <c r="A21" s="443"/>
      <c r="B21" s="458"/>
      <c r="C21" s="460" t="s">
        <v>194</v>
      </c>
      <c r="D21" s="44" t="s">
        <v>201</v>
      </c>
      <c r="E21" s="45">
        <f t="shared" ref="E21:K22" si="10">E19-E17</f>
        <v>0.97159999999999513</v>
      </c>
      <c r="F21" s="45">
        <f t="shared" si="10"/>
        <v>1.2455390000001021</v>
      </c>
      <c r="G21" s="45">
        <f t="shared" si="10"/>
        <v>1.3147109999999955</v>
      </c>
      <c r="H21" s="45">
        <f t="shared" si="10"/>
        <v>-1.6992430000000009</v>
      </c>
      <c r="I21" s="45">
        <f t="shared" si="10"/>
        <v>-1.4943700000000018</v>
      </c>
      <c r="J21" s="45">
        <f t="shared" si="10"/>
        <v>-4.2333560000000041</v>
      </c>
      <c r="K21" s="45">
        <f>SUM(E21:J21)</f>
        <v>-3.8951189999999141</v>
      </c>
      <c r="L21" s="45">
        <f>L19-L17</f>
        <v>-3.9051350000000005</v>
      </c>
      <c r="M21" s="45"/>
      <c r="N21" s="45"/>
      <c r="O21" s="45"/>
      <c r="P21" s="45"/>
      <c r="Q21" s="45"/>
      <c r="R21" s="46">
        <f>SUM(E21:Q21)-K21</f>
        <v>-7.8002539999999154</v>
      </c>
    </row>
    <row r="22" spans="1:20" ht="13.5" hidden="1" thickBot="1">
      <c r="A22" s="444"/>
      <c r="B22" s="459"/>
      <c r="C22" s="461"/>
      <c r="D22" s="47" t="s">
        <v>202</v>
      </c>
      <c r="E22" s="48">
        <f t="shared" si="10"/>
        <v>6.2750794687104205E-3</v>
      </c>
      <c r="F22" s="48">
        <f t="shared" si="10"/>
        <v>3.3512686047166756E-2</v>
      </c>
      <c r="G22" s="48">
        <f t="shared" si="10"/>
        <v>8.7876334136721412E-3</v>
      </c>
      <c r="H22" s="48">
        <f t="shared" si="10"/>
        <v>-3.5761376692262231E-2</v>
      </c>
      <c r="I22" s="48">
        <f t="shared" si="10"/>
        <v>-5.239935952470115E-2</v>
      </c>
      <c r="J22" s="48">
        <f t="shared" si="10"/>
        <v>-0.10919883818645591</v>
      </c>
      <c r="K22" s="48">
        <f t="shared" si="10"/>
        <v>-1.5661991702264622E-2</v>
      </c>
      <c r="L22" s="48">
        <f>L20-L18</f>
        <v>-0.10586918387390194</v>
      </c>
      <c r="M22" s="49"/>
      <c r="N22" s="49"/>
      <c r="O22" s="49"/>
      <c r="P22" s="49"/>
      <c r="Q22" s="49"/>
      <c r="R22" s="50">
        <f>R20-R18</f>
        <v>0.29697744162719902</v>
      </c>
    </row>
    <row r="23" spans="1:20"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52"/>
      <c r="Q23" s="52"/>
    </row>
    <row r="24" spans="1:20" ht="13.5" thickBot="1">
      <c r="E24" s="462">
        <v>2012</v>
      </c>
      <c r="F24" s="462"/>
      <c r="G24" s="462"/>
      <c r="H24" s="462"/>
      <c r="I24" s="462"/>
      <c r="J24" s="462"/>
      <c r="K24" s="462"/>
      <c r="L24" s="462"/>
      <c r="M24" s="462"/>
      <c r="N24" s="462"/>
      <c r="P24" s="54">
        <v>2011</v>
      </c>
    </row>
    <row r="25" spans="1:20">
      <c r="A25" s="440" t="s">
        <v>175</v>
      </c>
      <c r="B25" s="441"/>
      <c r="C25" s="441"/>
      <c r="D25" s="442"/>
      <c r="E25" s="18" t="s">
        <v>176</v>
      </c>
      <c r="F25" s="18" t="s">
        <v>177</v>
      </c>
      <c r="G25" s="18" t="s">
        <v>178</v>
      </c>
      <c r="H25" s="18" t="s">
        <v>179</v>
      </c>
      <c r="I25" s="18" t="s">
        <v>180</v>
      </c>
      <c r="J25" s="18" t="s">
        <v>181</v>
      </c>
      <c r="K25" s="19" t="s">
        <v>182</v>
      </c>
      <c r="L25" s="18" t="s">
        <v>183</v>
      </c>
      <c r="M25" s="18" t="s">
        <v>184</v>
      </c>
      <c r="N25" s="18" t="s">
        <v>185</v>
      </c>
      <c r="O25" s="55" t="s">
        <v>186</v>
      </c>
      <c r="P25" s="56" t="s">
        <v>187</v>
      </c>
      <c r="Q25" s="56" t="s">
        <v>188</v>
      </c>
      <c r="R25" s="20" t="s">
        <v>189</v>
      </c>
      <c r="S25">
        <v>2012</v>
      </c>
    </row>
    <row r="26" spans="1:20" ht="12.75" customHeight="1">
      <c r="A26" s="443">
        <v>2012</v>
      </c>
      <c r="B26" s="445" t="s">
        <v>191</v>
      </c>
      <c r="C26" s="448" t="s">
        <v>192</v>
      </c>
      <c r="D26" s="449"/>
      <c r="E26" s="57">
        <v>70.564999999999998</v>
      </c>
      <c r="F26" s="57">
        <v>59.347000000000001</v>
      </c>
      <c r="G26" s="57">
        <v>59.51</v>
      </c>
      <c r="H26" s="57">
        <v>49.51</v>
      </c>
      <c r="I26" s="57">
        <v>43.29</v>
      </c>
      <c r="J26" s="57">
        <v>36.508000000000003</v>
      </c>
      <c r="K26" s="58">
        <f>SUM(E26:J26)</f>
        <v>318.72999999999996</v>
      </c>
      <c r="L26" s="57">
        <v>35.344999999999999</v>
      </c>
      <c r="M26" s="57">
        <v>36.414000000000001</v>
      </c>
      <c r="N26" s="57">
        <v>37.305999999999997</v>
      </c>
      <c r="O26" s="57">
        <v>45.796999999999997</v>
      </c>
      <c r="P26" s="57">
        <v>56.106999999999999</v>
      </c>
      <c r="Q26" s="57">
        <v>70.834000000000003</v>
      </c>
      <c r="R26" s="23">
        <f>SUM(E26:Q26)-K26</f>
        <v>600.5329999999999</v>
      </c>
      <c r="S26" s="60">
        <f>R27/R3</f>
        <v>1.0543413807725486</v>
      </c>
    </row>
    <row r="27" spans="1:20">
      <c r="A27" s="443"/>
      <c r="B27" s="446"/>
      <c r="C27" s="450" t="s">
        <v>193</v>
      </c>
      <c r="D27" s="451"/>
      <c r="E27" s="24">
        <v>76.109174999999993</v>
      </c>
      <c r="F27" s="24">
        <v>69.227487999999994</v>
      </c>
      <c r="G27" s="24">
        <v>62.894629000000002</v>
      </c>
      <c r="H27" s="24">
        <v>52.480113000000003</v>
      </c>
      <c r="I27" s="24">
        <v>41.577801000000001</v>
      </c>
      <c r="J27" s="24">
        <v>37.032383000000003</v>
      </c>
      <c r="K27" s="25">
        <f t="shared" ref="K27:K40" si="11">SUM(E27:J27)</f>
        <v>339.32158900000002</v>
      </c>
      <c r="L27" s="24">
        <v>37.198492999999999</v>
      </c>
      <c r="M27" s="24">
        <v>38.294046000000002</v>
      </c>
      <c r="N27" s="24">
        <v>36.629765999999996</v>
      </c>
      <c r="O27" s="24">
        <v>47.013770999999998</v>
      </c>
      <c r="P27" s="24">
        <v>59.695152999999998</v>
      </c>
      <c r="Q27" s="24">
        <v>76.512163999999999</v>
      </c>
      <c r="R27" s="26">
        <f>SUM(E27:Q27)-K27</f>
        <v>634.66498200000001</v>
      </c>
    </row>
    <row r="28" spans="1:20" s="31" customFormat="1">
      <c r="A28" s="443"/>
      <c r="B28" s="447"/>
      <c r="C28" s="27" t="s">
        <v>194</v>
      </c>
      <c r="D28" s="28"/>
      <c r="E28" s="29">
        <f t="shared" ref="E28:Q28" si="12">E27-E26</f>
        <v>5.5441749999999956</v>
      </c>
      <c r="F28" s="29">
        <f t="shared" si="12"/>
        <v>9.8804879999999926</v>
      </c>
      <c r="G28" s="29">
        <f t="shared" si="12"/>
        <v>3.3846290000000039</v>
      </c>
      <c r="H28" s="29">
        <f t="shared" si="12"/>
        <v>2.9701130000000049</v>
      </c>
      <c r="I28" s="29">
        <f t="shared" si="12"/>
        <v>-1.7121989999999983</v>
      </c>
      <c r="J28" s="29">
        <f t="shared" si="12"/>
        <v>0.52438300000000027</v>
      </c>
      <c r="K28" s="29">
        <f t="shared" si="11"/>
        <v>20.591588999999999</v>
      </c>
      <c r="L28" s="29">
        <f t="shared" si="12"/>
        <v>1.8534930000000003</v>
      </c>
      <c r="M28" s="29">
        <f t="shared" si="12"/>
        <v>1.8800460000000001</v>
      </c>
      <c r="N28" s="29">
        <f t="shared" si="12"/>
        <v>-0.67623400000000089</v>
      </c>
      <c r="O28" s="29">
        <f t="shared" si="12"/>
        <v>1.2167710000000014</v>
      </c>
      <c r="P28" s="29">
        <f t="shared" si="12"/>
        <v>3.5881529999999984</v>
      </c>
      <c r="Q28" s="29">
        <f t="shared" si="12"/>
        <v>5.6781639999999953</v>
      </c>
      <c r="R28" s="30">
        <f t="shared" ref="R28:R41" si="13">SUM(E28:Q28)-K28</f>
        <v>34.131981999999994</v>
      </c>
    </row>
    <row r="29" spans="1:20">
      <c r="A29" s="443"/>
      <c r="B29" s="445" t="s">
        <v>195</v>
      </c>
      <c r="C29" s="448" t="s">
        <v>192</v>
      </c>
      <c r="D29" s="449"/>
      <c r="E29" s="57">
        <f t="shared" ref="E29:Q30" si="14">E26-E32</f>
        <v>2.4590000000000032</v>
      </c>
      <c r="F29" s="57">
        <f t="shared" si="14"/>
        <v>2.0690000000000026</v>
      </c>
      <c r="G29" s="57">
        <f t="shared" si="14"/>
        <v>2.0739999999999981</v>
      </c>
      <c r="H29" s="57">
        <f t="shared" si="14"/>
        <v>1.7259999999999991</v>
      </c>
      <c r="I29" s="57">
        <f t="shared" si="14"/>
        <v>1.5080000000000027</v>
      </c>
      <c r="J29" s="57">
        <f t="shared" si="14"/>
        <v>1.2730000000000032</v>
      </c>
      <c r="K29" s="58">
        <f t="shared" si="11"/>
        <v>11.109000000000009</v>
      </c>
      <c r="L29" s="21">
        <f t="shared" si="14"/>
        <v>1.1400000000000006</v>
      </c>
      <c r="M29" s="21">
        <f t="shared" si="14"/>
        <v>1.1750000000000043</v>
      </c>
      <c r="N29" s="21">
        <f t="shared" si="14"/>
        <v>1.2029999999999959</v>
      </c>
      <c r="O29" s="21">
        <f t="shared" si="14"/>
        <v>1.4769999999999968</v>
      </c>
      <c r="P29" s="21">
        <f t="shared" si="14"/>
        <v>1.8100000000000023</v>
      </c>
      <c r="Q29" s="21">
        <f t="shared" si="14"/>
        <v>2.2849999999999966</v>
      </c>
      <c r="R29" s="23">
        <f t="shared" si="13"/>
        <v>20.199000000000005</v>
      </c>
    </row>
    <row r="30" spans="1:20">
      <c r="A30" s="443"/>
      <c r="B30" s="446"/>
      <c r="C30" s="450" t="s">
        <v>193</v>
      </c>
      <c r="D30" s="451"/>
      <c r="E30" s="24">
        <f t="shared" si="14"/>
        <v>2.0634979999999956</v>
      </c>
      <c r="F30" s="24">
        <f t="shared" si="14"/>
        <v>1.9437939999999969</v>
      </c>
      <c r="G30" s="24">
        <f t="shared" si="14"/>
        <v>1.4987640000000013</v>
      </c>
      <c r="H30" s="24">
        <f t="shared" si="14"/>
        <v>1.5711970000000051</v>
      </c>
      <c r="I30" s="24">
        <f t="shared" si="14"/>
        <v>1.075960000000002</v>
      </c>
      <c r="J30" s="24">
        <f t="shared" si="14"/>
        <v>0.89492000000000616</v>
      </c>
      <c r="K30" s="25">
        <f t="shared" si="11"/>
        <v>9.0481330000000071</v>
      </c>
      <c r="L30" s="24">
        <f t="shared" si="14"/>
        <v>0.73278200000000027</v>
      </c>
      <c r="M30" s="24">
        <f t="shared" si="14"/>
        <v>1.0640309999999999</v>
      </c>
      <c r="N30" s="24">
        <f t="shared" si="14"/>
        <v>1.449033</v>
      </c>
      <c r="O30" s="24">
        <f t="shared" si="14"/>
        <v>1.4855299999999971</v>
      </c>
      <c r="P30" s="24">
        <f t="shared" si="14"/>
        <v>1.8379799999999946</v>
      </c>
      <c r="Q30" s="24">
        <f t="shared" si="14"/>
        <v>1.9098149999999947</v>
      </c>
      <c r="R30" s="26">
        <f t="shared" si="13"/>
        <v>17.527303999999994</v>
      </c>
      <c r="T30">
        <v>672.18</v>
      </c>
    </row>
    <row r="31" spans="1:20">
      <c r="A31" s="443"/>
      <c r="B31" s="447"/>
      <c r="C31" s="27" t="s">
        <v>194</v>
      </c>
      <c r="D31" s="28"/>
      <c r="E31" s="29">
        <f t="shared" ref="E31:Q31" si="15">E30-E29</f>
        <v>-0.39550200000000757</v>
      </c>
      <c r="F31" s="29">
        <f t="shared" si="15"/>
        <v>-0.1252060000000057</v>
      </c>
      <c r="G31" s="29">
        <f t="shared" si="15"/>
        <v>-0.57523599999999675</v>
      </c>
      <c r="H31" s="29">
        <f t="shared" si="15"/>
        <v>-0.15480299999999403</v>
      </c>
      <c r="I31" s="29">
        <f t="shared" si="15"/>
        <v>-0.43204000000000065</v>
      </c>
      <c r="J31" s="29">
        <f t="shared" si="15"/>
        <v>-0.37807999999999709</v>
      </c>
      <c r="K31" s="29">
        <f t="shared" si="11"/>
        <v>-2.0608670000000018</v>
      </c>
      <c r="L31" s="29">
        <f t="shared" si="15"/>
        <v>-0.4072180000000003</v>
      </c>
      <c r="M31" s="29">
        <f t="shared" si="15"/>
        <v>-0.11096900000000431</v>
      </c>
      <c r="N31" s="29">
        <f t="shared" si="15"/>
        <v>0.24603300000000417</v>
      </c>
      <c r="O31" s="29">
        <f t="shared" si="15"/>
        <v>8.5300000000003706E-3</v>
      </c>
      <c r="P31" s="29">
        <f t="shared" si="15"/>
        <v>2.7979999999992344E-2</v>
      </c>
      <c r="Q31" s="29">
        <f t="shared" si="15"/>
        <v>-0.37518500000000188</v>
      </c>
      <c r="R31" s="30">
        <f t="shared" si="13"/>
        <v>-2.6716960000000114</v>
      </c>
      <c r="T31">
        <v>127.54</v>
      </c>
    </row>
    <row r="32" spans="1:20">
      <c r="A32" s="443"/>
      <c r="B32" s="445" t="s">
        <v>196</v>
      </c>
      <c r="C32" s="448" t="s">
        <v>192</v>
      </c>
      <c r="D32" s="449"/>
      <c r="E32" s="57">
        <v>68.105999999999995</v>
      </c>
      <c r="F32" s="21">
        <v>57.277999999999999</v>
      </c>
      <c r="G32" s="57">
        <v>57.436</v>
      </c>
      <c r="H32" s="57">
        <v>47.783999999999999</v>
      </c>
      <c r="I32" s="57">
        <v>41.781999999999996</v>
      </c>
      <c r="J32" s="57">
        <v>35.234999999999999</v>
      </c>
      <c r="K32" s="58">
        <f t="shared" si="11"/>
        <v>307.62099999999998</v>
      </c>
      <c r="L32" s="21">
        <v>34.204999999999998</v>
      </c>
      <c r="M32" s="21">
        <v>35.238999999999997</v>
      </c>
      <c r="N32" s="21">
        <v>36.103000000000002</v>
      </c>
      <c r="O32" s="21">
        <v>44.32</v>
      </c>
      <c r="P32" s="21">
        <v>54.296999999999997</v>
      </c>
      <c r="Q32" s="21">
        <v>68.549000000000007</v>
      </c>
      <c r="R32" s="23">
        <f t="shared" si="13"/>
        <v>580.33400000000006</v>
      </c>
      <c r="T32">
        <v>544.64</v>
      </c>
    </row>
    <row r="33" spans="1:20">
      <c r="A33" s="443"/>
      <c r="B33" s="446"/>
      <c r="C33" s="450" t="s">
        <v>193</v>
      </c>
      <c r="D33" s="451"/>
      <c r="E33" s="24">
        <v>74.045676999999998</v>
      </c>
      <c r="F33" s="24">
        <v>67.283693999999997</v>
      </c>
      <c r="G33" s="24">
        <v>61.395865000000001</v>
      </c>
      <c r="H33" s="24">
        <v>50.908915999999998</v>
      </c>
      <c r="I33" s="24">
        <v>40.501840999999999</v>
      </c>
      <c r="J33" s="24">
        <v>36.137462999999997</v>
      </c>
      <c r="K33" s="25">
        <f t="shared" si="11"/>
        <v>330.27345600000001</v>
      </c>
      <c r="L33" s="24">
        <v>36.465710999999999</v>
      </c>
      <c r="M33" s="24">
        <v>37.230015000000002</v>
      </c>
      <c r="N33" s="24">
        <v>35.180732999999996</v>
      </c>
      <c r="O33" s="24">
        <v>45.528241000000001</v>
      </c>
      <c r="P33" s="24">
        <v>57.857173000000003</v>
      </c>
      <c r="Q33" s="24">
        <v>74.602349000000004</v>
      </c>
      <c r="R33" s="26">
        <f t="shared" si="13"/>
        <v>617.13767800000005</v>
      </c>
      <c r="T33">
        <f>T30-T31-T32</f>
        <v>0</v>
      </c>
    </row>
    <row r="34" spans="1:20">
      <c r="A34" s="443"/>
      <c r="B34" s="447"/>
      <c r="C34" s="27" t="s">
        <v>194</v>
      </c>
      <c r="D34" s="28"/>
      <c r="E34" s="29">
        <f t="shared" ref="E34:Q34" si="16">E33-E32</f>
        <v>5.9396770000000032</v>
      </c>
      <c r="F34" s="29">
        <f t="shared" si="16"/>
        <v>10.005693999999998</v>
      </c>
      <c r="G34" s="29">
        <f t="shared" si="16"/>
        <v>3.9598650000000006</v>
      </c>
      <c r="H34" s="29">
        <f t="shared" si="16"/>
        <v>3.1249159999999989</v>
      </c>
      <c r="I34" s="29">
        <f t="shared" si="16"/>
        <v>-1.2801589999999976</v>
      </c>
      <c r="J34" s="29">
        <f t="shared" si="16"/>
        <v>0.90246299999999735</v>
      </c>
      <c r="K34" s="29">
        <f t="shared" si="11"/>
        <v>22.652456000000001</v>
      </c>
      <c r="L34" s="29">
        <f t="shared" si="16"/>
        <v>2.2607110000000006</v>
      </c>
      <c r="M34" s="29">
        <f t="shared" si="16"/>
        <v>1.9910150000000044</v>
      </c>
      <c r="N34" s="29">
        <f t="shared" si="16"/>
        <v>-0.92226700000000505</v>
      </c>
      <c r="O34" s="29">
        <f t="shared" si="16"/>
        <v>1.208241000000001</v>
      </c>
      <c r="P34" s="29">
        <f t="shared" si="16"/>
        <v>3.560173000000006</v>
      </c>
      <c r="Q34" s="29">
        <f t="shared" si="16"/>
        <v>6.0533489999999972</v>
      </c>
      <c r="R34" s="30">
        <f t="shared" si="13"/>
        <v>36.803678000000005</v>
      </c>
    </row>
    <row r="35" spans="1:20" hidden="1">
      <c r="A35" s="443"/>
      <c r="B35" s="445" t="s">
        <v>197</v>
      </c>
      <c r="C35" s="452" t="s">
        <v>192</v>
      </c>
      <c r="D35" s="32" t="s">
        <v>198</v>
      </c>
      <c r="E35" s="57">
        <v>16.655999999999999</v>
      </c>
      <c r="F35" s="57">
        <v>14.183999999999999</v>
      </c>
      <c r="G35" s="57">
        <v>14.827999999999999</v>
      </c>
      <c r="H35" s="57">
        <v>12.391</v>
      </c>
      <c r="I35" s="57">
        <v>10.791</v>
      </c>
      <c r="J35" s="57">
        <v>11.337</v>
      </c>
      <c r="K35" s="58">
        <f t="shared" si="11"/>
        <v>80.186999999999998</v>
      </c>
      <c r="L35" s="21">
        <v>6.7839999999999998</v>
      </c>
      <c r="M35" s="21">
        <v>7.1529999999999996</v>
      </c>
      <c r="N35" s="21">
        <v>7.3209999999999997</v>
      </c>
      <c r="O35" s="62">
        <v>7.0060000000000002</v>
      </c>
      <c r="P35" s="62">
        <v>9.1669999999999998</v>
      </c>
      <c r="Q35" s="62">
        <v>10.371</v>
      </c>
      <c r="R35" s="23">
        <f t="shared" si="13"/>
        <v>127.98899999999999</v>
      </c>
    </row>
    <row r="36" spans="1:20" hidden="1">
      <c r="A36" s="443"/>
      <c r="B36" s="446"/>
      <c r="C36" s="453"/>
      <c r="D36" s="32" t="s">
        <v>199</v>
      </c>
      <c r="E36" s="57">
        <v>32.932000000000002</v>
      </c>
      <c r="F36" s="57">
        <v>26.843</v>
      </c>
      <c r="G36" s="57">
        <v>27.905000000000001</v>
      </c>
      <c r="H36" s="57">
        <v>25.494</v>
      </c>
      <c r="I36" s="57">
        <v>23.846</v>
      </c>
      <c r="J36" s="57">
        <v>18.440999999999999</v>
      </c>
      <c r="K36" s="58">
        <f t="shared" si="11"/>
        <v>155.46100000000001</v>
      </c>
      <c r="L36" s="21">
        <v>21.606999999999999</v>
      </c>
      <c r="M36" s="21">
        <v>22.736999999999998</v>
      </c>
      <c r="N36" s="21">
        <v>23.440999999999999</v>
      </c>
      <c r="O36" s="62">
        <v>26.385000000000002</v>
      </c>
      <c r="P36" s="62">
        <v>29.777000000000001</v>
      </c>
      <c r="Q36" s="62">
        <v>37.326999999999998</v>
      </c>
      <c r="R36" s="23">
        <f t="shared" si="13"/>
        <v>316.73499999999996</v>
      </c>
    </row>
    <row r="37" spans="1:20" hidden="1">
      <c r="A37" s="443"/>
      <c r="B37" s="446"/>
      <c r="C37" s="454" t="s">
        <v>193</v>
      </c>
      <c r="D37" s="33" t="s">
        <v>198</v>
      </c>
      <c r="E37" s="24"/>
      <c r="F37" s="24"/>
      <c r="G37" s="24"/>
      <c r="H37" s="63"/>
      <c r="I37" s="63"/>
      <c r="J37" s="63"/>
      <c r="K37" s="64">
        <f t="shared" si="11"/>
        <v>0</v>
      </c>
      <c r="L37" s="24"/>
      <c r="M37" s="24"/>
      <c r="N37" s="24"/>
      <c r="O37" s="61"/>
      <c r="P37" s="61"/>
      <c r="Q37" s="61"/>
      <c r="R37" s="26">
        <f t="shared" si="13"/>
        <v>0</v>
      </c>
    </row>
    <row r="38" spans="1:20" hidden="1">
      <c r="A38" s="443"/>
      <c r="B38" s="446"/>
      <c r="C38" s="455" t="s">
        <v>193</v>
      </c>
      <c r="D38" s="33" t="s">
        <v>199</v>
      </c>
      <c r="E38" s="24"/>
      <c r="F38" s="24"/>
      <c r="G38" s="24"/>
      <c r="H38" s="63"/>
      <c r="I38" s="63"/>
      <c r="J38" s="63"/>
      <c r="K38" s="64">
        <f t="shared" si="11"/>
        <v>0</v>
      </c>
      <c r="L38" s="63"/>
      <c r="M38" s="63"/>
      <c r="N38" s="63"/>
      <c r="O38" s="65"/>
      <c r="P38" s="65"/>
      <c r="Q38" s="65"/>
      <c r="R38" s="26">
        <f t="shared" si="13"/>
        <v>0</v>
      </c>
    </row>
    <row r="39" spans="1:20" hidden="1">
      <c r="A39" s="443"/>
      <c r="B39" s="446"/>
      <c r="C39" s="456" t="s">
        <v>194</v>
      </c>
      <c r="D39" s="34" t="s">
        <v>198</v>
      </c>
      <c r="E39" s="29">
        <f t="shared" ref="E39:J40" si="17">E37-E35</f>
        <v>-16.655999999999999</v>
      </c>
      <c r="F39" s="29">
        <f t="shared" si="17"/>
        <v>-14.183999999999999</v>
      </c>
      <c r="G39" s="29">
        <f t="shared" si="17"/>
        <v>-14.827999999999999</v>
      </c>
      <c r="H39" s="29">
        <f t="shared" si="17"/>
        <v>-12.391</v>
      </c>
      <c r="I39" s="29">
        <f t="shared" si="17"/>
        <v>-10.791</v>
      </c>
      <c r="J39" s="29">
        <f t="shared" si="17"/>
        <v>-11.337</v>
      </c>
      <c r="K39" s="29">
        <f t="shared" si="11"/>
        <v>-80.186999999999998</v>
      </c>
      <c r="L39" s="29">
        <f t="shared" ref="L39:Q40" si="18">L37-L35</f>
        <v>-6.7839999999999998</v>
      </c>
      <c r="M39" s="66">
        <f t="shared" si="18"/>
        <v>-7.1529999999999996</v>
      </c>
      <c r="N39" s="66">
        <f t="shared" si="18"/>
        <v>-7.3209999999999997</v>
      </c>
      <c r="O39" s="67">
        <f t="shared" si="18"/>
        <v>-7.0060000000000002</v>
      </c>
      <c r="P39" s="67">
        <f t="shared" si="18"/>
        <v>-9.1669999999999998</v>
      </c>
      <c r="Q39" s="67">
        <f t="shared" si="18"/>
        <v>-10.371</v>
      </c>
      <c r="R39" s="30">
        <f t="shared" si="13"/>
        <v>-127.98899999999999</v>
      </c>
    </row>
    <row r="40" spans="1:20" hidden="1">
      <c r="A40" s="443"/>
      <c r="B40" s="447"/>
      <c r="C40" s="457"/>
      <c r="D40" s="34" t="s">
        <v>199</v>
      </c>
      <c r="E40" s="29">
        <f t="shared" si="17"/>
        <v>-32.932000000000002</v>
      </c>
      <c r="F40" s="29">
        <f t="shared" si="17"/>
        <v>-26.843</v>
      </c>
      <c r="G40" s="29">
        <f t="shared" si="17"/>
        <v>-27.905000000000001</v>
      </c>
      <c r="H40" s="29">
        <f t="shared" si="17"/>
        <v>-25.494</v>
      </c>
      <c r="I40" s="29">
        <f t="shared" si="17"/>
        <v>-23.846</v>
      </c>
      <c r="J40" s="29">
        <f t="shared" si="17"/>
        <v>-18.440999999999999</v>
      </c>
      <c r="K40" s="29">
        <f t="shared" si="11"/>
        <v>-155.46100000000001</v>
      </c>
      <c r="L40" s="29">
        <f t="shared" si="18"/>
        <v>-21.606999999999999</v>
      </c>
      <c r="M40" s="66">
        <f t="shared" si="18"/>
        <v>-22.736999999999998</v>
      </c>
      <c r="N40" s="66">
        <f t="shared" si="18"/>
        <v>-23.440999999999999</v>
      </c>
      <c r="O40" s="67">
        <f t="shared" si="18"/>
        <v>-26.385000000000002</v>
      </c>
      <c r="P40" s="67">
        <f t="shared" si="18"/>
        <v>-29.777000000000001</v>
      </c>
      <c r="Q40" s="67">
        <f t="shared" si="18"/>
        <v>-37.326999999999998</v>
      </c>
      <c r="R40" s="30">
        <f t="shared" si="13"/>
        <v>-316.73499999999996</v>
      </c>
    </row>
    <row r="41" spans="1:20" hidden="1">
      <c r="A41" s="443"/>
      <c r="B41" s="458" t="s">
        <v>200</v>
      </c>
      <c r="C41" s="452" t="s">
        <v>192</v>
      </c>
      <c r="D41" s="35" t="s">
        <v>201</v>
      </c>
      <c r="E41" s="57">
        <f>E32-E35-E36</f>
        <v>18.517999999999994</v>
      </c>
      <c r="F41" s="57">
        <f t="shared" ref="F41:Q41" si="19">F32-F35-F36</f>
        <v>16.251000000000001</v>
      </c>
      <c r="G41" s="57">
        <f t="shared" si="19"/>
        <v>14.703000000000003</v>
      </c>
      <c r="H41" s="57">
        <f t="shared" si="19"/>
        <v>9.8990000000000009</v>
      </c>
      <c r="I41" s="57">
        <f t="shared" si="19"/>
        <v>7.144999999999996</v>
      </c>
      <c r="J41" s="57">
        <f t="shared" si="19"/>
        <v>5.4570000000000007</v>
      </c>
      <c r="K41" s="58">
        <f t="shared" si="19"/>
        <v>71.972999999999956</v>
      </c>
      <c r="L41" s="57">
        <f t="shared" si="19"/>
        <v>5.8140000000000001</v>
      </c>
      <c r="M41" s="57">
        <f t="shared" si="19"/>
        <v>5.3490000000000002</v>
      </c>
      <c r="N41" s="57">
        <f t="shared" si="19"/>
        <v>5.3410000000000046</v>
      </c>
      <c r="O41" s="59">
        <f t="shared" si="19"/>
        <v>10.928999999999998</v>
      </c>
      <c r="P41" s="59">
        <f t="shared" si="19"/>
        <v>15.352999999999994</v>
      </c>
      <c r="Q41" s="59">
        <f t="shared" si="19"/>
        <v>20.851000000000006</v>
      </c>
      <c r="R41" s="36">
        <f t="shared" si="13"/>
        <v>135.60999999999996</v>
      </c>
    </row>
    <row r="42" spans="1:20" hidden="1">
      <c r="A42" s="443"/>
      <c r="B42" s="458"/>
      <c r="C42" s="453" t="s">
        <v>193</v>
      </c>
      <c r="D42" s="32" t="s">
        <v>202</v>
      </c>
      <c r="E42" s="68">
        <f t="shared" ref="E42:R42" si="20">E41/E26</f>
        <v>0.26242471480195556</v>
      </c>
      <c r="F42" s="68">
        <f t="shared" si="20"/>
        <v>0.27383018518206481</v>
      </c>
      <c r="G42" s="68">
        <f t="shared" si="20"/>
        <v>0.24706771971097299</v>
      </c>
      <c r="H42" s="68">
        <f t="shared" si="20"/>
        <v>0.1999394061805696</v>
      </c>
      <c r="I42" s="68">
        <f t="shared" si="20"/>
        <v>0.16504966504966495</v>
      </c>
      <c r="J42" s="68">
        <f t="shared" si="20"/>
        <v>0.14947408787115155</v>
      </c>
      <c r="K42" s="69">
        <f t="shared" si="20"/>
        <v>0.22581181564333438</v>
      </c>
      <c r="L42" s="68">
        <f t="shared" si="20"/>
        <v>0.1644928561324091</v>
      </c>
      <c r="M42" s="68">
        <f t="shared" si="20"/>
        <v>0.14689405173834238</v>
      </c>
      <c r="N42" s="68">
        <f t="shared" si="20"/>
        <v>0.14316731892993098</v>
      </c>
      <c r="O42" s="70">
        <f t="shared" si="20"/>
        <v>0.23864008559512631</v>
      </c>
      <c r="P42" s="70">
        <f t="shared" si="20"/>
        <v>0.27363787049744231</v>
      </c>
      <c r="Q42" s="70">
        <f t="shared" si="20"/>
        <v>0.29436428833610984</v>
      </c>
      <c r="R42" s="39">
        <f t="shared" si="20"/>
        <v>0.22581606672739046</v>
      </c>
    </row>
    <row r="43" spans="1:20" hidden="1">
      <c r="A43" s="443"/>
      <c r="B43" s="458"/>
      <c r="C43" s="454" t="s">
        <v>193</v>
      </c>
      <c r="D43" s="40" t="s">
        <v>201</v>
      </c>
      <c r="E43" s="24">
        <f t="shared" ref="E43:Q43" si="21">E33-E37-E38</f>
        <v>74.045676999999998</v>
      </c>
      <c r="F43" s="24">
        <f t="shared" si="21"/>
        <v>67.283693999999997</v>
      </c>
      <c r="G43" s="24">
        <f t="shared" si="21"/>
        <v>61.395865000000001</v>
      </c>
      <c r="H43" s="24">
        <f t="shared" si="21"/>
        <v>50.908915999999998</v>
      </c>
      <c r="I43" s="24">
        <f t="shared" si="21"/>
        <v>40.501840999999999</v>
      </c>
      <c r="J43" s="24">
        <f t="shared" si="21"/>
        <v>36.137462999999997</v>
      </c>
      <c r="K43" s="25">
        <f>SUM(E43:J43)</f>
        <v>330.27345600000001</v>
      </c>
      <c r="L43" s="24">
        <f>L33-L37-L38</f>
        <v>36.465710999999999</v>
      </c>
      <c r="M43" s="24">
        <f t="shared" si="21"/>
        <v>37.230015000000002</v>
      </c>
      <c r="N43" s="24">
        <f t="shared" si="21"/>
        <v>35.180732999999996</v>
      </c>
      <c r="O43" s="61">
        <f t="shared" si="21"/>
        <v>45.528241000000001</v>
      </c>
      <c r="P43" s="61">
        <f t="shared" si="21"/>
        <v>57.857173000000003</v>
      </c>
      <c r="Q43" s="61">
        <f t="shared" si="21"/>
        <v>74.602349000000004</v>
      </c>
      <c r="R43" s="26">
        <f>SUM(E43:Q43)-K43</f>
        <v>617.13767800000005</v>
      </c>
    </row>
    <row r="44" spans="1:20" hidden="1">
      <c r="A44" s="443"/>
      <c r="B44" s="458"/>
      <c r="C44" s="455" t="s">
        <v>193</v>
      </c>
      <c r="D44" s="33" t="s">
        <v>202</v>
      </c>
      <c r="E44" s="71">
        <f t="shared" ref="E44:R44" si="22">E43/E27</f>
        <v>0.97288765776268105</v>
      </c>
      <c r="F44" s="71">
        <f t="shared" si="22"/>
        <v>0.97192164476631016</v>
      </c>
      <c r="G44" s="71">
        <f t="shared" si="22"/>
        <v>0.97617023863834218</v>
      </c>
      <c r="H44" s="71">
        <f t="shared" si="22"/>
        <v>0.97006109723887213</v>
      </c>
      <c r="I44" s="71">
        <f t="shared" si="22"/>
        <v>0.97412176752685886</v>
      </c>
      <c r="J44" s="71">
        <f t="shared" si="22"/>
        <v>0.97583412334010466</v>
      </c>
      <c r="K44" s="72">
        <f t="shared" si="22"/>
        <v>0.97333463801503062</v>
      </c>
      <c r="L44" s="71">
        <f t="shared" si="22"/>
        <v>0.98030076110879005</v>
      </c>
      <c r="M44" s="71">
        <f t="shared" si="22"/>
        <v>0.97221419225328132</v>
      </c>
      <c r="N44" s="71">
        <f t="shared" si="22"/>
        <v>0.96044110683098549</v>
      </c>
      <c r="O44" s="73">
        <f t="shared" si="22"/>
        <v>0.96840223686800198</v>
      </c>
      <c r="P44" s="73">
        <f t="shared" si="22"/>
        <v>0.96921056555462726</v>
      </c>
      <c r="Q44" s="73">
        <f t="shared" si="22"/>
        <v>0.97503906699070764</v>
      </c>
      <c r="R44" s="43">
        <f t="shared" si="22"/>
        <v>0.97238337627394111</v>
      </c>
    </row>
    <row r="45" spans="1:20" hidden="1">
      <c r="A45" s="443"/>
      <c r="B45" s="458"/>
      <c r="C45" s="460" t="s">
        <v>194</v>
      </c>
      <c r="D45" s="44" t="s">
        <v>201</v>
      </c>
      <c r="E45" s="45">
        <f t="shared" ref="E45:K46" si="23">E43-E41</f>
        <v>55.527677000000004</v>
      </c>
      <c r="F45" s="45">
        <f t="shared" si="23"/>
        <v>51.032693999999992</v>
      </c>
      <c r="G45" s="45">
        <f t="shared" si="23"/>
        <v>46.692864999999998</v>
      </c>
      <c r="H45" s="45">
        <f t="shared" si="23"/>
        <v>41.009915999999997</v>
      </c>
      <c r="I45" s="45">
        <f t="shared" si="23"/>
        <v>33.356841000000003</v>
      </c>
      <c r="J45" s="45">
        <f t="shared" si="23"/>
        <v>30.680462999999996</v>
      </c>
      <c r="K45" s="45">
        <f>SUM(E45:J45)</f>
        <v>258.300456</v>
      </c>
      <c r="L45" s="45">
        <f t="shared" ref="L45:Q46" si="24">L43-L41</f>
        <v>30.651710999999999</v>
      </c>
      <c r="M45" s="74">
        <f t="shared" si="24"/>
        <v>31.881015000000001</v>
      </c>
      <c r="N45" s="74">
        <f t="shared" si="24"/>
        <v>29.839732999999992</v>
      </c>
      <c r="O45" s="75">
        <f t="shared" si="24"/>
        <v>34.599241000000006</v>
      </c>
      <c r="P45" s="75">
        <f t="shared" si="24"/>
        <v>42.504173000000009</v>
      </c>
      <c r="Q45" s="75">
        <f t="shared" si="24"/>
        <v>53.751348999999998</v>
      </c>
      <c r="R45" s="46">
        <f>SUM(E45:Q45)-K45</f>
        <v>481.52767800000009</v>
      </c>
    </row>
    <row r="46" spans="1:20" ht="13.5" hidden="1" thickBot="1">
      <c r="A46" s="444"/>
      <c r="B46" s="459"/>
      <c r="C46" s="461"/>
      <c r="D46" s="47" t="s">
        <v>202</v>
      </c>
      <c r="E46" s="50">
        <f t="shared" si="23"/>
        <v>0.71046294296072543</v>
      </c>
      <c r="F46" s="50">
        <f t="shared" si="23"/>
        <v>0.69809145958424534</v>
      </c>
      <c r="G46" s="50">
        <f t="shared" si="23"/>
        <v>0.72910251892736921</v>
      </c>
      <c r="H46" s="50">
        <f t="shared" si="23"/>
        <v>0.77012169105830253</v>
      </c>
      <c r="I46" s="50">
        <f t="shared" si="23"/>
        <v>0.80907210247719386</v>
      </c>
      <c r="J46" s="50">
        <f t="shared" si="23"/>
        <v>0.82636003546895309</v>
      </c>
      <c r="K46" s="50">
        <f t="shared" si="23"/>
        <v>0.74752282237169621</v>
      </c>
      <c r="L46" s="50">
        <f t="shared" si="24"/>
        <v>0.81580790497638089</v>
      </c>
      <c r="M46" s="50">
        <f t="shared" si="24"/>
        <v>0.82532014051493896</v>
      </c>
      <c r="N46" s="50">
        <f t="shared" si="24"/>
        <v>0.81727378790105454</v>
      </c>
      <c r="O46" s="76">
        <f t="shared" si="24"/>
        <v>0.72976215127287569</v>
      </c>
      <c r="P46" s="76">
        <f t="shared" si="24"/>
        <v>0.695572695057185</v>
      </c>
      <c r="Q46" s="76">
        <f t="shared" si="24"/>
        <v>0.6806747786545978</v>
      </c>
      <c r="R46" s="50">
        <f>R44-R42</f>
        <v>0.74656730954655059</v>
      </c>
    </row>
    <row r="47" spans="1:20">
      <c r="K47" s="247"/>
    </row>
    <row r="48" spans="1:20">
      <c r="K48" s="247"/>
    </row>
    <row r="49" spans="2:22">
      <c r="B49" s="458" t="s">
        <v>191</v>
      </c>
      <c r="C49" s="458"/>
      <c r="D49" s="458"/>
      <c r="E49" s="77">
        <f>E27-E3</f>
        <v>6.4431169999999867</v>
      </c>
      <c r="F49" s="77">
        <f t="shared" ref="F49:R49" si="25">F27-F3</f>
        <v>10.636990999999995</v>
      </c>
      <c r="G49" s="77">
        <f t="shared" si="25"/>
        <v>4.1431779999999989</v>
      </c>
      <c r="H49" s="77">
        <f t="shared" si="25"/>
        <v>3.6011319999999998</v>
      </c>
      <c r="I49" s="77">
        <f t="shared" si="25"/>
        <v>-1.161487000000001</v>
      </c>
      <c r="J49" s="77">
        <f t="shared" si="25"/>
        <v>0.98823200000000355</v>
      </c>
      <c r="K49" s="78">
        <f t="shared" si="25"/>
        <v>24.651162999999997</v>
      </c>
      <c r="L49" s="77">
        <f t="shared" si="25"/>
        <v>1.6804419999999993</v>
      </c>
      <c r="M49" s="77">
        <f t="shared" si="25"/>
        <v>1.7019239999999982</v>
      </c>
      <c r="N49" s="77">
        <f t="shared" si="25"/>
        <v>-0.85868100000000425</v>
      </c>
      <c r="O49" s="77">
        <f t="shared" si="25"/>
        <v>0.99291999999999803</v>
      </c>
      <c r="P49" s="77">
        <f t="shared" si="25"/>
        <v>2.7361979999999946</v>
      </c>
      <c r="Q49" s="77">
        <f t="shared" si="25"/>
        <v>1.8070440000000048</v>
      </c>
      <c r="R49" s="78">
        <f t="shared" si="25"/>
        <v>32.711009999999987</v>
      </c>
      <c r="S49" t="s">
        <v>203</v>
      </c>
    </row>
    <row r="50" spans="2:22">
      <c r="B50" s="458" t="s">
        <v>195</v>
      </c>
      <c r="C50" s="458"/>
      <c r="D50" s="458"/>
      <c r="E50" s="77">
        <f>E30-E6</f>
        <v>-0.74491200000001356</v>
      </c>
      <c r="F50" s="77">
        <f t="shared" ref="F50:R50" si="26">F30-F6</f>
        <v>-5.7884999999998854E-2</v>
      </c>
      <c r="G50" s="77">
        <f t="shared" si="26"/>
        <v>-0.35540000000000305</v>
      </c>
      <c r="H50" s="77">
        <f t="shared" si="26"/>
        <v>-0.16505999999999688</v>
      </c>
      <c r="I50" s="77">
        <f t="shared" si="26"/>
        <v>-0.29574600000000117</v>
      </c>
      <c r="J50" s="77">
        <f t="shared" si="26"/>
        <v>-0.53680699999999604</v>
      </c>
      <c r="K50" s="78">
        <f t="shared" si="26"/>
        <v>-2.1558100000000096</v>
      </c>
      <c r="L50" s="77">
        <f t="shared" si="26"/>
        <v>-8.9407999999998822E-2</v>
      </c>
      <c r="M50" s="77">
        <f t="shared" si="26"/>
        <v>3.8879999999998915E-2</v>
      </c>
      <c r="N50" s="77">
        <f t="shared" si="26"/>
        <v>0.28161999999999665</v>
      </c>
      <c r="O50" s="77">
        <f t="shared" si="26"/>
        <v>0.4164299999999983</v>
      </c>
      <c r="P50" s="77">
        <f t="shared" si="26"/>
        <v>9.0943999999993252E-2</v>
      </c>
      <c r="Q50" s="77">
        <f t="shared" si="26"/>
        <v>0.1270590000000027</v>
      </c>
      <c r="R50" s="78">
        <f t="shared" si="26"/>
        <v>-1.2902850000000186</v>
      </c>
      <c r="S50" t="s">
        <v>204</v>
      </c>
    </row>
    <row r="51" spans="2:22">
      <c r="B51" s="458" t="s">
        <v>196</v>
      </c>
      <c r="C51" s="458"/>
      <c r="D51" s="458"/>
      <c r="E51" s="77">
        <f>E33-E9</f>
        <v>7.1880290000000002</v>
      </c>
      <c r="F51" s="77">
        <f t="shared" ref="F51:R51" si="27">F33-F9</f>
        <v>10.694875999999994</v>
      </c>
      <c r="G51" s="77">
        <f t="shared" si="27"/>
        <v>4.498578000000002</v>
      </c>
      <c r="H51" s="77">
        <f t="shared" si="27"/>
        <v>3.7661919999999967</v>
      </c>
      <c r="I51" s="77">
        <f t="shared" si="27"/>
        <v>-0.86574099999999987</v>
      </c>
      <c r="J51" s="77">
        <f t="shared" si="27"/>
        <v>1.5250389999999996</v>
      </c>
      <c r="K51" s="78">
        <f t="shared" si="27"/>
        <v>26.806973000000028</v>
      </c>
      <c r="L51" s="77">
        <f t="shared" si="27"/>
        <v>1.7698499999999981</v>
      </c>
      <c r="M51" s="77">
        <f t="shared" si="27"/>
        <v>1.6630439999999993</v>
      </c>
      <c r="N51" s="77">
        <f t="shared" si="27"/>
        <v>-1.1403010000000009</v>
      </c>
      <c r="O51" s="77">
        <f t="shared" si="27"/>
        <v>0.57648999999999972</v>
      </c>
      <c r="P51" s="77">
        <f t="shared" si="27"/>
        <v>2.6452540000000013</v>
      </c>
      <c r="Q51" s="77">
        <f t="shared" si="27"/>
        <v>1.6799850000000021</v>
      </c>
      <c r="R51" s="78">
        <f t="shared" si="27"/>
        <v>34.001295000000027</v>
      </c>
      <c r="S51" t="s">
        <v>203</v>
      </c>
    </row>
    <row r="53" spans="2:22" ht="13.5" thickBot="1">
      <c r="S53">
        <v>2013</v>
      </c>
    </row>
    <row r="54" spans="2:22">
      <c r="B54" s="79" t="s">
        <v>205</v>
      </c>
      <c r="C54" s="463" t="s">
        <v>198</v>
      </c>
      <c r="D54" s="464"/>
      <c r="E54" s="80">
        <f>E56-E55</f>
        <v>70.934271999999993</v>
      </c>
      <c r="F54" s="80">
        <f t="shared" ref="F54:Q54" si="28">F56-F55</f>
        <v>64.848496999999995</v>
      </c>
      <c r="G54" s="80">
        <f t="shared" si="28"/>
        <v>58.856729999999999</v>
      </c>
      <c r="H54" s="80">
        <f t="shared" si="28"/>
        <v>49.002839000000002</v>
      </c>
      <c r="I54" s="80">
        <f t="shared" si="28"/>
        <v>38.666155000000003</v>
      </c>
      <c r="J54" s="80">
        <f t="shared" si="28"/>
        <v>34.297719000000001</v>
      </c>
      <c r="K54" s="81">
        <f t="shared" ref="K54:K60" si="29">SUM(E54:J54)</f>
        <v>316.60621200000003</v>
      </c>
      <c r="L54" s="80">
        <f t="shared" si="28"/>
        <v>34.111286</v>
      </c>
      <c r="M54" s="80">
        <f>M56-M55</f>
        <v>34.915523999999998</v>
      </c>
      <c r="N54" s="80">
        <f>N56-N55</f>
        <v>33.378754000000001</v>
      </c>
      <c r="O54" s="82">
        <v>43.760952000000003</v>
      </c>
      <c r="P54" s="83">
        <f t="shared" si="28"/>
        <v>52.850061000000004</v>
      </c>
      <c r="Q54" s="83">
        <f t="shared" si="28"/>
        <v>69.837034000000003</v>
      </c>
      <c r="R54" s="84">
        <f t="shared" ref="R54:R61" si="30">SUM(E54:Q54)-K54</f>
        <v>585.45982299999991</v>
      </c>
      <c r="S54" s="85">
        <f>R54*103%</f>
        <v>603.02361768999992</v>
      </c>
    </row>
    <row r="55" spans="2:22">
      <c r="B55" s="86"/>
      <c r="C55" s="465" t="s">
        <v>199</v>
      </c>
      <c r="D55" s="466"/>
      <c r="E55" s="87">
        <v>0.44606000000000001</v>
      </c>
      <c r="F55" s="87">
        <v>0.41003099999999998</v>
      </c>
      <c r="G55" s="87">
        <v>0.381046</v>
      </c>
      <c r="H55" s="87">
        <v>0.28673500000000002</v>
      </c>
      <c r="I55" s="87">
        <v>0.103787</v>
      </c>
      <c r="J55" s="87">
        <v>7.5915999999999997E-2</v>
      </c>
      <c r="K55" s="88">
        <f t="shared" si="29"/>
        <v>1.7035750000000001</v>
      </c>
      <c r="L55" s="87">
        <v>6.8247000000000002E-2</v>
      </c>
      <c r="M55" s="87">
        <v>6.8247000000000002E-2</v>
      </c>
      <c r="N55" s="87">
        <v>7.0139000000000007E-2</v>
      </c>
      <c r="O55" s="89">
        <v>8.9374999999999996E-2</v>
      </c>
      <c r="P55" s="90">
        <v>0.36947600000000003</v>
      </c>
      <c r="Q55" s="90">
        <v>0.41911900000000002</v>
      </c>
      <c r="R55" s="91">
        <f t="shared" si="30"/>
        <v>2.7881780000000003</v>
      </c>
      <c r="S55" s="92">
        <f>R55*103%</f>
        <v>2.8718233400000002</v>
      </c>
    </row>
    <row r="56" spans="2:22" ht="13.5" thickBot="1">
      <c r="B56" s="93"/>
      <c r="C56" s="467" t="s">
        <v>206</v>
      </c>
      <c r="D56" s="468"/>
      <c r="E56" s="94">
        <v>71.380331999999996</v>
      </c>
      <c r="F56" s="94">
        <v>65.258527999999998</v>
      </c>
      <c r="G56" s="94">
        <v>59.237775999999997</v>
      </c>
      <c r="H56" s="94">
        <v>49.289574000000002</v>
      </c>
      <c r="I56" s="94">
        <v>38.769942</v>
      </c>
      <c r="J56" s="94">
        <v>34.373635</v>
      </c>
      <c r="K56" s="94">
        <f t="shared" si="29"/>
        <v>318.30978699999997</v>
      </c>
      <c r="L56" s="94">
        <v>34.179532999999999</v>
      </c>
      <c r="M56" s="94">
        <v>34.983770999999997</v>
      </c>
      <c r="N56" s="94">
        <v>33.448892999999998</v>
      </c>
      <c r="O56" s="95">
        <f>SUM(O54:O55)</f>
        <v>43.850327</v>
      </c>
      <c r="P56" s="96">
        <v>53.219537000000003</v>
      </c>
      <c r="Q56" s="96">
        <v>70.256152999999998</v>
      </c>
      <c r="R56" s="97">
        <f t="shared" si="30"/>
        <v>588.24800100000016</v>
      </c>
      <c r="S56" s="92">
        <f>S54+S55</f>
        <v>605.89544102999992</v>
      </c>
    </row>
    <row r="57" spans="2:22" ht="13.5" thickBot="1">
      <c r="B57" s="98" t="s">
        <v>207</v>
      </c>
      <c r="C57" s="469" t="s">
        <v>198</v>
      </c>
      <c r="D57" s="470"/>
      <c r="E57" s="99">
        <v>0.28297</v>
      </c>
      <c r="F57" s="99">
        <v>0.25778800000000002</v>
      </c>
      <c r="G57" s="99">
        <v>0.19894100000000001</v>
      </c>
      <c r="H57" s="99">
        <v>0.15939700000000001</v>
      </c>
      <c r="I57" s="99">
        <v>0.105182</v>
      </c>
      <c r="J57" s="99">
        <v>7.2844000000000006E-2</v>
      </c>
      <c r="K57" s="100">
        <f t="shared" si="29"/>
        <v>1.0771220000000001</v>
      </c>
      <c r="L57" s="101">
        <v>5.9845000000000002E-2</v>
      </c>
      <c r="M57" s="99">
        <v>2.9561E-2</v>
      </c>
      <c r="N57" s="99">
        <v>6.5423999999999996E-2</v>
      </c>
      <c r="O57" s="102">
        <v>9.6984000000000001E-2</v>
      </c>
      <c r="P57" s="103">
        <v>0.17049400000000001</v>
      </c>
      <c r="Q57" s="103">
        <v>0.20174</v>
      </c>
      <c r="R57" s="104">
        <f t="shared" si="30"/>
        <v>1.7011700000000007</v>
      </c>
      <c r="S57" s="105">
        <v>1.85</v>
      </c>
    </row>
    <row r="58" spans="2:22" ht="13.5" thickBot="1">
      <c r="B58" s="98" t="s">
        <v>208</v>
      </c>
      <c r="C58" s="469" t="s">
        <v>198</v>
      </c>
      <c r="D58" s="470"/>
      <c r="E58" s="99">
        <v>3.9517679999999999</v>
      </c>
      <c r="F58" s="99">
        <v>3.4358759999999999</v>
      </c>
      <c r="G58" s="99">
        <v>3.25902</v>
      </c>
      <c r="H58" s="99">
        <v>2.8747199999999999</v>
      </c>
      <c r="I58" s="99">
        <v>2.561064</v>
      </c>
      <c r="J58" s="99">
        <v>2.4558599999999999</v>
      </c>
      <c r="K58" s="100">
        <f t="shared" si="29"/>
        <v>18.538308000000001</v>
      </c>
      <c r="L58" s="101">
        <v>2.8352759999999999</v>
      </c>
      <c r="M58" s="99">
        <v>3.1452119999999999</v>
      </c>
      <c r="N58" s="99">
        <v>2.9845799999999998</v>
      </c>
      <c r="O58" s="102">
        <v>2.920776</v>
      </c>
      <c r="P58" s="103">
        <v>3.145956</v>
      </c>
      <c r="Q58" s="103">
        <v>3.786432</v>
      </c>
      <c r="R58" s="104">
        <f t="shared" si="30"/>
        <v>37.356540000000003</v>
      </c>
      <c r="S58" s="105">
        <v>38.794400000000003</v>
      </c>
      <c r="T58">
        <v>40496.375</v>
      </c>
      <c r="V58">
        <f>S58/100*0.5</f>
        <v>0.19397200000000001</v>
      </c>
    </row>
    <row r="59" spans="2:22" ht="13.5" thickBot="1">
      <c r="B59" s="98" t="s">
        <v>209</v>
      </c>
      <c r="C59" s="469" t="s">
        <v>199</v>
      </c>
      <c r="D59" s="470"/>
      <c r="E59" s="99">
        <v>3.8240000000000003E-2</v>
      </c>
      <c r="F59" s="99">
        <v>3.8920000000000003E-2</v>
      </c>
      <c r="G59" s="99">
        <v>3.9719999999999998E-2</v>
      </c>
      <c r="H59" s="99">
        <v>3.0040000000000001E-2</v>
      </c>
      <c r="I59" s="99">
        <v>6.0400000000000002E-3</v>
      </c>
      <c r="J59" s="99">
        <v>6.8000000000000005E-4</v>
      </c>
      <c r="K59" s="100">
        <f t="shared" si="29"/>
        <v>0.15364</v>
      </c>
      <c r="L59" s="101">
        <v>9.2000000000000003E-4</v>
      </c>
      <c r="M59" s="99">
        <v>5.1999999999999995E-4</v>
      </c>
      <c r="N59" s="99">
        <v>3.2000000000000003E-4</v>
      </c>
      <c r="O59" s="102">
        <v>1.332E-2</v>
      </c>
      <c r="P59" s="103">
        <v>3.1440000000000003E-2</v>
      </c>
      <c r="Q59" s="103">
        <v>3.9359999999999999E-2</v>
      </c>
      <c r="R59" s="104">
        <f t="shared" si="30"/>
        <v>0.23952000000000001</v>
      </c>
      <c r="S59" s="105">
        <v>0.23549999999999999</v>
      </c>
    </row>
    <row r="60" spans="2:22" ht="13.5" thickBot="1">
      <c r="B60" s="98" t="s">
        <v>165</v>
      </c>
      <c r="C60" s="469" t="s">
        <v>198</v>
      </c>
      <c r="D60" s="470"/>
      <c r="E60" s="99">
        <v>0.45586500000000002</v>
      </c>
      <c r="F60" s="99">
        <v>0.236376</v>
      </c>
      <c r="G60" s="99">
        <v>0.15917200000000001</v>
      </c>
      <c r="H60" s="99">
        <v>0.12638199999999999</v>
      </c>
      <c r="I60" s="99">
        <v>0.135573</v>
      </c>
      <c r="J60" s="99">
        <v>0.12936400000000001</v>
      </c>
      <c r="K60" s="100">
        <f t="shared" si="29"/>
        <v>1.2427319999999999</v>
      </c>
      <c r="L60" s="101">
        <v>0.122919</v>
      </c>
      <c r="M60" s="99">
        <v>0.13498199999999999</v>
      </c>
      <c r="N60" s="99">
        <v>0.13059399999999999</v>
      </c>
      <c r="O60" s="102">
        <v>0.13239999999999999</v>
      </c>
      <c r="P60" s="103">
        <v>0.39152799999999999</v>
      </c>
      <c r="Q60" s="103">
        <v>0.421435</v>
      </c>
      <c r="R60" s="104">
        <f t="shared" si="30"/>
        <v>2.5765899999999995</v>
      </c>
      <c r="S60" s="106">
        <v>2.9</v>
      </c>
    </row>
    <row r="61" spans="2:22" s="108" customFormat="1" ht="15.75">
      <c r="B61" s="193" t="s">
        <v>210</v>
      </c>
      <c r="C61" s="194"/>
      <c r="D61" s="194"/>
      <c r="E61" s="195">
        <f>E56+E57+E58+E59+E60</f>
        <v>76.109175000000008</v>
      </c>
      <c r="F61" s="195">
        <f t="shared" ref="F61:O61" si="31">F56+F57+F58+F59+F60</f>
        <v>69.227488000000008</v>
      </c>
      <c r="G61" s="195">
        <f t="shared" si="31"/>
        <v>62.894628999999995</v>
      </c>
      <c r="H61" s="195">
        <f t="shared" si="31"/>
        <v>52.480112999999996</v>
      </c>
      <c r="I61" s="195">
        <f t="shared" si="31"/>
        <v>41.577801000000001</v>
      </c>
      <c r="J61" s="195">
        <f t="shared" si="31"/>
        <v>37.03238300000001</v>
      </c>
      <c r="K61" s="195">
        <f t="shared" si="31"/>
        <v>339.32158899999996</v>
      </c>
      <c r="L61" s="195">
        <f t="shared" si="31"/>
        <v>37.198493000000006</v>
      </c>
      <c r="M61" s="195">
        <f t="shared" si="31"/>
        <v>38.294046000000002</v>
      </c>
      <c r="N61" s="195">
        <f t="shared" si="31"/>
        <v>36.629811000000004</v>
      </c>
      <c r="O61" s="195">
        <f t="shared" si="31"/>
        <v>47.013807</v>
      </c>
      <c r="P61" s="196">
        <f>P69</f>
        <v>62.745354916929607</v>
      </c>
      <c r="Q61" s="196">
        <f>Q69</f>
        <v>80.421653088690874</v>
      </c>
      <c r="R61" s="203">
        <f t="shared" si="30"/>
        <v>641.62475400562062</v>
      </c>
      <c r="S61" s="204" t="s">
        <v>212</v>
      </c>
      <c r="T61" s="200"/>
      <c r="U61" s="201">
        <f>R61*103%</f>
        <v>660.87349662578924</v>
      </c>
      <c r="V61" s="202" t="s">
        <v>174</v>
      </c>
    </row>
    <row r="62" spans="2:22" ht="15.75" thickBot="1">
      <c r="B62" s="107" t="s">
        <v>211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  <c r="P62" s="52"/>
      <c r="Q62" s="52"/>
    </row>
    <row r="63" spans="2:22" ht="13.5" thickBot="1">
      <c r="B63" s="98" t="s">
        <v>207</v>
      </c>
      <c r="C63" s="469" t="s">
        <v>198</v>
      </c>
      <c r="D63" s="470"/>
      <c r="E63" s="99">
        <f>C76/1000000</f>
        <v>2.0634980000000001</v>
      </c>
      <c r="F63" s="99">
        <f t="shared" ref="F63:Q63" si="32">D76/1000000</f>
        <v>1.9438390000000001</v>
      </c>
      <c r="G63" s="99">
        <f t="shared" si="32"/>
        <v>1.498764</v>
      </c>
      <c r="H63" s="99">
        <f t="shared" si="32"/>
        <v>1.571197</v>
      </c>
      <c r="I63" s="99">
        <f t="shared" si="32"/>
        <v>1.07596</v>
      </c>
      <c r="J63" s="99">
        <f t="shared" si="32"/>
        <v>0.89492000000000005</v>
      </c>
      <c r="K63" s="100">
        <f>SUM(E63:J63)</f>
        <v>9.0481780000000001</v>
      </c>
      <c r="L63" s="101">
        <f t="shared" si="32"/>
        <v>0.73278200000000004</v>
      </c>
      <c r="M63" s="99">
        <f t="shared" si="32"/>
        <v>0</v>
      </c>
      <c r="N63" s="99">
        <f t="shared" si="32"/>
        <v>1.449033</v>
      </c>
      <c r="O63" s="109">
        <v>1.4855299999999971</v>
      </c>
      <c r="P63" s="103">
        <f t="shared" si="32"/>
        <v>1.747036</v>
      </c>
      <c r="Q63" s="103">
        <f t="shared" si="32"/>
        <v>1.782756</v>
      </c>
      <c r="R63" s="104">
        <f>SUM(E63:Q63)-K63</f>
        <v>16.245314999999998</v>
      </c>
      <c r="S63" s="105">
        <v>17</v>
      </c>
    </row>
    <row r="64" spans="2:22" s="53" customFormat="1" ht="13.5" thickBot="1">
      <c r="B64" s="197" t="s">
        <v>233</v>
      </c>
      <c r="C64" s="471"/>
      <c r="D64" s="472"/>
      <c r="E64" s="100">
        <f>E61-E63</f>
        <v>74.045677000000012</v>
      </c>
      <c r="F64" s="100">
        <f t="shared" ref="F64:O64" si="33">F61-F63</f>
        <v>67.283649000000011</v>
      </c>
      <c r="G64" s="100">
        <f t="shared" si="33"/>
        <v>61.395864999999993</v>
      </c>
      <c r="H64" s="100">
        <f t="shared" si="33"/>
        <v>50.908915999999998</v>
      </c>
      <c r="I64" s="100">
        <f t="shared" si="33"/>
        <v>40.501840999999999</v>
      </c>
      <c r="J64" s="100">
        <f t="shared" si="33"/>
        <v>36.137463000000011</v>
      </c>
      <c r="K64" s="100">
        <f t="shared" si="33"/>
        <v>330.27341099999995</v>
      </c>
      <c r="L64" s="198">
        <f t="shared" si="33"/>
        <v>36.465711000000006</v>
      </c>
      <c r="M64" s="100">
        <f t="shared" si="33"/>
        <v>38.294046000000002</v>
      </c>
      <c r="N64" s="100">
        <f t="shared" si="33"/>
        <v>35.180778000000004</v>
      </c>
      <c r="O64" s="100">
        <f t="shared" si="33"/>
        <v>45.528277000000003</v>
      </c>
      <c r="P64" s="199">
        <f>P33</f>
        <v>57.857173000000003</v>
      </c>
      <c r="Q64" s="199">
        <f>Q33</f>
        <v>74.602349000000004</v>
      </c>
      <c r="R64" s="104">
        <f>SUM(E64:Q64)-K64</f>
        <v>618.20174500000007</v>
      </c>
      <c r="S64" s="105"/>
    </row>
    <row r="66" spans="1:19">
      <c r="E66" s="51">
        <f>E27-E3</f>
        <v>6.4431169999999867</v>
      </c>
      <c r="F66">
        <f t="shared" ref="F66:Q66" si="34">F27-F3</f>
        <v>10.636990999999995</v>
      </c>
      <c r="G66">
        <f t="shared" si="34"/>
        <v>4.1431779999999989</v>
      </c>
      <c r="H66">
        <f t="shared" si="34"/>
        <v>3.6011319999999998</v>
      </c>
      <c r="I66">
        <f t="shared" si="34"/>
        <v>-1.161487000000001</v>
      </c>
      <c r="J66">
        <f t="shared" si="34"/>
        <v>0.98823200000000355</v>
      </c>
      <c r="L66">
        <f t="shared" si="34"/>
        <v>1.6804419999999993</v>
      </c>
      <c r="M66">
        <f t="shared" si="34"/>
        <v>1.7019239999999982</v>
      </c>
      <c r="N66">
        <f t="shared" si="34"/>
        <v>-0.85868100000000425</v>
      </c>
      <c r="O66" s="54">
        <f t="shared" si="34"/>
        <v>0.99291999999999803</v>
      </c>
      <c r="P66" s="54">
        <f t="shared" si="34"/>
        <v>2.7361979999999946</v>
      </c>
      <c r="Q66" s="54">
        <f t="shared" si="34"/>
        <v>1.8070440000000048</v>
      </c>
    </row>
    <row r="67" spans="1:19">
      <c r="E67" s="60">
        <f>E66/E3</f>
        <v>9.2485741047670392E-2</v>
      </c>
      <c r="F67" s="60">
        <f t="shared" ref="F67:O67" si="35">F66/F3</f>
        <v>0.18154805889426054</v>
      </c>
      <c r="G67" s="60">
        <f t="shared" si="35"/>
        <v>7.0520437018653362E-2</v>
      </c>
      <c r="H67" s="60">
        <f t="shared" si="35"/>
        <v>7.3674449146147292E-2</v>
      </c>
      <c r="I67" s="60">
        <f t="shared" si="35"/>
        <v>-2.7176096148349524E-2</v>
      </c>
      <c r="J67" s="60">
        <f t="shared" si="35"/>
        <v>2.7417263899488259E-2</v>
      </c>
      <c r="K67" s="60"/>
      <c r="L67" s="60">
        <f t="shared" si="35"/>
        <v>4.7312337042367536E-2</v>
      </c>
      <c r="M67" s="60">
        <f t="shared" si="35"/>
        <v>4.6510666968152273E-2</v>
      </c>
      <c r="N67" s="60">
        <f t="shared" si="35"/>
        <v>-2.2905216639142301E-2</v>
      </c>
      <c r="O67" s="110">
        <f t="shared" si="35"/>
        <v>2.1575437620655863E-2</v>
      </c>
    </row>
    <row r="68" spans="1:19">
      <c r="N68" s="111">
        <f>SUM(E67:N67)/9</f>
        <v>5.4376404581027528E-2</v>
      </c>
      <c r="O68" s="112">
        <f>SUM(E67:O67)/10</f>
        <v>5.1096307884990366E-2</v>
      </c>
    </row>
    <row r="69" spans="1:19">
      <c r="N69" s="51">
        <f>SUM(E27:O27)-K27</f>
        <v>498.45766500000002</v>
      </c>
      <c r="O69" s="113"/>
      <c r="P69" s="113">
        <f>P27*$O$68+P27</f>
        <v>62.745354916929607</v>
      </c>
      <c r="Q69" s="113">
        <f>Q27*$O$68+Q27</f>
        <v>80.421653088690874</v>
      </c>
      <c r="R69" s="114">
        <f>SUM(N69:Q69)</f>
        <v>641.62467300562048</v>
      </c>
      <c r="S69" t="s">
        <v>212</v>
      </c>
    </row>
    <row r="70" spans="1:19">
      <c r="K70" s="60"/>
      <c r="R70" s="115">
        <f>R69*103%</f>
        <v>660.87341319578911</v>
      </c>
      <c r="S70" s="116">
        <v>2013</v>
      </c>
    </row>
    <row r="71" spans="1:19" hidden="1">
      <c r="I71" s="60">
        <f>H73/H72</f>
        <v>1.0567997698430902</v>
      </c>
      <c r="J71" s="60">
        <v>1.0567997698430902</v>
      </c>
      <c r="K71" s="60"/>
    </row>
    <row r="72" spans="1:19" hidden="1">
      <c r="E72" s="117">
        <v>329355942</v>
      </c>
      <c r="F72" s="117">
        <v>34077250</v>
      </c>
      <c r="G72" s="117">
        <v>34865517</v>
      </c>
      <c r="H72" s="118">
        <f>SUM(E72:G72)</f>
        <v>398298709</v>
      </c>
    </row>
    <row r="73" spans="1:19" hidden="1">
      <c r="H73" s="118">
        <f>(SUM(E56:N56)-K56)*1000000</f>
        <v>420921984</v>
      </c>
      <c r="I73" s="117">
        <f>O56*I71*1000000</f>
        <v>46341015.481144249</v>
      </c>
      <c r="J73" s="117">
        <f>P56*J71*1000000</f>
        <v>56242394.452755824</v>
      </c>
      <c r="K73" s="117"/>
      <c r="L73" s="118">
        <f>SUM(H73:K73)</f>
        <v>523505393.93390006</v>
      </c>
      <c r="M73" t="s">
        <v>213</v>
      </c>
      <c r="O73" s="119">
        <f>L73*103%</f>
        <v>539210555.75191712</v>
      </c>
    </row>
    <row r="74" spans="1:19" hidden="1"/>
    <row r="75" spans="1:19" hidden="1"/>
    <row r="76" spans="1:19" hidden="1">
      <c r="A76" t="s">
        <v>214</v>
      </c>
      <c r="C76">
        <v>2063498</v>
      </c>
      <c r="D76">
        <v>1943839</v>
      </c>
      <c r="E76">
        <v>1498764</v>
      </c>
      <c r="F76">
        <v>1571197</v>
      </c>
      <c r="G76">
        <v>1075960</v>
      </c>
      <c r="H76">
        <v>894920</v>
      </c>
      <c r="I76">
        <f>C76+D76+E76+F76+G76+H76</f>
        <v>9048178</v>
      </c>
      <c r="J76">
        <v>732782</v>
      </c>
      <c r="L76">
        <v>1449033</v>
      </c>
      <c r="M76">
        <v>1069100</v>
      </c>
      <c r="N76">
        <v>1747036</v>
      </c>
      <c r="O76" s="54">
        <v>1782756</v>
      </c>
      <c r="P76" s="54">
        <f>SUM(C76:O76)-I76</f>
        <v>15828885</v>
      </c>
      <c r="Q76" s="54">
        <v>17100000</v>
      </c>
    </row>
    <row r="80" spans="1:19">
      <c r="B80" s="473" t="s">
        <v>215</v>
      </c>
      <c r="C80" s="474"/>
      <c r="D80" s="477" t="s">
        <v>216</v>
      </c>
      <c r="E80" s="478"/>
      <c r="F80" s="482" t="s">
        <v>189</v>
      </c>
      <c r="G80" s="482"/>
    </row>
    <row r="81" spans="2:22" ht="25.5">
      <c r="B81" s="475"/>
      <c r="C81" s="476"/>
      <c r="D81" s="120" t="s">
        <v>217</v>
      </c>
      <c r="E81" s="121" t="s">
        <v>218</v>
      </c>
      <c r="F81" s="120" t="s">
        <v>217</v>
      </c>
      <c r="G81" s="121" t="s">
        <v>218</v>
      </c>
    </row>
    <row r="82" spans="2:22">
      <c r="B82" s="465" t="s">
        <v>219</v>
      </c>
      <c r="C82" s="466"/>
      <c r="D82" s="122">
        <v>1250000</v>
      </c>
      <c r="E82" s="123">
        <v>0.435</v>
      </c>
      <c r="F82" s="122">
        <v>2900000</v>
      </c>
      <c r="G82" s="123">
        <v>0.46400000000000002</v>
      </c>
    </row>
    <row r="83" spans="2:22">
      <c r="B83" s="465" t="s">
        <v>220</v>
      </c>
      <c r="C83" s="466"/>
      <c r="D83" s="122">
        <v>1112000</v>
      </c>
      <c r="E83" s="123">
        <v>0.33</v>
      </c>
      <c r="F83" s="122">
        <v>1850000</v>
      </c>
      <c r="G83" s="123">
        <v>0.317</v>
      </c>
      <c r="H83" s="124" t="s">
        <v>198</v>
      </c>
      <c r="I83" s="124">
        <f>F84*89%</f>
        <v>15130000</v>
      </c>
      <c r="J83" s="51">
        <f>G84*89%</f>
        <v>2.4475000000000002</v>
      </c>
      <c r="K83" s="51">
        <f>(E83+G83)/2</f>
        <v>0.32350000000000001</v>
      </c>
      <c r="L83" s="117">
        <f>(D83+F83)/1000</f>
        <v>2962</v>
      </c>
    </row>
    <row r="84" spans="2:22">
      <c r="B84" s="483" t="s">
        <v>221</v>
      </c>
      <c r="C84" s="484"/>
      <c r="D84" s="125">
        <v>9100000</v>
      </c>
      <c r="E84" s="126">
        <v>2.82</v>
      </c>
      <c r="F84" s="125">
        <v>17000000</v>
      </c>
      <c r="G84" s="126">
        <v>2.75</v>
      </c>
      <c r="H84" s="124" t="s">
        <v>199</v>
      </c>
      <c r="I84" s="124">
        <f>F84*11%</f>
        <v>1870000</v>
      </c>
      <c r="J84" s="51">
        <f>G84*11%</f>
        <v>0.30249999999999999</v>
      </c>
      <c r="L84">
        <f>L83/K83</f>
        <v>9156.1051004636774</v>
      </c>
    </row>
    <row r="85" spans="2:22">
      <c r="B85" s="465" t="s">
        <v>222</v>
      </c>
      <c r="C85" s="466"/>
      <c r="D85" s="122">
        <v>21575900</v>
      </c>
      <c r="E85" s="123">
        <v>7.11</v>
      </c>
      <c r="F85" s="122">
        <v>42305800</v>
      </c>
      <c r="G85" s="123">
        <v>7.11</v>
      </c>
    </row>
    <row r="86" spans="2:22">
      <c r="B86" s="465" t="s">
        <v>223</v>
      </c>
      <c r="C86" s="466"/>
      <c r="D86" s="122">
        <v>134000</v>
      </c>
      <c r="E86" s="123">
        <v>3.9E-2</v>
      </c>
      <c r="F86" s="122">
        <v>235000</v>
      </c>
      <c r="G86" s="123">
        <v>3.9E-2</v>
      </c>
    </row>
    <row r="87" spans="2:22">
      <c r="E87">
        <f>D83/1000/E83</f>
        <v>3369.6969696969695</v>
      </c>
      <c r="G87">
        <f>F83/1000/G83</f>
        <v>5835.9621451104103</v>
      </c>
    </row>
    <row r="90" spans="2:22" ht="14.25">
      <c r="B90" s="127" t="s">
        <v>175</v>
      </c>
      <c r="C90" s="128">
        <v>117.49</v>
      </c>
      <c r="D90" s="128">
        <v>19.196666666666669</v>
      </c>
      <c r="E90" s="128">
        <v>88.693000000000012</v>
      </c>
      <c r="F90" s="129">
        <v>2.75</v>
      </c>
    </row>
    <row r="91" spans="2:22" ht="13.5" thickBot="1"/>
    <row r="92" spans="2:22" ht="48.75" customHeight="1">
      <c r="B92" s="479" t="s">
        <v>234</v>
      </c>
      <c r="C92" s="130" t="s">
        <v>224</v>
      </c>
      <c r="D92" s="131" t="s">
        <v>225</v>
      </c>
      <c r="E92" s="132">
        <v>131.49</v>
      </c>
      <c r="F92" s="132">
        <v>123.54</v>
      </c>
      <c r="G92" s="132">
        <v>135.25</v>
      </c>
      <c r="H92" s="132">
        <v>16.64</v>
      </c>
      <c r="I92" s="132">
        <v>15.11</v>
      </c>
      <c r="J92" s="132">
        <v>13.26</v>
      </c>
      <c r="K92" s="132">
        <v>9.01</v>
      </c>
      <c r="L92" s="132">
        <v>6.57</v>
      </c>
      <c r="M92" s="132">
        <v>4.9000000000000004</v>
      </c>
      <c r="N92" s="132">
        <v>4.7300000000000004</v>
      </c>
      <c r="O92" s="132">
        <v>4.32</v>
      </c>
      <c r="P92" s="132">
        <v>4.7300000000000004</v>
      </c>
      <c r="Q92" s="132">
        <v>9.07</v>
      </c>
      <c r="R92" s="132">
        <v>12.32</v>
      </c>
      <c r="S92" s="132">
        <v>16.829999999999998</v>
      </c>
      <c r="T92" s="133">
        <f>SUM(H92:S92)</f>
        <v>117.49</v>
      </c>
    </row>
    <row r="93" spans="2:22" ht="48.75" customHeight="1">
      <c r="B93" s="480"/>
      <c r="C93" s="134" t="s">
        <v>226</v>
      </c>
      <c r="D93" s="135" t="s">
        <v>227</v>
      </c>
      <c r="E93" s="136">
        <v>21.44</v>
      </c>
      <c r="F93" s="136">
        <v>20.149999999999999</v>
      </c>
      <c r="G93" s="136">
        <v>22.06</v>
      </c>
      <c r="H93" s="136">
        <v>31.93</v>
      </c>
      <c r="I93" s="136">
        <v>32.08</v>
      </c>
      <c r="J93" s="136">
        <v>25.42</v>
      </c>
      <c r="K93" s="136">
        <v>17.86</v>
      </c>
      <c r="L93" s="136">
        <v>12.59</v>
      </c>
      <c r="M93" s="136">
        <v>9.7100000000000009</v>
      </c>
      <c r="N93" s="136">
        <v>9.06</v>
      </c>
      <c r="O93" s="136">
        <v>8.2799999999999994</v>
      </c>
      <c r="P93" s="136">
        <v>9.36</v>
      </c>
      <c r="Q93" s="136">
        <v>17.39</v>
      </c>
      <c r="R93" s="136">
        <v>24.42</v>
      </c>
      <c r="S93" s="136">
        <v>32.26</v>
      </c>
      <c r="T93" s="137">
        <f>SUM(H93:S93)/12</f>
        <v>19.196666666666669</v>
      </c>
    </row>
    <row r="94" spans="2:22" ht="48.75" customHeight="1">
      <c r="B94" s="480"/>
      <c r="C94" s="134" t="s">
        <v>228</v>
      </c>
      <c r="D94" s="135" t="s">
        <v>227</v>
      </c>
      <c r="E94" s="136">
        <v>73.760000000000005</v>
      </c>
      <c r="F94" s="136">
        <v>77.680000000000007</v>
      </c>
      <c r="G94" s="136">
        <v>75.87</v>
      </c>
      <c r="H94" s="136">
        <v>107.56</v>
      </c>
      <c r="I94" s="136">
        <v>98.04</v>
      </c>
      <c r="J94" s="136">
        <v>92.429999999999993</v>
      </c>
      <c r="K94" s="136">
        <v>83.66</v>
      </c>
      <c r="L94" s="136">
        <v>73.7</v>
      </c>
      <c r="M94" s="136">
        <v>65.789999999999992</v>
      </c>
      <c r="N94" s="136">
        <v>60.069999999999993</v>
      </c>
      <c r="O94" s="136">
        <v>62.94</v>
      </c>
      <c r="P94" s="136">
        <v>66.03</v>
      </c>
      <c r="Q94" s="136">
        <v>72.179999999999993</v>
      </c>
      <c r="R94" s="136">
        <v>90.16</v>
      </c>
      <c r="S94" s="136">
        <v>109.06</v>
      </c>
      <c r="T94" s="137">
        <f>SUM(H94:S94)/12</f>
        <v>81.801666666666662</v>
      </c>
    </row>
    <row r="95" spans="2:22" ht="48.75" customHeight="1">
      <c r="B95" s="480"/>
      <c r="C95" s="134" t="s">
        <v>229</v>
      </c>
      <c r="D95" s="135" t="s">
        <v>230</v>
      </c>
      <c r="E95" s="136">
        <v>266.2</v>
      </c>
      <c r="F95" s="136">
        <v>266.2</v>
      </c>
      <c r="G95" s="136">
        <v>273.60000000000002</v>
      </c>
      <c r="H95" s="136">
        <v>377.86</v>
      </c>
      <c r="I95" s="136">
        <v>352.51</v>
      </c>
      <c r="J95" s="136">
        <v>319.24</v>
      </c>
      <c r="K95" s="136">
        <v>275.01</v>
      </c>
      <c r="L95" s="136">
        <v>233.77</v>
      </c>
      <c r="M95" s="136">
        <v>204.54</v>
      </c>
      <c r="N95" s="136">
        <v>187.26</v>
      </c>
      <c r="O95" s="136">
        <v>192.92</v>
      </c>
      <c r="P95" s="136">
        <v>204.23</v>
      </c>
      <c r="Q95" s="136">
        <v>242.63</v>
      </c>
      <c r="R95" s="136">
        <v>310.41000000000003</v>
      </c>
      <c r="S95" s="136">
        <v>382.82</v>
      </c>
      <c r="T95" s="137">
        <f>MAX(H95:S95)</f>
        <v>382.82</v>
      </c>
    </row>
    <row r="96" spans="2:22" ht="48.75" customHeight="1">
      <c r="B96" s="480"/>
      <c r="C96" s="138" t="s">
        <v>231</v>
      </c>
      <c r="D96" s="139" t="s">
        <v>225</v>
      </c>
      <c r="E96" s="136">
        <v>583.88</v>
      </c>
      <c r="F96" s="136">
        <v>599.87699999999995</v>
      </c>
      <c r="G96" s="136">
        <v>600.53300000000002</v>
      </c>
      <c r="H96" s="136">
        <v>72.75</v>
      </c>
      <c r="I96" s="136">
        <v>61.3</v>
      </c>
      <c r="J96" s="136">
        <v>61.46</v>
      </c>
      <c r="K96" s="136">
        <v>51.24</v>
      </c>
      <c r="L96" s="136">
        <v>45</v>
      </c>
      <c r="M96" s="136">
        <v>38.11</v>
      </c>
      <c r="N96" s="136">
        <v>36.049999999999997</v>
      </c>
      <c r="O96" s="136">
        <v>37.14</v>
      </c>
      <c r="P96" s="136">
        <v>38.049999999999997</v>
      </c>
      <c r="Q96" s="136">
        <v>46.71</v>
      </c>
      <c r="R96" s="136">
        <v>57.83</v>
      </c>
      <c r="S96" s="136">
        <v>73.7</v>
      </c>
      <c r="T96" s="137">
        <f>SUM(H96:S96)</f>
        <v>619.34</v>
      </c>
      <c r="V96" s="140">
        <f>T92/T96</f>
        <v>0.18970194077566441</v>
      </c>
    </row>
    <row r="97" spans="2:20" ht="48.75" customHeight="1" thickBot="1">
      <c r="B97" s="481"/>
      <c r="C97" s="141" t="s">
        <v>232</v>
      </c>
      <c r="D97" s="142" t="s">
        <v>227</v>
      </c>
      <c r="E97" s="143">
        <v>95.2</v>
      </c>
      <c r="F97" s="143">
        <v>97.83</v>
      </c>
      <c r="G97" s="143">
        <v>97.93</v>
      </c>
      <c r="H97" s="143">
        <v>139.49</v>
      </c>
      <c r="I97" s="143">
        <v>130.12</v>
      </c>
      <c r="J97" s="143">
        <v>117.85</v>
      </c>
      <c r="K97" s="143">
        <v>101.52</v>
      </c>
      <c r="L97" s="143">
        <v>86.29</v>
      </c>
      <c r="M97" s="143">
        <v>75.5</v>
      </c>
      <c r="N97" s="143">
        <v>69.13</v>
      </c>
      <c r="O97" s="143">
        <v>71.22</v>
      </c>
      <c r="P97" s="143">
        <v>75.39</v>
      </c>
      <c r="Q97" s="143">
        <v>89.57</v>
      </c>
      <c r="R97" s="143">
        <v>114.58</v>
      </c>
      <c r="S97" s="143">
        <v>141.32</v>
      </c>
      <c r="T97" s="144">
        <f>SUM(H97:S97)/12</f>
        <v>100.99833333333332</v>
      </c>
    </row>
  </sheetData>
  <mergeCells count="60">
    <mergeCell ref="B92:B97"/>
    <mergeCell ref="F80:G80"/>
    <mergeCell ref="B82:C82"/>
    <mergeCell ref="B83:C83"/>
    <mergeCell ref="B84:C84"/>
    <mergeCell ref="B85:C85"/>
    <mergeCell ref="B86:C86"/>
    <mergeCell ref="C59:D59"/>
    <mergeCell ref="C60:D60"/>
    <mergeCell ref="C63:D63"/>
    <mergeCell ref="C64:D64"/>
    <mergeCell ref="B80:C81"/>
    <mergeCell ref="D80:E80"/>
    <mergeCell ref="C54:D54"/>
    <mergeCell ref="C55:D55"/>
    <mergeCell ref="C56:D56"/>
    <mergeCell ref="C57:D57"/>
    <mergeCell ref="C58:D58"/>
    <mergeCell ref="C43:C44"/>
    <mergeCell ref="C45:C46"/>
    <mergeCell ref="B49:D49"/>
    <mergeCell ref="B50:D50"/>
    <mergeCell ref="B51:D51"/>
    <mergeCell ref="A26:A46"/>
    <mergeCell ref="B26:B28"/>
    <mergeCell ref="C26:D26"/>
    <mergeCell ref="C27:D27"/>
    <mergeCell ref="B29:B31"/>
    <mergeCell ref="C29:D29"/>
    <mergeCell ref="C30:D30"/>
    <mergeCell ref="B32:B34"/>
    <mergeCell ref="C32:D32"/>
    <mergeCell ref="C33:D33"/>
    <mergeCell ref="B35:B40"/>
    <mergeCell ref="C35:C36"/>
    <mergeCell ref="C37:C38"/>
    <mergeCell ref="C39:C40"/>
    <mergeCell ref="B41:B46"/>
    <mergeCell ref="C41:C42"/>
    <mergeCell ref="C17:C18"/>
    <mergeCell ref="C19:C20"/>
    <mergeCell ref="C21:C22"/>
    <mergeCell ref="E24:N24"/>
    <mergeCell ref="A25:D25"/>
    <mergeCell ref="A1:D1"/>
    <mergeCell ref="A2:A22"/>
    <mergeCell ref="B2:B4"/>
    <mergeCell ref="C2:D2"/>
    <mergeCell ref="C3:D3"/>
    <mergeCell ref="B5:B7"/>
    <mergeCell ref="C5:D5"/>
    <mergeCell ref="C6:D6"/>
    <mergeCell ref="B8:B10"/>
    <mergeCell ref="C8:D8"/>
    <mergeCell ref="C9:D9"/>
    <mergeCell ref="B11:B16"/>
    <mergeCell ref="C11:C12"/>
    <mergeCell ref="C13:C14"/>
    <mergeCell ref="C15:C16"/>
    <mergeCell ref="B17:B22"/>
  </mergeCells>
  <dataValidations count="2">
    <dataValidation type="decimal" allowBlank="1" showInputMessage="1" showErrorMessage="1" error="Неверное значение. Допускается ввод только действительных числел!" sqref="E92:S97">
      <formula1>-1000000000000000</formula1>
      <formula2>1000000000000000</formula2>
    </dataValidation>
    <dataValidation type="decimal" allowBlank="1" showInputMessage="1" showErrorMessage="1" sqref="T92:T97">
      <formula1>-1000000000000000</formula1>
      <formula2>1000000000000000</formula2>
    </dataValidation>
  </dataValidations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AO198"/>
  <sheetViews>
    <sheetView view="pageBreakPreview" zoomScale="70" zoomScaleNormal="70" zoomScaleSheetLayoutView="70" workbookViewId="0">
      <selection activeCell="C20" sqref="C20"/>
    </sheetView>
  </sheetViews>
  <sheetFormatPr defaultRowHeight="15"/>
  <cols>
    <col min="1" max="1" width="12.140625" style="148" customWidth="1"/>
    <col min="2" max="2" width="50.140625" style="4" customWidth="1"/>
    <col min="3" max="3" width="18.42578125" style="205" customWidth="1"/>
    <col min="4" max="4" width="16.7109375" style="206" customWidth="1"/>
    <col min="5" max="5" width="14.42578125" style="145" customWidth="1"/>
    <col min="6" max="6" width="20" style="145" customWidth="1"/>
    <col min="7" max="8" width="14.42578125" style="145" customWidth="1"/>
    <col min="9" max="9" width="20.28515625" style="205" customWidth="1"/>
    <col min="10" max="10" width="15.5703125" style="206" customWidth="1"/>
    <col min="11" max="11" width="13.5703125" style="145" customWidth="1"/>
    <col min="12" max="12" width="16.85546875" style="148" hidden="1" customWidth="1"/>
    <col min="13" max="13" width="25.85546875" style="146" hidden="1" customWidth="1"/>
    <col min="14" max="14" width="21.28515625" style="146" hidden="1" customWidth="1"/>
    <col min="15" max="15" width="24.7109375" style="147" hidden="1" customWidth="1"/>
    <col min="16" max="16" width="11.5703125" style="147" hidden="1" customWidth="1"/>
    <col min="17" max="17" width="12.140625" style="147" hidden="1" customWidth="1"/>
    <col min="18" max="18" width="7.5703125" style="147" hidden="1" customWidth="1"/>
    <col min="19" max="19" width="29.85546875" style="147" hidden="1" customWidth="1"/>
    <col min="20" max="24" width="7.5703125" style="147" hidden="1" customWidth="1"/>
    <col min="25" max="25" width="20.5703125" style="147" customWidth="1"/>
    <col min="26" max="27" width="7.5703125" style="147" customWidth="1"/>
    <col min="28" max="28" width="16" style="207" customWidth="1"/>
    <col min="29" max="29" width="7.5703125" style="147" customWidth="1"/>
    <col min="30" max="30" width="22.140625" style="147" customWidth="1"/>
    <col min="31" max="41" width="7.5703125" style="147" customWidth="1"/>
    <col min="42" max="16384" width="9.140625" style="148"/>
  </cols>
  <sheetData>
    <row r="1" spans="1:41">
      <c r="A1" s="1"/>
      <c r="B1" s="2"/>
      <c r="L1" s="3" t="s">
        <v>0</v>
      </c>
    </row>
    <row r="2" spans="1:41" ht="19.5" customHeight="1">
      <c r="A2" s="1"/>
      <c r="B2" s="2"/>
      <c r="D2" s="206">
        <f>C9-C19-C20</f>
        <v>0</v>
      </c>
    </row>
    <row r="3" spans="1:41" s="5" customFormat="1" ht="24" customHeight="1">
      <c r="A3" s="485" t="s">
        <v>1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208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s="5" customFormat="1" ht="23.25" customHeight="1">
      <c r="A4" s="485" t="s">
        <v>2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208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s="5" customFormat="1" ht="21" customHeight="1">
      <c r="A5" s="8"/>
      <c r="B5" s="8"/>
      <c r="C5" s="8"/>
      <c r="D5" s="8"/>
      <c r="E5" s="8"/>
      <c r="F5" s="8"/>
      <c r="G5" s="8"/>
      <c r="H5" s="8"/>
      <c r="I5" s="486"/>
      <c r="J5" s="486"/>
      <c r="K5" s="486"/>
      <c r="L5" s="486"/>
      <c r="M5" s="6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08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12" customFormat="1" ht="24.75" customHeight="1">
      <c r="A6" s="487" t="s">
        <v>3</v>
      </c>
      <c r="B6" s="487" t="s">
        <v>4</v>
      </c>
      <c r="C6" s="488" t="s">
        <v>237</v>
      </c>
      <c r="D6" s="488"/>
      <c r="E6" s="488"/>
      <c r="F6" s="488" t="s">
        <v>238</v>
      </c>
      <c r="G6" s="488"/>
      <c r="H6" s="488"/>
      <c r="I6" s="488" t="s">
        <v>239</v>
      </c>
      <c r="J6" s="488"/>
      <c r="K6" s="488"/>
      <c r="L6" s="488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09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12" customFormat="1" ht="85.5" customHeight="1">
      <c r="A7" s="487"/>
      <c r="B7" s="487"/>
      <c r="C7" s="149" t="s">
        <v>5</v>
      </c>
      <c r="D7" s="150" t="s">
        <v>6</v>
      </c>
      <c r="E7" s="150" t="s">
        <v>7</v>
      </c>
      <c r="F7" s="150" t="s">
        <v>5</v>
      </c>
      <c r="G7" s="150" t="s">
        <v>6</v>
      </c>
      <c r="H7" s="150" t="s">
        <v>7</v>
      </c>
      <c r="I7" s="149" t="s">
        <v>5</v>
      </c>
      <c r="J7" s="150" t="s">
        <v>6</v>
      </c>
      <c r="K7" s="150" t="s">
        <v>7</v>
      </c>
      <c r="L7" s="9" t="s">
        <v>8</v>
      </c>
      <c r="M7" s="243">
        <f>I9-I19-I23</f>
        <v>527115</v>
      </c>
      <c r="N7" s="244">
        <f>M7*71%</f>
        <v>374251.64999999997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09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152" customFormat="1" ht="24.9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3</v>
      </c>
      <c r="G8" s="9">
        <v>4</v>
      </c>
      <c r="H8" s="9">
        <v>5</v>
      </c>
      <c r="I8" s="9">
        <v>3</v>
      </c>
      <c r="J8" s="9">
        <v>4</v>
      </c>
      <c r="K8" s="9">
        <v>5</v>
      </c>
      <c r="L8" s="9">
        <v>6</v>
      </c>
      <c r="M8" s="239">
        <f>M9-I18-I17-I16-I135</f>
        <v>626254.19999999995</v>
      </c>
      <c r="N8" s="151">
        <f>M8*29%</f>
        <v>181613.71799999996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210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</row>
    <row r="9" spans="1:41" s="159" customFormat="1" ht="37.5">
      <c r="A9" s="153" t="s">
        <v>9</v>
      </c>
      <c r="B9" s="154" t="s">
        <v>10</v>
      </c>
      <c r="C9" s="211">
        <f>C11+C12</f>
        <v>363959.99999999994</v>
      </c>
      <c r="D9" s="211">
        <f>D11+D12</f>
        <v>123.077</v>
      </c>
      <c r="E9" s="212">
        <v>287.42899999999997</v>
      </c>
      <c r="F9" s="212">
        <f>I9-C9</f>
        <v>310040.00000000006</v>
      </c>
      <c r="G9" s="212">
        <f>G11+G12</f>
        <v>104.845</v>
      </c>
      <c r="H9" s="212">
        <v>287.42899999999997</v>
      </c>
      <c r="I9" s="211">
        <f>I11+I12</f>
        <v>674000</v>
      </c>
      <c r="J9" s="211">
        <f>J11+J12</f>
        <v>113.96099999999998</v>
      </c>
      <c r="K9" s="212">
        <v>287.42899999999997</v>
      </c>
      <c r="L9" s="155"/>
      <c r="M9" s="156">
        <v>674000</v>
      </c>
      <c r="N9" s="156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>
        <f>C9/I9</f>
        <v>0.53999999999999992</v>
      </c>
      <c r="Z9" s="158">
        <f>I9/J9</f>
        <v>5914.3040162862744</v>
      </c>
      <c r="AA9" s="158"/>
      <c r="AB9" s="213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</row>
    <row r="10" spans="1:41" s="5" customFormat="1" ht="18.75">
      <c r="A10" s="160"/>
      <c r="B10" s="161" t="s">
        <v>11</v>
      </c>
      <c r="C10" s="214"/>
      <c r="D10" s="214"/>
      <c r="E10" s="215"/>
      <c r="F10" s="215"/>
      <c r="G10" s="215"/>
      <c r="H10" s="215"/>
      <c r="I10" s="214"/>
      <c r="J10" s="214"/>
      <c r="K10" s="215"/>
      <c r="L10" s="162"/>
      <c r="M10" s="163">
        <f>M9-M23</f>
        <v>654000</v>
      </c>
      <c r="N10" s="6" t="s">
        <v>236</v>
      </c>
      <c r="O10" s="164" t="s">
        <v>199</v>
      </c>
      <c r="P10" s="7"/>
      <c r="Q10" s="7"/>
      <c r="R10" s="7"/>
      <c r="S10" s="7"/>
      <c r="T10" s="7"/>
      <c r="U10" s="7"/>
      <c r="V10" s="7"/>
      <c r="W10" s="7"/>
      <c r="X10" s="7"/>
      <c r="Y10" s="7">
        <v>672180.00007863995</v>
      </c>
      <c r="Z10" s="7"/>
      <c r="AA10" s="7"/>
      <c r="AB10" s="208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5" customFormat="1" ht="18.75">
      <c r="A11" s="160" t="s">
        <v>12</v>
      </c>
      <c r="B11" s="161" t="s">
        <v>13</v>
      </c>
      <c r="C11" s="214"/>
      <c r="D11" s="214"/>
      <c r="E11" s="215"/>
      <c r="F11" s="215"/>
      <c r="G11" s="215"/>
      <c r="H11" s="215"/>
      <c r="I11" s="214"/>
      <c r="J11" s="214"/>
      <c r="K11" s="215"/>
      <c r="L11" s="162"/>
      <c r="M11" s="163">
        <f>M9*18.9%</f>
        <v>127385.99999999999</v>
      </c>
      <c r="N11" s="163">
        <f>M11*31%</f>
        <v>39489.659999999996</v>
      </c>
      <c r="O11" s="164">
        <f>M11-N11</f>
        <v>87896.34</v>
      </c>
      <c r="P11" s="7">
        <f>O11/M11</f>
        <v>0.69000000000000006</v>
      </c>
      <c r="Q11" s="7"/>
      <c r="R11" s="7"/>
      <c r="S11" s="7"/>
      <c r="T11" s="7"/>
      <c r="U11" s="7"/>
      <c r="V11" s="7"/>
      <c r="W11" s="7"/>
      <c r="X11" s="7"/>
      <c r="Y11" s="248">
        <f>Y10/I9</f>
        <v>0.99729970338077145</v>
      </c>
      <c r="Z11" s="7"/>
      <c r="AA11" s="7"/>
      <c r="AB11" s="208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s="5" customFormat="1" ht="18.75">
      <c r="A12" s="160" t="s">
        <v>14</v>
      </c>
      <c r="B12" s="161" t="s">
        <v>15</v>
      </c>
      <c r="C12" s="214">
        <f>C14+C15+C16+C18+C17</f>
        <v>363959.99999999994</v>
      </c>
      <c r="D12" s="214">
        <f>D14+D15+D16+D18+D17</f>
        <v>123.077</v>
      </c>
      <c r="E12" s="215"/>
      <c r="F12" s="215">
        <f t="shared" ref="F12:F73" si="0">I12-C12</f>
        <v>310040.00000000006</v>
      </c>
      <c r="G12" s="215">
        <f>G14+G15+G16+G18+G17</f>
        <v>104.845</v>
      </c>
      <c r="H12" s="215"/>
      <c r="I12" s="214">
        <f>I14+I15+I16+I18+I17</f>
        <v>674000</v>
      </c>
      <c r="J12" s="214">
        <f>J14+J15+J16+J18+J17</f>
        <v>113.96099999999998</v>
      </c>
      <c r="K12" s="215"/>
      <c r="L12" s="162"/>
      <c r="M12" s="163">
        <f>M10-M11</f>
        <v>526614</v>
      </c>
      <c r="N12" s="163">
        <f>M12*29%</f>
        <v>152718.06</v>
      </c>
      <c r="O12" s="164">
        <f>M12-N12</f>
        <v>373895.94</v>
      </c>
      <c r="P12" s="7"/>
      <c r="Q12" s="7"/>
      <c r="R12" s="7"/>
      <c r="S12" s="7"/>
      <c r="T12" s="7"/>
      <c r="U12" s="7"/>
      <c r="V12" s="7"/>
      <c r="W12" s="7"/>
      <c r="X12" s="7"/>
      <c r="Y12" s="249">
        <f>100%-Y11</f>
        <v>2.7002966192285482E-3</v>
      </c>
      <c r="Z12" s="7"/>
      <c r="AA12" s="7"/>
      <c r="AB12" s="208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5" customFormat="1" ht="18.75">
      <c r="A13" s="160"/>
      <c r="B13" s="161" t="s">
        <v>11</v>
      </c>
      <c r="C13" s="214"/>
      <c r="D13" s="214"/>
      <c r="E13" s="215"/>
      <c r="F13" s="215"/>
      <c r="G13" s="215"/>
      <c r="H13" s="215"/>
      <c r="I13" s="214"/>
      <c r="J13" s="214"/>
      <c r="K13" s="215"/>
      <c r="L13" s="162"/>
      <c r="M13" s="6"/>
      <c r="N13" s="165">
        <f>SUM(N11:N12)</f>
        <v>192207.72</v>
      </c>
      <c r="O13" s="7">
        <f>SUM(O11:O12)</f>
        <v>461792.28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08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5" customFormat="1" ht="18.75">
      <c r="A14" s="160" t="s">
        <v>16</v>
      </c>
      <c r="B14" s="161" t="s">
        <v>17</v>
      </c>
      <c r="C14" s="214">
        <f>C108+C135</f>
        <v>339959.26799999998</v>
      </c>
      <c r="D14" s="214">
        <f>D108+D135</f>
        <v>115.03699999999999</v>
      </c>
      <c r="E14" s="215"/>
      <c r="F14" s="215">
        <f t="shared" si="0"/>
        <v>289594.93199999997</v>
      </c>
      <c r="G14" s="215">
        <f>G108+G135</f>
        <v>97.995000000000005</v>
      </c>
      <c r="H14" s="215"/>
      <c r="I14" s="214">
        <f>I108+I135</f>
        <v>629554.19999999995</v>
      </c>
      <c r="J14" s="214">
        <f>J108+J135</f>
        <v>106.51599999999999</v>
      </c>
      <c r="K14" s="215"/>
      <c r="L14" s="162"/>
      <c r="M14" s="6"/>
      <c r="N14" s="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08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5" customFormat="1" ht="18.75">
      <c r="A15" s="160" t="s">
        <v>18</v>
      </c>
      <c r="B15" s="161" t="s">
        <v>19</v>
      </c>
      <c r="C15" s="214">
        <f>C109</f>
        <v>0</v>
      </c>
      <c r="D15" s="214">
        <f>D109</f>
        <v>0</v>
      </c>
      <c r="E15" s="214"/>
      <c r="F15" s="214">
        <f t="shared" si="0"/>
        <v>0</v>
      </c>
      <c r="G15" s="214">
        <f>G109</f>
        <v>0</v>
      </c>
      <c r="H15" s="214"/>
      <c r="I15" s="214">
        <f>I109</f>
        <v>0</v>
      </c>
      <c r="J15" s="214">
        <f>J109</f>
        <v>0</v>
      </c>
      <c r="K15" s="214"/>
      <c r="L15" s="166"/>
      <c r="M15" s="163">
        <v>672.18</v>
      </c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0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5" customFormat="1" ht="18.75">
      <c r="A16" s="160" t="s">
        <v>20</v>
      </c>
      <c r="B16" s="161" t="s">
        <v>172</v>
      </c>
      <c r="C16" s="214">
        <f>C110+C136</f>
        <v>999.00000000000011</v>
      </c>
      <c r="D16" s="214">
        <f>D110+D136</f>
        <v>0.34200000000000003</v>
      </c>
      <c r="E16" s="214"/>
      <c r="F16" s="214">
        <f t="shared" si="0"/>
        <v>850.99999999999989</v>
      </c>
      <c r="G16" s="214">
        <f>G110+G136</f>
        <v>0.29199999999999998</v>
      </c>
      <c r="H16" s="214"/>
      <c r="I16" s="214">
        <f>I110+I136</f>
        <v>1850</v>
      </c>
      <c r="J16" s="214">
        <f>J110+J136</f>
        <v>0.317</v>
      </c>
      <c r="K16" s="214"/>
      <c r="L16" s="162"/>
      <c r="M16" s="6">
        <v>127.54</v>
      </c>
      <c r="N16" s="241">
        <f>M16/M15</f>
        <v>0.18974084322651674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0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5" customFormat="1" ht="18.75">
      <c r="A17" s="160" t="s">
        <v>21</v>
      </c>
      <c r="B17" s="161" t="s">
        <v>173</v>
      </c>
      <c r="C17" s="214">
        <f>C137</f>
        <v>156.60000000000002</v>
      </c>
      <c r="D17" s="214">
        <f>D137</f>
        <v>5.1999999999999998E-2</v>
      </c>
      <c r="E17" s="214"/>
      <c r="F17" s="214">
        <f t="shared" si="0"/>
        <v>133.39999999999998</v>
      </c>
      <c r="G17" s="214">
        <f>G137</f>
        <v>4.3999999999999997E-2</v>
      </c>
      <c r="H17" s="214"/>
      <c r="I17" s="214">
        <f>I137</f>
        <v>290</v>
      </c>
      <c r="J17" s="214">
        <f>J137</f>
        <v>4.8000000000000001E-2</v>
      </c>
      <c r="K17" s="214"/>
      <c r="L17" s="162"/>
      <c r="M17" s="6"/>
      <c r="N17" s="6"/>
      <c r="O17" s="23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08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5" customFormat="1" ht="18.75">
      <c r="A18" s="160" t="s">
        <v>22</v>
      </c>
      <c r="B18" s="161" t="s">
        <v>23</v>
      </c>
      <c r="C18" s="214">
        <f>C112</f>
        <v>22845.132000000001</v>
      </c>
      <c r="D18" s="214">
        <f>D112</f>
        <v>7.6459999999999999</v>
      </c>
      <c r="E18" s="214"/>
      <c r="F18" s="214">
        <f t="shared" si="0"/>
        <v>19460.668000000001</v>
      </c>
      <c r="G18" s="214">
        <f>G112</f>
        <v>6.5140000000000002</v>
      </c>
      <c r="H18" s="214"/>
      <c r="I18" s="214">
        <f>I112</f>
        <v>42305.8</v>
      </c>
      <c r="J18" s="214">
        <f>J112</f>
        <v>7.08</v>
      </c>
      <c r="K18" s="214"/>
      <c r="L18" s="162"/>
      <c r="M18" s="240">
        <f>I9*M19</f>
        <v>4487897967.4678192</v>
      </c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08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s="159" customFormat="1" ht="18.75">
      <c r="A19" s="153" t="s">
        <v>24</v>
      </c>
      <c r="B19" s="154" t="s">
        <v>25</v>
      </c>
      <c r="C19" s="211">
        <f>C113+C139</f>
        <v>69057.900000000009</v>
      </c>
      <c r="D19" s="211">
        <f>D113+D139</f>
        <v>20.741</v>
      </c>
      <c r="E19" s="217"/>
      <c r="F19" s="237">
        <f t="shared" si="0"/>
        <v>58827.099999999991</v>
      </c>
      <c r="G19" s="237">
        <f>G113+G139</f>
        <v>17.670999999999999</v>
      </c>
      <c r="H19" s="217"/>
      <c r="I19" s="211">
        <f>I113+I139</f>
        <v>127885</v>
      </c>
      <c r="J19" s="211">
        <f>J113+J139</f>
        <v>19.20598253899988</v>
      </c>
      <c r="K19" s="217"/>
      <c r="L19" s="155"/>
      <c r="M19" s="6">
        <f>I19/J19</f>
        <v>6658.6023256199105</v>
      </c>
      <c r="N19" s="232"/>
      <c r="O19" s="233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>
        <f>I19/I9</f>
        <v>0.18974035608308606</v>
      </c>
      <c r="AA19" s="158"/>
      <c r="AB19" s="213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</row>
    <row r="20" spans="1:41" s="159" customFormat="1" ht="37.5">
      <c r="A20" s="167" t="s">
        <v>26</v>
      </c>
      <c r="B20" s="154" t="s">
        <v>27</v>
      </c>
      <c r="C20" s="211">
        <f>C22+C23</f>
        <v>294902.10000000003</v>
      </c>
      <c r="D20" s="211">
        <f>D22+D23</f>
        <v>102.336</v>
      </c>
      <c r="E20" s="218"/>
      <c r="F20" s="218">
        <f t="shared" si="0"/>
        <v>251212.89999999997</v>
      </c>
      <c r="G20" s="237">
        <f>G22+G23</f>
        <v>87.173999999999992</v>
      </c>
      <c r="H20" s="218"/>
      <c r="I20" s="211">
        <f>I22+I23</f>
        <v>546115</v>
      </c>
      <c r="J20" s="211">
        <f>J22+J23</f>
        <v>94.754999999999995</v>
      </c>
      <c r="K20" s="218"/>
      <c r="L20" s="155"/>
      <c r="M20" s="231"/>
      <c r="N20" s="232"/>
      <c r="O20" s="233"/>
      <c r="P20" s="158"/>
      <c r="Q20" s="169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213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</row>
    <row r="21" spans="1:41" s="5" customFormat="1" ht="18.75">
      <c r="A21" s="160"/>
      <c r="B21" s="161" t="s">
        <v>28</v>
      </c>
      <c r="C21" s="211"/>
      <c r="D21" s="211"/>
      <c r="E21" s="219"/>
      <c r="F21" s="219">
        <f t="shared" si="0"/>
        <v>0</v>
      </c>
      <c r="G21" s="219"/>
      <c r="H21" s="219"/>
      <c r="I21" s="211"/>
      <c r="J21" s="211"/>
      <c r="K21" s="219"/>
      <c r="L21" s="162"/>
      <c r="M21" s="234"/>
      <c r="N21" s="234"/>
      <c r="O21" s="235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08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5" customFormat="1" ht="18.75">
      <c r="A22" s="160" t="s">
        <v>29</v>
      </c>
      <c r="B22" s="161" t="s">
        <v>30</v>
      </c>
      <c r="C22" s="214">
        <f>C116+C142</f>
        <v>284642.10000000003</v>
      </c>
      <c r="D22" s="214">
        <f>D116+D142</f>
        <v>99.003</v>
      </c>
      <c r="E22" s="219"/>
      <c r="F22" s="219">
        <f t="shared" si="0"/>
        <v>242472.89999999997</v>
      </c>
      <c r="G22" s="219">
        <f>G116+G142</f>
        <v>84.334999999999994</v>
      </c>
      <c r="H22" s="219"/>
      <c r="I22" s="214">
        <f>I116+I142</f>
        <v>527115</v>
      </c>
      <c r="J22" s="214">
        <f>J116+J142</f>
        <v>91.668999999999997</v>
      </c>
      <c r="K22" s="219"/>
      <c r="L22" s="162"/>
      <c r="M22" s="163"/>
      <c r="N22" s="6"/>
      <c r="O22" s="16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208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5" customFormat="1" ht="18.75">
      <c r="A23" s="160" t="s">
        <v>31</v>
      </c>
      <c r="B23" s="161" t="s">
        <v>32</v>
      </c>
      <c r="C23" s="214">
        <f>C29+C27</f>
        <v>10260.000000000002</v>
      </c>
      <c r="D23" s="214">
        <f>D29+D27</f>
        <v>3.3330000000000002</v>
      </c>
      <c r="E23" s="220"/>
      <c r="F23" s="220">
        <f t="shared" si="0"/>
        <v>8739.9999999999982</v>
      </c>
      <c r="G23" s="220">
        <f>G29+G27</f>
        <v>2.839</v>
      </c>
      <c r="H23" s="220"/>
      <c r="I23" s="214">
        <f>I29+I27</f>
        <v>19000</v>
      </c>
      <c r="J23" s="214">
        <f>J29+J27</f>
        <v>3.0860000000000003</v>
      </c>
      <c r="K23" s="220"/>
      <c r="L23" s="162"/>
      <c r="M23" s="163">
        <v>20000</v>
      </c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208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5" customFormat="1" ht="18.75">
      <c r="A24" s="160"/>
      <c r="B24" s="161" t="s">
        <v>28</v>
      </c>
      <c r="C24" s="214"/>
      <c r="D24" s="214"/>
      <c r="E24" s="219"/>
      <c r="F24" s="219"/>
      <c r="G24" s="219"/>
      <c r="H24" s="219"/>
      <c r="I24" s="214"/>
      <c r="J24" s="214"/>
      <c r="K24" s="219"/>
      <c r="L24" s="162"/>
      <c r="M24" s="163"/>
      <c r="N24" s="6"/>
      <c r="O24" s="164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208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5" customFormat="1" ht="18.75">
      <c r="A25" s="160" t="s">
        <v>33</v>
      </c>
      <c r="B25" s="161" t="s">
        <v>17</v>
      </c>
      <c r="C25" s="214"/>
      <c r="D25" s="214"/>
      <c r="E25" s="219"/>
      <c r="F25" s="219"/>
      <c r="G25" s="219"/>
      <c r="H25" s="219"/>
      <c r="I25" s="214"/>
      <c r="J25" s="214"/>
      <c r="K25" s="219"/>
      <c r="L25" s="162"/>
      <c r="M25" s="170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208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5" customFormat="1" ht="37.5">
      <c r="A26" s="171" t="s">
        <v>34</v>
      </c>
      <c r="B26" s="172" t="s">
        <v>35</v>
      </c>
      <c r="C26" s="214">
        <f>C25-C14</f>
        <v>-339959.26799999998</v>
      </c>
      <c r="D26" s="214">
        <f>D25-D14</f>
        <v>-115.03699999999999</v>
      </c>
      <c r="E26" s="219"/>
      <c r="F26" s="219">
        <f t="shared" si="0"/>
        <v>-289594.93199999997</v>
      </c>
      <c r="G26" s="219">
        <f>G25-G14</f>
        <v>-97.995000000000005</v>
      </c>
      <c r="H26" s="219"/>
      <c r="I26" s="214">
        <f>I25-I14</f>
        <v>-629554.19999999995</v>
      </c>
      <c r="J26" s="214">
        <f>J25-J14</f>
        <v>-106.51599999999999</v>
      </c>
      <c r="K26" s="219"/>
      <c r="L26" s="162"/>
      <c r="M26" s="163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208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5" customFormat="1" ht="18.75">
      <c r="A27" s="160" t="s">
        <v>36</v>
      </c>
      <c r="B27" s="161" t="s">
        <v>37</v>
      </c>
      <c r="C27" s="214"/>
      <c r="D27" s="214"/>
      <c r="E27" s="219"/>
      <c r="F27" s="219"/>
      <c r="G27" s="219"/>
      <c r="H27" s="219"/>
      <c r="I27" s="214"/>
      <c r="J27" s="214"/>
      <c r="K27" s="219"/>
      <c r="L27" s="162"/>
      <c r="M27" s="6"/>
      <c r="N27" s="173"/>
      <c r="O27" s="17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08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5" customFormat="1" ht="37.5">
      <c r="A28" s="171" t="s">
        <v>38</v>
      </c>
      <c r="B28" s="172" t="s">
        <v>39</v>
      </c>
      <c r="C28" s="214">
        <f>C27-C15</f>
        <v>0</v>
      </c>
      <c r="D28" s="214">
        <f>D27-D15</f>
        <v>0</v>
      </c>
      <c r="E28" s="219"/>
      <c r="F28" s="219">
        <f t="shared" si="0"/>
        <v>0</v>
      </c>
      <c r="G28" s="219">
        <f>G27-G15</f>
        <v>0</v>
      </c>
      <c r="H28" s="219"/>
      <c r="I28" s="214">
        <f>I27-I15</f>
        <v>0</v>
      </c>
      <c r="J28" s="214">
        <f>J27-J15</f>
        <v>0</v>
      </c>
      <c r="K28" s="219"/>
      <c r="L28" s="162"/>
      <c r="M28" s="6"/>
      <c r="N28" s="175"/>
      <c r="O28" s="17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08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5" customFormat="1" ht="18.75">
      <c r="A29" s="160" t="s">
        <v>40</v>
      </c>
      <c r="B29" s="161" t="s">
        <v>172</v>
      </c>
      <c r="C29" s="214">
        <f>C117+C143</f>
        <v>10260.000000000002</v>
      </c>
      <c r="D29" s="214">
        <f>D117+D143</f>
        <v>3.3330000000000002</v>
      </c>
      <c r="E29" s="219"/>
      <c r="F29" s="219">
        <f t="shared" si="0"/>
        <v>8739.9999999999982</v>
      </c>
      <c r="G29" s="219">
        <f>G117+G143</f>
        <v>2.839</v>
      </c>
      <c r="H29" s="219"/>
      <c r="I29" s="214">
        <f>I117+I143</f>
        <v>19000</v>
      </c>
      <c r="J29" s="214">
        <f>J117+J143</f>
        <v>3.0860000000000003</v>
      </c>
      <c r="K29" s="219"/>
      <c r="L29" s="162"/>
      <c r="M29" s="6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08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5" customFormat="1" ht="37.5">
      <c r="A30" s="171" t="s">
        <v>41</v>
      </c>
      <c r="B30" s="172" t="s">
        <v>42</v>
      </c>
      <c r="C30" s="214">
        <f>C29-C16</f>
        <v>9261.0000000000018</v>
      </c>
      <c r="D30" s="214">
        <f>D29-D16</f>
        <v>2.9910000000000001</v>
      </c>
      <c r="E30" s="219"/>
      <c r="F30" s="219">
        <f t="shared" si="0"/>
        <v>7888.9999999999982</v>
      </c>
      <c r="G30" s="219">
        <f>G29-G16</f>
        <v>2.5470000000000002</v>
      </c>
      <c r="H30" s="219"/>
      <c r="I30" s="214">
        <f>I29-I16</f>
        <v>17150</v>
      </c>
      <c r="J30" s="214">
        <f>J29-J16</f>
        <v>2.7690000000000001</v>
      </c>
      <c r="K30" s="219"/>
      <c r="L30" s="162"/>
      <c r="M30" s="6"/>
      <c r="N30" s="16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08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5" customFormat="1" ht="18.75">
      <c r="A31" s="171" t="s">
        <v>43</v>
      </c>
      <c r="B31" s="161" t="s">
        <v>23</v>
      </c>
      <c r="C31" s="214"/>
      <c r="D31" s="214"/>
      <c r="E31" s="219"/>
      <c r="F31" s="219">
        <f t="shared" si="0"/>
        <v>0</v>
      </c>
      <c r="G31" s="219"/>
      <c r="H31" s="219"/>
      <c r="I31" s="214"/>
      <c r="J31" s="214"/>
      <c r="K31" s="219"/>
      <c r="L31" s="162"/>
      <c r="M31" s="6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08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5" customFormat="1" ht="37.5">
      <c r="A32" s="171" t="s">
        <v>44</v>
      </c>
      <c r="B32" s="172" t="s">
        <v>235</v>
      </c>
      <c r="C32" s="214">
        <f>C31-C18</f>
        <v>-22845.132000000001</v>
      </c>
      <c r="D32" s="214">
        <f>D31-D18</f>
        <v>-7.6459999999999999</v>
      </c>
      <c r="E32" s="219"/>
      <c r="F32" s="219">
        <f t="shared" si="0"/>
        <v>-19460.668000000001</v>
      </c>
      <c r="G32" s="219">
        <f>G31-G18</f>
        <v>-6.5140000000000002</v>
      </c>
      <c r="H32" s="219"/>
      <c r="I32" s="214">
        <f>I31-I18</f>
        <v>-42305.8</v>
      </c>
      <c r="J32" s="214">
        <f>J31-J18</f>
        <v>-7.08</v>
      </c>
      <c r="K32" s="219"/>
      <c r="L32" s="162"/>
      <c r="M32" s="6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0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s="5" customFormat="1" ht="18.75">
      <c r="A33" s="171"/>
      <c r="B33" s="172" t="s">
        <v>45</v>
      </c>
      <c r="C33" s="214"/>
      <c r="D33" s="214"/>
      <c r="E33" s="219"/>
      <c r="F33" s="219"/>
      <c r="G33" s="219"/>
      <c r="H33" s="219"/>
      <c r="I33" s="214"/>
      <c r="J33" s="214"/>
      <c r="K33" s="219"/>
      <c r="L33" s="162"/>
      <c r="M33" s="6"/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20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s="159" customFormat="1" ht="18.75" hidden="1">
      <c r="A34" s="153" t="s">
        <v>46</v>
      </c>
      <c r="B34" s="154" t="s">
        <v>47</v>
      </c>
      <c r="C34" s="214"/>
      <c r="D34" s="214"/>
      <c r="E34" s="218"/>
      <c r="F34" s="218">
        <f t="shared" si="0"/>
        <v>0</v>
      </c>
      <c r="G34" s="218"/>
      <c r="H34" s="218"/>
      <c r="I34" s="214"/>
      <c r="J34" s="214"/>
      <c r="K34" s="218"/>
      <c r="L34" s="155"/>
      <c r="M34" s="168"/>
      <c r="N34" s="16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213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</row>
    <row r="35" spans="1:41" s="5" customFormat="1" ht="18.75" hidden="1">
      <c r="A35" s="160"/>
      <c r="B35" s="161" t="s">
        <v>11</v>
      </c>
      <c r="C35" s="214"/>
      <c r="D35" s="214"/>
      <c r="E35" s="219"/>
      <c r="F35" s="219">
        <f t="shared" si="0"/>
        <v>0</v>
      </c>
      <c r="G35" s="219"/>
      <c r="H35" s="219"/>
      <c r="I35" s="214"/>
      <c r="J35" s="214"/>
      <c r="K35" s="219"/>
      <c r="L35" s="162"/>
      <c r="M35" s="6"/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208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5" customFormat="1" ht="18.75" hidden="1">
      <c r="A36" s="160" t="s">
        <v>48</v>
      </c>
      <c r="B36" s="161" t="s">
        <v>49</v>
      </c>
      <c r="C36" s="214"/>
      <c r="D36" s="214"/>
      <c r="E36" s="219"/>
      <c r="F36" s="219">
        <f t="shared" si="0"/>
        <v>0</v>
      </c>
      <c r="G36" s="219"/>
      <c r="H36" s="219"/>
      <c r="I36" s="214"/>
      <c r="J36" s="214"/>
      <c r="K36" s="219"/>
      <c r="L36" s="162"/>
      <c r="M36" s="6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20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5" customFormat="1" ht="18.75" hidden="1">
      <c r="A37" s="160" t="s">
        <v>50</v>
      </c>
      <c r="B37" s="161" t="s">
        <v>15</v>
      </c>
      <c r="C37" s="214"/>
      <c r="D37" s="214"/>
      <c r="E37" s="219"/>
      <c r="F37" s="219">
        <f t="shared" si="0"/>
        <v>0</v>
      </c>
      <c r="G37" s="219"/>
      <c r="H37" s="219"/>
      <c r="I37" s="214"/>
      <c r="J37" s="214"/>
      <c r="K37" s="219"/>
      <c r="L37" s="162"/>
      <c r="M37" s="6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208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5" customFormat="1" ht="18.75" hidden="1">
      <c r="A38" s="160"/>
      <c r="B38" s="161" t="s">
        <v>11</v>
      </c>
      <c r="C38" s="214"/>
      <c r="D38" s="214"/>
      <c r="E38" s="219"/>
      <c r="F38" s="219">
        <f t="shared" si="0"/>
        <v>0</v>
      </c>
      <c r="G38" s="219"/>
      <c r="H38" s="219"/>
      <c r="I38" s="214"/>
      <c r="J38" s="214"/>
      <c r="K38" s="219"/>
      <c r="L38" s="162"/>
      <c r="M38" s="6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208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5" customFormat="1" ht="18.75" hidden="1">
      <c r="A39" s="160" t="s">
        <v>51</v>
      </c>
      <c r="B39" s="161" t="s">
        <v>52</v>
      </c>
      <c r="C39" s="214"/>
      <c r="D39" s="214"/>
      <c r="E39" s="219"/>
      <c r="F39" s="219">
        <f t="shared" si="0"/>
        <v>0</v>
      </c>
      <c r="G39" s="219"/>
      <c r="H39" s="219"/>
      <c r="I39" s="214"/>
      <c r="J39" s="214"/>
      <c r="K39" s="219"/>
      <c r="L39" s="162"/>
      <c r="M39" s="6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208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5" customFormat="1" ht="18.75" hidden="1">
      <c r="A40" s="160" t="s">
        <v>53</v>
      </c>
      <c r="B40" s="161" t="s">
        <v>54</v>
      </c>
      <c r="C40" s="214"/>
      <c r="D40" s="214"/>
      <c r="E40" s="219"/>
      <c r="F40" s="219">
        <f t="shared" si="0"/>
        <v>0</v>
      </c>
      <c r="G40" s="219"/>
      <c r="H40" s="219"/>
      <c r="I40" s="214"/>
      <c r="J40" s="214"/>
      <c r="K40" s="219"/>
      <c r="L40" s="162"/>
      <c r="M40" s="6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208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176" customFormat="1" ht="19.5" hidden="1" thickBot="1">
      <c r="A41" s="160"/>
      <c r="B41" s="161" t="s">
        <v>45</v>
      </c>
      <c r="C41" s="214"/>
      <c r="D41" s="214"/>
      <c r="E41" s="219"/>
      <c r="F41" s="219">
        <f t="shared" si="0"/>
        <v>0</v>
      </c>
      <c r="G41" s="219"/>
      <c r="H41" s="219"/>
      <c r="I41" s="214"/>
      <c r="J41" s="214"/>
      <c r="K41" s="219"/>
      <c r="L41" s="162"/>
      <c r="M41" s="6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208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159" customFormat="1" ht="18.75" hidden="1">
      <c r="A42" s="153" t="s">
        <v>55</v>
      </c>
      <c r="B42" s="154" t="s">
        <v>56</v>
      </c>
      <c r="C42" s="211"/>
      <c r="D42" s="211"/>
      <c r="E42" s="218"/>
      <c r="F42" s="218">
        <f t="shared" si="0"/>
        <v>0</v>
      </c>
      <c r="G42" s="218"/>
      <c r="H42" s="218"/>
      <c r="I42" s="211"/>
      <c r="J42" s="211"/>
      <c r="K42" s="218"/>
      <c r="L42" s="155"/>
      <c r="M42" s="168"/>
      <c r="N42" s="16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213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</row>
    <row r="43" spans="1:41" s="159" customFormat="1" ht="18.75" hidden="1">
      <c r="A43" s="153" t="s">
        <v>57</v>
      </c>
      <c r="B43" s="154" t="s">
        <v>58</v>
      </c>
      <c r="C43" s="211"/>
      <c r="D43" s="211"/>
      <c r="E43" s="218"/>
      <c r="F43" s="218">
        <f t="shared" si="0"/>
        <v>0</v>
      </c>
      <c r="G43" s="218"/>
      <c r="H43" s="218"/>
      <c r="I43" s="211"/>
      <c r="J43" s="211"/>
      <c r="K43" s="218"/>
      <c r="L43" s="155"/>
      <c r="M43" s="168"/>
      <c r="N43" s="16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213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</row>
    <row r="44" spans="1:41" s="5" customFormat="1" ht="18.75" hidden="1">
      <c r="A44" s="160"/>
      <c r="B44" s="161" t="s">
        <v>28</v>
      </c>
      <c r="C44" s="214"/>
      <c r="D44" s="214"/>
      <c r="E44" s="219"/>
      <c r="F44" s="219">
        <f t="shared" si="0"/>
        <v>0</v>
      </c>
      <c r="G44" s="219"/>
      <c r="H44" s="219"/>
      <c r="I44" s="214"/>
      <c r="J44" s="214"/>
      <c r="K44" s="219"/>
      <c r="L44" s="162"/>
      <c r="M44" s="6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208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5" customFormat="1" ht="18.75" hidden="1">
      <c r="A45" s="160" t="s">
        <v>59</v>
      </c>
      <c r="B45" s="161" t="s">
        <v>30</v>
      </c>
      <c r="C45" s="214"/>
      <c r="D45" s="214"/>
      <c r="E45" s="219"/>
      <c r="F45" s="219">
        <f t="shared" si="0"/>
        <v>0</v>
      </c>
      <c r="G45" s="219"/>
      <c r="H45" s="219"/>
      <c r="I45" s="214"/>
      <c r="J45" s="214"/>
      <c r="K45" s="219"/>
      <c r="L45" s="162"/>
      <c r="M45" s="6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208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s="5" customFormat="1" ht="18.75" hidden="1">
      <c r="A46" s="160" t="s">
        <v>60</v>
      </c>
      <c r="B46" s="161" t="s">
        <v>32</v>
      </c>
      <c r="C46" s="214"/>
      <c r="D46" s="214"/>
      <c r="E46" s="219"/>
      <c r="F46" s="219">
        <f t="shared" si="0"/>
        <v>0</v>
      </c>
      <c r="G46" s="219"/>
      <c r="H46" s="219"/>
      <c r="I46" s="214"/>
      <c r="J46" s="214"/>
      <c r="K46" s="219"/>
      <c r="L46" s="162"/>
      <c r="M46" s="6"/>
      <c r="N46" s="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08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s="5" customFormat="1" ht="18.75" hidden="1">
      <c r="A47" s="160"/>
      <c r="B47" s="161" t="s">
        <v>28</v>
      </c>
      <c r="C47" s="214"/>
      <c r="D47" s="214"/>
      <c r="E47" s="219"/>
      <c r="F47" s="219">
        <f t="shared" si="0"/>
        <v>0</v>
      </c>
      <c r="G47" s="219"/>
      <c r="H47" s="219"/>
      <c r="I47" s="214"/>
      <c r="J47" s="214"/>
      <c r="K47" s="219"/>
      <c r="L47" s="162"/>
      <c r="M47" s="6"/>
      <c r="N47" s="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08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s="5" customFormat="1" ht="18.75" hidden="1">
      <c r="A48" s="160" t="s">
        <v>61</v>
      </c>
      <c r="B48" s="161" t="s">
        <v>52</v>
      </c>
      <c r="C48" s="214"/>
      <c r="D48" s="214"/>
      <c r="E48" s="219"/>
      <c r="F48" s="219">
        <f t="shared" si="0"/>
        <v>0</v>
      </c>
      <c r="G48" s="219"/>
      <c r="H48" s="219"/>
      <c r="I48" s="214"/>
      <c r="J48" s="214"/>
      <c r="K48" s="219"/>
      <c r="L48" s="162"/>
      <c r="M48" s="6"/>
      <c r="N48" s="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08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s="5" customFormat="1" ht="37.5" hidden="1">
      <c r="A49" s="177" t="s">
        <v>62</v>
      </c>
      <c r="B49" s="161" t="s">
        <v>63</v>
      </c>
      <c r="C49" s="214"/>
      <c r="D49" s="214"/>
      <c r="E49" s="219"/>
      <c r="F49" s="219">
        <f t="shared" si="0"/>
        <v>0</v>
      </c>
      <c r="G49" s="219"/>
      <c r="H49" s="219"/>
      <c r="I49" s="214"/>
      <c r="J49" s="214"/>
      <c r="K49" s="219"/>
      <c r="L49" s="162"/>
      <c r="M49" s="6"/>
      <c r="N49" s="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208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s="5" customFormat="1" ht="18.75" hidden="1">
      <c r="A50" s="160" t="s">
        <v>64</v>
      </c>
      <c r="B50" s="161" t="s">
        <v>54</v>
      </c>
      <c r="C50" s="214"/>
      <c r="D50" s="214"/>
      <c r="E50" s="219"/>
      <c r="F50" s="219">
        <f t="shared" si="0"/>
        <v>0</v>
      </c>
      <c r="G50" s="219"/>
      <c r="H50" s="219"/>
      <c r="I50" s="214"/>
      <c r="J50" s="214"/>
      <c r="K50" s="219"/>
      <c r="L50" s="162"/>
      <c r="M50" s="6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208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s="5" customFormat="1" ht="37.5" hidden="1">
      <c r="A51" s="177" t="s">
        <v>65</v>
      </c>
      <c r="B51" s="161" t="s">
        <v>66</v>
      </c>
      <c r="C51" s="214"/>
      <c r="D51" s="214"/>
      <c r="E51" s="219"/>
      <c r="F51" s="219">
        <f t="shared" si="0"/>
        <v>0</v>
      </c>
      <c r="G51" s="219"/>
      <c r="H51" s="219"/>
      <c r="I51" s="214"/>
      <c r="J51" s="214"/>
      <c r="K51" s="219"/>
      <c r="L51" s="162"/>
      <c r="M51" s="6"/>
      <c r="N51" s="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08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s="5" customFormat="1" ht="18.75" hidden="1">
      <c r="A52" s="160"/>
      <c r="B52" s="161" t="s">
        <v>45</v>
      </c>
      <c r="C52" s="214"/>
      <c r="D52" s="214"/>
      <c r="E52" s="219"/>
      <c r="F52" s="219">
        <f t="shared" si="0"/>
        <v>0</v>
      </c>
      <c r="G52" s="219"/>
      <c r="H52" s="219"/>
      <c r="I52" s="214"/>
      <c r="J52" s="214"/>
      <c r="K52" s="219"/>
      <c r="L52" s="162"/>
      <c r="M52" s="6"/>
      <c r="N52" s="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208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s="5" customFormat="1" ht="18.75" hidden="1">
      <c r="A53" s="160" t="s">
        <v>67</v>
      </c>
      <c r="B53" s="161" t="s">
        <v>68</v>
      </c>
      <c r="C53" s="214"/>
      <c r="D53" s="214"/>
      <c r="E53" s="219"/>
      <c r="F53" s="219">
        <f t="shared" si="0"/>
        <v>0</v>
      </c>
      <c r="G53" s="219"/>
      <c r="H53" s="219"/>
      <c r="I53" s="214"/>
      <c r="J53" s="214"/>
      <c r="K53" s="219"/>
      <c r="L53" s="162"/>
      <c r="M53" s="6"/>
      <c r="N53" s="6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208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s="5" customFormat="1" ht="18.75" hidden="1">
      <c r="A54" s="160" t="s">
        <v>69</v>
      </c>
      <c r="B54" s="178" t="s">
        <v>70</v>
      </c>
      <c r="C54" s="214"/>
      <c r="D54" s="214"/>
      <c r="E54" s="219"/>
      <c r="F54" s="219">
        <f t="shared" si="0"/>
        <v>0</v>
      </c>
      <c r="G54" s="219"/>
      <c r="H54" s="219"/>
      <c r="I54" s="214"/>
      <c r="J54" s="214"/>
      <c r="K54" s="219"/>
      <c r="L54" s="162"/>
      <c r="M54" s="6"/>
      <c r="N54" s="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208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s="5" customFormat="1" ht="18.75" hidden="1">
      <c r="A55" s="160" t="s">
        <v>71</v>
      </c>
      <c r="B55" s="178" t="s">
        <v>72</v>
      </c>
      <c r="C55" s="214"/>
      <c r="D55" s="214"/>
      <c r="E55" s="219"/>
      <c r="F55" s="219">
        <f t="shared" si="0"/>
        <v>0</v>
      </c>
      <c r="G55" s="219"/>
      <c r="H55" s="219"/>
      <c r="I55" s="214"/>
      <c r="J55" s="214"/>
      <c r="K55" s="219"/>
      <c r="L55" s="162"/>
      <c r="M55" s="6"/>
      <c r="N55" s="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208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s="5" customFormat="1" ht="18.75" hidden="1">
      <c r="A56" s="160" t="s">
        <v>73</v>
      </c>
      <c r="B56" s="178" t="s">
        <v>74</v>
      </c>
      <c r="C56" s="214"/>
      <c r="D56" s="214"/>
      <c r="E56" s="219"/>
      <c r="F56" s="219">
        <f t="shared" si="0"/>
        <v>0</v>
      </c>
      <c r="G56" s="219"/>
      <c r="H56" s="219"/>
      <c r="I56" s="214"/>
      <c r="J56" s="214"/>
      <c r="K56" s="219"/>
      <c r="L56" s="162"/>
      <c r="M56" s="163"/>
      <c r="N56" s="6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208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s="5" customFormat="1" ht="18.75" hidden="1">
      <c r="A57" s="160" t="s">
        <v>75</v>
      </c>
      <c r="B57" s="178" t="s">
        <v>76</v>
      </c>
      <c r="C57" s="214"/>
      <c r="D57" s="214"/>
      <c r="E57" s="219"/>
      <c r="F57" s="219">
        <f t="shared" si="0"/>
        <v>0</v>
      </c>
      <c r="G57" s="219"/>
      <c r="H57" s="219"/>
      <c r="I57" s="214"/>
      <c r="J57" s="214"/>
      <c r="K57" s="219"/>
      <c r="L57" s="162"/>
      <c r="M57" s="6"/>
      <c r="N57" s="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208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s="159" customFormat="1" ht="37.5" hidden="1">
      <c r="A58" s="153" t="s">
        <v>77</v>
      </c>
      <c r="B58" s="179" t="s">
        <v>78</v>
      </c>
      <c r="C58" s="211"/>
      <c r="D58" s="211"/>
      <c r="E58" s="218"/>
      <c r="F58" s="218">
        <f t="shared" si="0"/>
        <v>0</v>
      </c>
      <c r="G58" s="218"/>
      <c r="H58" s="218"/>
      <c r="I58" s="211"/>
      <c r="J58" s="211"/>
      <c r="K58" s="218"/>
      <c r="L58" s="155"/>
      <c r="M58" s="168"/>
      <c r="N58" s="16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213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</row>
    <row r="59" spans="1:41" s="5" customFormat="1" ht="18.75" hidden="1">
      <c r="A59" s="160"/>
      <c r="B59" s="161" t="s">
        <v>11</v>
      </c>
      <c r="C59" s="214"/>
      <c r="D59" s="214"/>
      <c r="E59" s="219"/>
      <c r="F59" s="219">
        <f t="shared" si="0"/>
        <v>0</v>
      </c>
      <c r="G59" s="219"/>
      <c r="H59" s="219"/>
      <c r="I59" s="214"/>
      <c r="J59" s="214"/>
      <c r="K59" s="219"/>
      <c r="L59" s="162"/>
      <c r="M59" s="6"/>
      <c r="N59" s="6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208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s="5" customFormat="1" ht="18.75" hidden="1">
      <c r="A60" s="160" t="s">
        <v>79</v>
      </c>
      <c r="B60" s="161" t="s">
        <v>49</v>
      </c>
      <c r="C60" s="214"/>
      <c r="D60" s="214"/>
      <c r="E60" s="219"/>
      <c r="F60" s="219">
        <f t="shared" si="0"/>
        <v>0</v>
      </c>
      <c r="G60" s="219"/>
      <c r="H60" s="219"/>
      <c r="I60" s="214"/>
      <c r="J60" s="214"/>
      <c r="K60" s="219"/>
      <c r="L60" s="162"/>
      <c r="M60" s="6"/>
      <c r="N60" s="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208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s="5" customFormat="1" ht="18.75" hidden="1">
      <c r="A61" s="160" t="s">
        <v>80</v>
      </c>
      <c r="B61" s="161" t="s">
        <v>15</v>
      </c>
      <c r="C61" s="214"/>
      <c r="D61" s="214"/>
      <c r="E61" s="219"/>
      <c r="F61" s="219">
        <f t="shared" si="0"/>
        <v>0</v>
      </c>
      <c r="G61" s="219"/>
      <c r="H61" s="219"/>
      <c r="I61" s="214"/>
      <c r="J61" s="214"/>
      <c r="K61" s="219"/>
      <c r="L61" s="162"/>
      <c r="M61" s="6"/>
      <c r="N61" s="6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208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s="5" customFormat="1" ht="18.75" hidden="1">
      <c r="A62" s="160"/>
      <c r="B62" s="161" t="s">
        <v>11</v>
      </c>
      <c r="C62" s="214"/>
      <c r="D62" s="214"/>
      <c r="E62" s="219"/>
      <c r="F62" s="219">
        <f t="shared" si="0"/>
        <v>0</v>
      </c>
      <c r="G62" s="219"/>
      <c r="H62" s="219"/>
      <c r="I62" s="214"/>
      <c r="J62" s="214"/>
      <c r="K62" s="219"/>
      <c r="L62" s="162"/>
      <c r="M62" s="6"/>
      <c r="N62" s="6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208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s="5" customFormat="1" ht="18.75" hidden="1">
      <c r="A63" s="160" t="s">
        <v>81</v>
      </c>
      <c r="B63" s="161" t="s">
        <v>17</v>
      </c>
      <c r="C63" s="214"/>
      <c r="D63" s="214"/>
      <c r="E63" s="219"/>
      <c r="F63" s="219">
        <f t="shared" si="0"/>
        <v>0</v>
      </c>
      <c r="G63" s="219"/>
      <c r="H63" s="219"/>
      <c r="I63" s="214"/>
      <c r="J63" s="214"/>
      <c r="K63" s="219"/>
      <c r="L63" s="162"/>
      <c r="M63" s="6"/>
      <c r="N63" s="6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208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s="5" customFormat="1" ht="18.75" hidden="1">
      <c r="A64" s="160" t="s">
        <v>82</v>
      </c>
      <c r="B64" s="161" t="s">
        <v>54</v>
      </c>
      <c r="C64" s="214"/>
      <c r="D64" s="214"/>
      <c r="E64" s="219"/>
      <c r="F64" s="219">
        <f t="shared" si="0"/>
        <v>0</v>
      </c>
      <c r="G64" s="219"/>
      <c r="H64" s="219"/>
      <c r="I64" s="214"/>
      <c r="J64" s="214"/>
      <c r="K64" s="219"/>
      <c r="L64" s="162"/>
      <c r="M64" s="6"/>
      <c r="N64" s="6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208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s="176" customFormat="1" ht="19.5" hidden="1" thickBot="1">
      <c r="A65" s="160"/>
      <c r="B65" s="161" t="s">
        <v>45</v>
      </c>
      <c r="C65" s="214"/>
      <c r="D65" s="214"/>
      <c r="E65" s="219"/>
      <c r="F65" s="219">
        <f t="shared" si="0"/>
        <v>0</v>
      </c>
      <c r="G65" s="219"/>
      <c r="H65" s="219"/>
      <c r="I65" s="214"/>
      <c r="J65" s="214"/>
      <c r="K65" s="219"/>
      <c r="L65" s="162"/>
      <c r="M65" s="6"/>
      <c r="N65" s="6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208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s="182" customFormat="1" ht="18.75" hidden="1">
      <c r="A66" s="153" t="s">
        <v>83</v>
      </c>
      <c r="B66" s="154" t="s">
        <v>56</v>
      </c>
      <c r="C66" s="211"/>
      <c r="D66" s="211"/>
      <c r="E66" s="218"/>
      <c r="F66" s="218">
        <f t="shared" si="0"/>
        <v>0</v>
      </c>
      <c r="G66" s="218"/>
      <c r="H66" s="218"/>
      <c r="I66" s="211"/>
      <c r="J66" s="211"/>
      <c r="K66" s="218"/>
      <c r="L66" s="155"/>
      <c r="M66" s="180"/>
      <c r="N66" s="180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22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</row>
    <row r="67" spans="1:41" s="182" customFormat="1" ht="18.75" hidden="1">
      <c r="A67" s="153" t="s">
        <v>84</v>
      </c>
      <c r="B67" s="154" t="s">
        <v>58</v>
      </c>
      <c r="C67" s="211"/>
      <c r="D67" s="211"/>
      <c r="E67" s="218"/>
      <c r="F67" s="218">
        <f t="shared" si="0"/>
        <v>0</v>
      </c>
      <c r="G67" s="218"/>
      <c r="H67" s="218"/>
      <c r="I67" s="211"/>
      <c r="J67" s="211"/>
      <c r="K67" s="218"/>
      <c r="L67" s="155"/>
      <c r="M67" s="180"/>
      <c r="N67" s="180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22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</row>
    <row r="68" spans="1:41" s="5" customFormat="1" ht="18.75" hidden="1">
      <c r="A68" s="160"/>
      <c r="B68" s="161" t="s">
        <v>28</v>
      </c>
      <c r="C68" s="214"/>
      <c r="D68" s="214"/>
      <c r="E68" s="219"/>
      <c r="F68" s="219">
        <f t="shared" si="0"/>
        <v>0</v>
      </c>
      <c r="G68" s="219"/>
      <c r="H68" s="219"/>
      <c r="I68" s="214"/>
      <c r="J68" s="214"/>
      <c r="K68" s="219"/>
      <c r="L68" s="162"/>
      <c r="M68" s="6"/>
      <c r="N68" s="6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208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s="5" customFormat="1" ht="18.75" hidden="1">
      <c r="A69" s="160" t="s">
        <v>85</v>
      </c>
      <c r="B69" s="161" t="s">
        <v>30</v>
      </c>
      <c r="C69" s="214"/>
      <c r="D69" s="214"/>
      <c r="E69" s="219"/>
      <c r="F69" s="219">
        <f t="shared" si="0"/>
        <v>0</v>
      </c>
      <c r="G69" s="219"/>
      <c r="H69" s="219"/>
      <c r="I69" s="214"/>
      <c r="J69" s="214"/>
      <c r="K69" s="219"/>
      <c r="L69" s="162"/>
      <c r="M69" s="6"/>
      <c r="N69" s="6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208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s="185" customFormat="1" ht="19.5" hidden="1">
      <c r="A70" s="160" t="s">
        <v>86</v>
      </c>
      <c r="B70" s="161" t="s">
        <v>32</v>
      </c>
      <c r="C70" s="214"/>
      <c r="D70" s="214"/>
      <c r="E70" s="220"/>
      <c r="F70" s="220">
        <f t="shared" si="0"/>
        <v>0</v>
      </c>
      <c r="G70" s="220"/>
      <c r="H70" s="220"/>
      <c r="I70" s="214"/>
      <c r="J70" s="214"/>
      <c r="K70" s="220"/>
      <c r="L70" s="162"/>
      <c r="M70" s="183"/>
      <c r="N70" s="183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222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</row>
    <row r="71" spans="1:41" s="5" customFormat="1" ht="18.75" hidden="1">
      <c r="A71" s="160"/>
      <c r="B71" s="161" t="s">
        <v>28</v>
      </c>
      <c r="C71" s="214"/>
      <c r="D71" s="214"/>
      <c r="E71" s="219"/>
      <c r="F71" s="219">
        <f t="shared" si="0"/>
        <v>0</v>
      </c>
      <c r="G71" s="219"/>
      <c r="H71" s="219"/>
      <c r="I71" s="214"/>
      <c r="J71" s="214"/>
      <c r="K71" s="219"/>
      <c r="L71" s="162"/>
      <c r="M71" s="6"/>
      <c r="N71" s="6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208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s="5" customFormat="1" ht="18.75" hidden="1">
      <c r="A72" s="171" t="s">
        <v>87</v>
      </c>
      <c r="B72" s="161" t="s">
        <v>17</v>
      </c>
      <c r="C72" s="214"/>
      <c r="D72" s="214"/>
      <c r="E72" s="219"/>
      <c r="F72" s="219">
        <f t="shared" si="0"/>
        <v>0</v>
      </c>
      <c r="G72" s="219"/>
      <c r="H72" s="219"/>
      <c r="I72" s="214"/>
      <c r="J72" s="214"/>
      <c r="K72" s="219"/>
      <c r="L72" s="162"/>
      <c r="M72" s="6"/>
      <c r="N72" s="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208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s="5" customFormat="1" ht="37.5" hidden="1">
      <c r="A73" s="171" t="s">
        <v>88</v>
      </c>
      <c r="B73" s="172" t="s">
        <v>89</v>
      </c>
      <c r="C73" s="214"/>
      <c r="D73" s="214"/>
      <c r="E73" s="219"/>
      <c r="F73" s="219">
        <f t="shared" si="0"/>
        <v>0</v>
      </c>
      <c r="G73" s="219"/>
      <c r="H73" s="219"/>
      <c r="I73" s="214"/>
      <c r="J73" s="214"/>
      <c r="K73" s="219"/>
      <c r="L73" s="162"/>
      <c r="M73" s="6"/>
      <c r="N73" s="6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208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s="5" customFormat="1" ht="18.75" hidden="1">
      <c r="A74" s="171" t="s">
        <v>90</v>
      </c>
      <c r="B74" s="172" t="s">
        <v>54</v>
      </c>
      <c r="C74" s="214"/>
      <c r="D74" s="214"/>
      <c r="E74" s="219"/>
      <c r="F74" s="219">
        <f t="shared" ref="F74:F137" si="1">I74-C74</f>
        <v>0</v>
      </c>
      <c r="G74" s="219"/>
      <c r="H74" s="219"/>
      <c r="I74" s="214"/>
      <c r="J74" s="214"/>
      <c r="K74" s="219"/>
      <c r="L74" s="162"/>
      <c r="M74" s="6"/>
      <c r="N74" s="6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208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s="5" customFormat="1" ht="37.5" hidden="1">
      <c r="A75" s="171" t="s">
        <v>91</v>
      </c>
      <c r="B75" s="172" t="s">
        <v>92</v>
      </c>
      <c r="C75" s="214"/>
      <c r="D75" s="214"/>
      <c r="E75" s="219"/>
      <c r="F75" s="219">
        <f t="shared" si="1"/>
        <v>0</v>
      </c>
      <c r="G75" s="219"/>
      <c r="H75" s="219"/>
      <c r="I75" s="214"/>
      <c r="J75" s="214"/>
      <c r="K75" s="219"/>
      <c r="L75" s="162"/>
      <c r="M75" s="6"/>
      <c r="N75" s="6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208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s="5" customFormat="1" ht="18.75" hidden="1">
      <c r="A76" s="160"/>
      <c r="B76" s="161" t="s">
        <v>45</v>
      </c>
      <c r="C76" s="214"/>
      <c r="D76" s="214"/>
      <c r="E76" s="219"/>
      <c r="F76" s="219">
        <f t="shared" si="1"/>
        <v>0</v>
      </c>
      <c r="G76" s="219"/>
      <c r="H76" s="219"/>
      <c r="I76" s="214"/>
      <c r="J76" s="214"/>
      <c r="K76" s="219"/>
      <c r="L76" s="162"/>
      <c r="M76" s="6"/>
      <c r="N76" s="6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208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s="5" customFormat="1" ht="18.75" hidden="1">
      <c r="A77" s="160" t="s">
        <v>93</v>
      </c>
      <c r="B77" s="161" t="s">
        <v>94</v>
      </c>
      <c r="C77" s="214"/>
      <c r="D77" s="214"/>
      <c r="E77" s="219"/>
      <c r="F77" s="219">
        <f t="shared" si="1"/>
        <v>0</v>
      </c>
      <c r="G77" s="219"/>
      <c r="H77" s="219"/>
      <c r="I77" s="214"/>
      <c r="J77" s="214"/>
      <c r="K77" s="219"/>
      <c r="L77" s="162"/>
      <c r="M77" s="6"/>
      <c r="N77" s="6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208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s="5" customFormat="1" ht="18.75" hidden="1">
      <c r="A78" s="160" t="s">
        <v>95</v>
      </c>
      <c r="B78" s="178" t="s">
        <v>72</v>
      </c>
      <c r="C78" s="214"/>
      <c r="D78" s="214"/>
      <c r="E78" s="219"/>
      <c r="F78" s="219">
        <f t="shared" si="1"/>
        <v>0</v>
      </c>
      <c r="G78" s="219"/>
      <c r="H78" s="219"/>
      <c r="I78" s="214"/>
      <c r="J78" s="214"/>
      <c r="K78" s="219"/>
      <c r="L78" s="162"/>
      <c r="M78" s="6"/>
      <c r="N78" s="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208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s="5" customFormat="1" ht="18.75" hidden="1">
      <c r="A79" s="160" t="s">
        <v>96</v>
      </c>
      <c r="B79" s="178" t="s">
        <v>74</v>
      </c>
      <c r="C79" s="214"/>
      <c r="D79" s="214"/>
      <c r="E79" s="219"/>
      <c r="F79" s="219">
        <f t="shared" si="1"/>
        <v>0</v>
      </c>
      <c r="G79" s="219"/>
      <c r="H79" s="219"/>
      <c r="I79" s="214"/>
      <c r="J79" s="214"/>
      <c r="K79" s="219"/>
      <c r="L79" s="162"/>
      <c r="M79" s="6"/>
      <c r="N79" s="6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208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s="5" customFormat="1" ht="18.75" hidden="1">
      <c r="A80" s="160" t="s">
        <v>97</v>
      </c>
      <c r="B80" s="178" t="s">
        <v>76</v>
      </c>
      <c r="C80" s="214"/>
      <c r="D80" s="214"/>
      <c r="E80" s="219"/>
      <c r="F80" s="219">
        <f t="shared" si="1"/>
        <v>0</v>
      </c>
      <c r="G80" s="219"/>
      <c r="H80" s="219"/>
      <c r="I80" s="214"/>
      <c r="J80" s="214"/>
      <c r="K80" s="219"/>
      <c r="L80" s="162"/>
      <c r="M80" s="6"/>
      <c r="N80" s="6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208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s="159" customFormat="1" ht="37.5" hidden="1">
      <c r="A81" s="153" t="s">
        <v>98</v>
      </c>
      <c r="B81" s="154" t="s">
        <v>99</v>
      </c>
      <c r="C81" s="223"/>
      <c r="D81" s="223"/>
      <c r="E81" s="218"/>
      <c r="F81" s="218">
        <f t="shared" si="1"/>
        <v>0</v>
      </c>
      <c r="G81" s="218"/>
      <c r="H81" s="218"/>
      <c r="I81" s="223"/>
      <c r="J81" s="223"/>
      <c r="K81" s="218"/>
      <c r="L81" s="155"/>
      <c r="M81" s="168"/>
      <c r="N81" s="16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213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</row>
    <row r="82" spans="1:41" s="5" customFormat="1" ht="18.75" hidden="1">
      <c r="A82" s="160"/>
      <c r="B82" s="161" t="s">
        <v>11</v>
      </c>
      <c r="C82" s="214"/>
      <c r="D82" s="214"/>
      <c r="E82" s="219"/>
      <c r="F82" s="219">
        <f t="shared" si="1"/>
        <v>0</v>
      </c>
      <c r="G82" s="219"/>
      <c r="H82" s="219"/>
      <c r="I82" s="214"/>
      <c r="J82" s="214"/>
      <c r="K82" s="219"/>
      <c r="L82" s="162"/>
      <c r="M82" s="6"/>
      <c r="N82" s="6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208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s="5" customFormat="1" ht="18.75" hidden="1">
      <c r="A83" s="160" t="s">
        <v>100</v>
      </c>
      <c r="B83" s="161" t="s">
        <v>49</v>
      </c>
      <c r="C83" s="214"/>
      <c r="D83" s="214"/>
      <c r="E83" s="219"/>
      <c r="F83" s="219">
        <f t="shared" si="1"/>
        <v>0</v>
      </c>
      <c r="G83" s="219"/>
      <c r="H83" s="219"/>
      <c r="I83" s="214"/>
      <c r="J83" s="214"/>
      <c r="K83" s="219"/>
      <c r="L83" s="162"/>
      <c r="M83" s="6"/>
      <c r="N83" s="6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208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s="5" customFormat="1" ht="18.75" hidden="1">
      <c r="A84" s="160" t="s">
        <v>101</v>
      </c>
      <c r="B84" s="161" t="s">
        <v>15</v>
      </c>
      <c r="C84" s="214">
        <f>C86</f>
        <v>0</v>
      </c>
      <c r="D84" s="214">
        <f>D86</f>
        <v>0</v>
      </c>
      <c r="E84" s="219"/>
      <c r="F84" s="219">
        <f t="shared" si="1"/>
        <v>0</v>
      </c>
      <c r="G84" s="219">
        <f>G86</f>
        <v>0</v>
      </c>
      <c r="H84" s="219"/>
      <c r="I84" s="214">
        <f>I86</f>
        <v>0</v>
      </c>
      <c r="J84" s="214">
        <f>J86</f>
        <v>0</v>
      </c>
      <c r="K84" s="219"/>
      <c r="L84" s="162"/>
      <c r="M84" s="6"/>
      <c r="N84" s="6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208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s="5" customFormat="1" ht="18.75" hidden="1">
      <c r="A85" s="160"/>
      <c r="B85" s="161" t="s">
        <v>102</v>
      </c>
      <c r="C85" s="214"/>
      <c r="D85" s="214"/>
      <c r="E85" s="219"/>
      <c r="F85" s="219">
        <f t="shared" si="1"/>
        <v>0</v>
      </c>
      <c r="G85" s="219"/>
      <c r="H85" s="219"/>
      <c r="I85" s="214"/>
      <c r="J85" s="214"/>
      <c r="K85" s="219"/>
      <c r="L85" s="162"/>
      <c r="M85" s="6"/>
      <c r="N85" s="6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208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s="5" customFormat="1" ht="18.75" hidden="1">
      <c r="A86" s="160" t="s">
        <v>103</v>
      </c>
      <c r="B86" s="161" t="s">
        <v>17</v>
      </c>
      <c r="C86" s="214"/>
      <c r="D86" s="214"/>
      <c r="E86" s="219"/>
      <c r="F86" s="219">
        <f t="shared" si="1"/>
        <v>0</v>
      </c>
      <c r="G86" s="219"/>
      <c r="H86" s="219"/>
      <c r="I86" s="214"/>
      <c r="J86" s="214"/>
      <c r="K86" s="219"/>
      <c r="L86" s="162"/>
      <c r="M86" s="6"/>
      <c r="N86" s="6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208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s="5" customFormat="1" ht="18.75" hidden="1">
      <c r="A87" s="160" t="s">
        <v>104</v>
      </c>
      <c r="B87" s="161" t="s">
        <v>54</v>
      </c>
      <c r="C87" s="214"/>
      <c r="D87" s="214"/>
      <c r="E87" s="219"/>
      <c r="F87" s="219">
        <f t="shared" si="1"/>
        <v>0</v>
      </c>
      <c r="G87" s="219"/>
      <c r="H87" s="219"/>
      <c r="I87" s="214"/>
      <c r="J87" s="214"/>
      <c r="K87" s="219"/>
      <c r="L87" s="162"/>
      <c r="M87" s="6"/>
      <c r="N87" s="6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208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s="5" customFormat="1" ht="18.75" hidden="1">
      <c r="A88" s="160"/>
      <c r="B88" s="161" t="s">
        <v>45</v>
      </c>
      <c r="C88" s="214"/>
      <c r="D88" s="214"/>
      <c r="E88" s="219"/>
      <c r="F88" s="219">
        <f t="shared" si="1"/>
        <v>0</v>
      </c>
      <c r="G88" s="219"/>
      <c r="H88" s="219"/>
      <c r="I88" s="214"/>
      <c r="J88" s="214"/>
      <c r="K88" s="219"/>
      <c r="L88" s="162"/>
      <c r="M88" s="6"/>
      <c r="N88" s="6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208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s="159" customFormat="1" ht="18.75" hidden="1">
      <c r="A89" s="153" t="s">
        <v>105</v>
      </c>
      <c r="B89" s="154" t="s">
        <v>56</v>
      </c>
      <c r="C89" s="214"/>
      <c r="D89" s="214"/>
      <c r="E89" s="218"/>
      <c r="F89" s="218">
        <f t="shared" si="1"/>
        <v>0</v>
      </c>
      <c r="G89" s="218"/>
      <c r="H89" s="218"/>
      <c r="I89" s="214"/>
      <c r="J89" s="214"/>
      <c r="K89" s="218"/>
      <c r="L89" s="155"/>
      <c r="M89" s="168"/>
      <c r="N89" s="16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213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</row>
    <row r="90" spans="1:41" s="182" customFormat="1" ht="18.75" hidden="1">
      <c r="A90" s="153" t="s">
        <v>106</v>
      </c>
      <c r="B90" s="154" t="s">
        <v>58</v>
      </c>
      <c r="C90" s="214"/>
      <c r="D90" s="214"/>
      <c r="E90" s="218"/>
      <c r="F90" s="218">
        <f t="shared" si="1"/>
        <v>0</v>
      </c>
      <c r="G90" s="218"/>
      <c r="H90" s="218"/>
      <c r="I90" s="214"/>
      <c r="J90" s="214"/>
      <c r="K90" s="218"/>
      <c r="L90" s="155"/>
      <c r="M90" s="180"/>
      <c r="N90" s="180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22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</row>
    <row r="91" spans="1:41" s="5" customFormat="1" ht="18.75" hidden="1">
      <c r="A91" s="160"/>
      <c r="B91" s="161" t="s">
        <v>28</v>
      </c>
      <c r="C91" s="214"/>
      <c r="D91" s="214"/>
      <c r="E91" s="219"/>
      <c r="F91" s="219">
        <f t="shared" si="1"/>
        <v>0</v>
      </c>
      <c r="G91" s="219"/>
      <c r="H91" s="219"/>
      <c r="I91" s="214"/>
      <c r="J91" s="214"/>
      <c r="K91" s="219"/>
      <c r="L91" s="162"/>
      <c r="M91" s="6"/>
      <c r="N91" s="6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208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s="5" customFormat="1" ht="18.75" hidden="1">
      <c r="A92" s="160" t="s">
        <v>107</v>
      </c>
      <c r="B92" s="161" t="s">
        <v>30</v>
      </c>
      <c r="C92" s="214"/>
      <c r="D92" s="214"/>
      <c r="E92" s="219"/>
      <c r="F92" s="219">
        <f t="shared" si="1"/>
        <v>0</v>
      </c>
      <c r="G92" s="219"/>
      <c r="H92" s="219"/>
      <c r="I92" s="214"/>
      <c r="J92" s="214"/>
      <c r="K92" s="219"/>
      <c r="L92" s="162"/>
      <c r="M92" s="6"/>
      <c r="N92" s="6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208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s="185" customFormat="1" ht="19.5" hidden="1">
      <c r="A93" s="160" t="s">
        <v>108</v>
      </c>
      <c r="B93" s="161" t="s">
        <v>109</v>
      </c>
      <c r="C93" s="214"/>
      <c r="D93" s="214"/>
      <c r="E93" s="220"/>
      <c r="F93" s="220">
        <f t="shared" si="1"/>
        <v>0</v>
      </c>
      <c r="G93" s="220"/>
      <c r="H93" s="220"/>
      <c r="I93" s="214"/>
      <c r="J93" s="214"/>
      <c r="K93" s="220"/>
      <c r="L93" s="162"/>
      <c r="M93" s="183"/>
      <c r="N93" s="183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222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</row>
    <row r="94" spans="1:41" s="5" customFormat="1" ht="18.75" hidden="1">
      <c r="A94" s="160"/>
      <c r="B94" s="161" t="s">
        <v>28</v>
      </c>
      <c r="C94" s="214"/>
      <c r="D94" s="214"/>
      <c r="E94" s="219"/>
      <c r="F94" s="219">
        <f t="shared" si="1"/>
        <v>0</v>
      </c>
      <c r="G94" s="219"/>
      <c r="H94" s="219"/>
      <c r="I94" s="214"/>
      <c r="J94" s="214"/>
      <c r="K94" s="219"/>
      <c r="L94" s="162"/>
      <c r="M94" s="6"/>
      <c r="N94" s="6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208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s="5" customFormat="1" ht="18.75" hidden="1">
      <c r="A95" s="171" t="s">
        <v>110</v>
      </c>
      <c r="B95" s="161" t="s">
        <v>17</v>
      </c>
      <c r="C95" s="214"/>
      <c r="D95" s="214"/>
      <c r="E95" s="219"/>
      <c r="F95" s="219">
        <f t="shared" si="1"/>
        <v>0</v>
      </c>
      <c r="G95" s="219"/>
      <c r="H95" s="219"/>
      <c r="I95" s="214"/>
      <c r="J95" s="214"/>
      <c r="K95" s="219"/>
      <c r="L95" s="162"/>
      <c r="M95" s="6"/>
      <c r="N95" s="6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208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s="5" customFormat="1" ht="37.5" hidden="1">
      <c r="A96" s="171" t="s">
        <v>111</v>
      </c>
      <c r="B96" s="172" t="s">
        <v>112</v>
      </c>
      <c r="C96" s="214"/>
      <c r="D96" s="214"/>
      <c r="E96" s="219"/>
      <c r="F96" s="219">
        <f t="shared" si="1"/>
        <v>0</v>
      </c>
      <c r="G96" s="219"/>
      <c r="H96" s="219"/>
      <c r="I96" s="214"/>
      <c r="J96" s="214"/>
      <c r="K96" s="219"/>
      <c r="L96" s="162"/>
      <c r="M96" s="6"/>
      <c r="N96" s="6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208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s="5" customFormat="1" ht="18.75" hidden="1">
      <c r="A97" s="171" t="s">
        <v>113</v>
      </c>
      <c r="B97" s="172" t="s">
        <v>54</v>
      </c>
      <c r="C97" s="214"/>
      <c r="D97" s="214"/>
      <c r="E97" s="219"/>
      <c r="F97" s="219">
        <f t="shared" si="1"/>
        <v>0</v>
      </c>
      <c r="G97" s="219"/>
      <c r="H97" s="219"/>
      <c r="I97" s="214"/>
      <c r="J97" s="214"/>
      <c r="K97" s="219"/>
      <c r="L97" s="162"/>
      <c r="M97" s="6"/>
      <c r="N97" s="6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208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s="5" customFormat="1" ht="37.5" hidden="1">
      <c r="A98" s="171" t="s">
        <v>114</v>
      </c>
      <c r="B98" s="172" t="s">
        <v>115</v>
      </c>
      <c r="C98" s="214"/>
      <c r="D98" s="214"/>
      <c r="E98" s="219"/>
      <c r="F98" s="219">
        <f t="shared" si="1"/>
        <v>0</v>
      </c>
      <c r="G98" s="219"/>
      <c r="H98" s="219"/>
      <c r="I98" s="214"/>
      <c r="J98" s="214"/>
      <c r="K98" s="219"/>
      <c r="L98" s="162"/>
      <c r="M98" s="6"/>
      <c r="N98" s="6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208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s="187" customFormat="1" ht="19.5" hidden="1" thickBot="1">
      <c r="A99" s="186"/>
      <c r="B99" s="161" t="s">
        <v>45</v>
      </c>
      <c r="C99" s="224"/>
      <c r="D99" s="224"/>
      <c r="E99" s="219"/>
      <c r="F99" s="219">
        <f t="shared" si="1"/>
        <v>0</v>
      </c>
      <c r="G99" s="219"/>
      <c r="H99" s="219"/>
      <c r="I99" s="224"/>
      <c r="J99" s="224"/>
      <c r="K99" s="219"/>
      <c r="L99" s="162"/>
      <c r="M99" s="180"/>
      <c r="N99" s="180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22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</row>
    <row r="100" spans="1:41" s="5" customFormat="1" ht="18.75" hidden="1">
      <c r="A100" s="160" t="s">
        <v>116</v>
      </c>
      <c r="B100" s="161" t="s">
        <v>117</v>
      </c>
      <c r="C100" s="214"/>
      <c r="D100" s="214"/>
      <c r="E100" s="219"/>
      <c r="F100" s="219">
        <f t="shared" si="1"/>
        <v>0</v>
      </c>
      <c r="G100" s="219"/>
      <c r="H100" s="219"/>
      <c r="I100" s="214"/>
      <c r="J100" s="214"/>
      <c r="K100" s="219"/>
      <c r="L100" s="162"/>
      <c r="M100" s="6"/>
      <c r="N100" s="6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208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s="5" customFormat="1" ht="18.75" hidden="1">
      <c r="A101" s="160" t="s">
        <v>118</v>
      </c>
      <c r="B101" s="178" t="s">
        <v>74</v>
      </c>
      <c r="C101" s="225"/>
      <c r="D101" s="225"/>
      <c r="E101" s="219"/>
      <c r="F101" s="219">
        <f t="shared" si="1"/>
        <v>0</v>
      </c>
      <c r="G101" s="219"/>
      <c r="H101" s="219"/>
      <c r="I101" s="225"/>
      <c r="J101" s="225"/>
      <c r="K101" s="219"/>
      <c r="L101" s="162"/>
      <c r="M101" s="6"/>
      <c r="N101" s="6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208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s="5" customFormat="1" ht="18.75" hidden="1">
      <c r="A102" s="160" t="s">
        <v>119</v>
      </c>
      <c r="B102" s="178" t="s">
        <v>76</v>
      </c>
      <c r="C102" s="214"/>
      <c r="D102" s="214"/>
      <c r="E102" s="219"/>
      <c r="F102" s="219">
        <f t="shared" si="1"/>
        <v>0</v>
      </c>
      <c r="G102" s="219"/>
      <c r="H102" s="219"/>
      <c r="I102" s="214"/>
      <c r="J102" s="214"/>
      <c r="K102" s="219"/>
      <c r="L102" s="162"/>
      <c r="M102" s="6"/>
      <c r="N102" s="6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208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s="159" customFormat="1" ht="42" customHeight="1">
      <c r="A103" s="153" t="s">
        <v>120</v>
      </c>
      <c r="B103" s="154" t="s">
        <v>121</v>
      </c>
      <c r="C103" s="211">
        <f>C106+C105</f>
        <v>362021.39999999997</v>
      </c>
      <c r="D103" s="211">
        <f>D106+D105</f>
        <v>122.425</v>
      </c>
      <c r="E103" s="218"/>
      <c r="F103" s="218">
        <f t="shared" si="1"/>
        <v>308388.60000000003</v>
      </c>
      <c r="G103" s="218">
        <f>G106+G105</f>
        <v>104.289</v>
      </c>
      <c r="H103" s="218"/>
      <c r="I103" s="211">
        <f>I106+I105</f>
        <v>670410</v>
      </c>
      <c r="J103" s="211">
        <f>J106+J105</f>
        <v>113.35699999999999</v>
      </c>
      <c r="K103" s="218"/>
      <c r="L103" s="155"/>
      <c r="M103" s="156"/>
      <c r="N103" s="156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213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</row>
    <row r="104" spans="1:41" s="5" customFormat="1" ht="18.75">
      <c r="A104" s="160"/>
      <c r="B104" s="161" t="s">
        <v>11</v>
      </c>
      <c r="C104" s="214"/>
      <c r="D104" s="214"/>
      <c r="E104" s="219"/>
      <c r="F104" s="219"/>
      <c r="G104" s="219"/>
      <c r="H104" s="219"/>
      <c r="I104" s="214"/>
      <c r="J104" s="214"/>
      <c r="K104" s="219"/>
      <c r="L104" s="162"/>
      <c r="M104" s="6"/>
      <c r="N104" s="6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208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s="5" customFormat="1" ht="18.75">
      <c r="A105" s="160" t="s">
        <v>122</v>
      </c>
      <c r="B105" s="161" t="s">
        <v>13</v>
      </c>
      <c r="C105" s="214"/>
      <c r="D105" s="214"/>
      <c r="E105" s="219"/>
      <c r="F105" s="219"/>
      <c r="G105" s="219"/>
      <c r="H105" s="219"/>
      <c r="I105" s="214"/>
      <c r="J105" s="214"/>
      <c r="K105" s="219"/>
      <c r="L105" s="162"/>
      <c r="M105" s="6"/>
      <c r="N105" s="6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208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s="5" customFormat="1" ht="18.75">
      <c r="A106" s="160" t="s">
        <v>123</v>
      </c>
      <c r="B106" s="161" t="s">
        <v>15</v>
      </c>
      <c r="C106" s="214">
        <f>C108+C109+C110+C111+C112</f>
        <v>362021.39999999997</v>
      </c>
      <c r="D106" s="214">
        <f>D108+D109+D110+D111+D112</f>
        <v>122.425</v>
      </c>
      <c r="E106" s="219"/>
      <c r="F106" s="219">
        <f t="shared" si="1"/>
        <v>308388.60000000003</v>
      </c>
      <c r="G106" s="219">
        <f>G108+G109+G110+G111+G112</f>
        <v>104.289</v>
      </c>
      <c r="H106" s="219"/>
      <c r="I106" s="214">
        <f>I108+I109+I110+I111+I112</f>
        <v>670410</v>
      </c>
      <c r="J106" s="214">
        <f>J108+J109+J110+J111+J112</f>
        <v>113.35699999999999</v>
      </c>
      <c r="K106" s="219"/>
      <c r="L106" s="162"/>
      <c r="M106" s="163"/>
      <c r="N106" s="6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208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s="5" customFormat="1" ht="18.75">
      <c r="A107" s="160"/>
      <c r="B107" s="161" t="s">
        <v>11</v>
      </c>
      <c r="C107" s="214"/>
      <c r="D107" s="214"/>
      <c r="E107" s="219"/>
      <c r="F107" s="219">
        <f t="shared" si="1"/>
        <v>0</v>
      </c>
      <c r="G107" s="219"/>
      <c r="H107" s="219"/>
      <c r="I107" s="214"/>
      <c r="J107" s="214"/>
      <c r="K107" s="219"/>
      <c r="L107" s="162"/>
      <c r="M107" s="163">
        <f>C108/M108</f>
        <v>0.55831639945914624</v>
      </c>
      <c r="N107" s="163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208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s="5" customFormat="1" ht="18.75">
      <c r="A108" s="160" t="s">
        <v>124</v>
      </c>
      <c r="B108" s="161" t="s">
        <v>17</v>
      </c>
      <c r="C108" s="214">
        <f>I108*54%</f>
        <v>338177.26799999998</v>
      </c>
      <c r="D108" s="214">
        <f>ROUND(J108*2*C108/I108,3)</f>
        <v>114.437</v>
      </c>
      <c r="E108" s="219"/>
      <c r="F108" s="219">
        <f t="shared" si="1"/>
        <v>288076.93199999997</v>
      </c>
      <c r="G108" s="219">
        <f>ROUND(J108*2*F108/I108,3)</f>
        <v>97.483000000000004</v>
      </c>
      <c r="H108" s="219"/>
      <c r="I108" s="214">
        <v>626254.19999999995</v>
      </c>
      <c r="J108" s="214">
        <v>105.96</v>
      </c>
      <c r="K108" s="219"/>
      <c r="L108" s="162"/>
      <c r="M108" s="6">
        <v>605709</v>
      </c>
      <c r="N108" s="6"/>
      <c r="O108" s="188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208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s="5" customFormat="1" ht="18.75">
      <c r="A109" s="160" t="s">
        <v>125</v>
      </c>
      <c r="B109" s="161" t="s">
        <v>19</v>
      </c>
      <c r="C109" s="214">
        <v>0</v>
      </c>
      <c r="D109" s="214">
        <v>0</v>
      </c>
      <c r="E109" s="219"/>
      <c r="F109" s="219">
        <f t="shared" si="1"/>
        <v>0</v>
      </c>
      <c r="G109" s="219"/>
      <c r="H109" s="219"/>
      <c r="I109" s="214">
        <v>0</v>
      </c>
      <c r="J109" s="214">
        <v>0</v>
      </c>
      <c r="K109" s="219"/>
      <c r="L109" s="162"/>
      <c r="M109" s="6">
        <f>C108/D108</f>
        <v>2955.139229445022</v>
      </c>
      <c r="N109" s="6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208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s="5" customFormat="1" ht="18.75">
      <c r="A110" s="160" t="s">
        <v>126</v>
      </c>
      <c r="B110" s="161" t="s">
        <v>172</v>
      </c>
      <c r="C110" s="214">
        <f>I110*54%</f>
        <v>999.00000000000011</v>
      </c>
      <c r="D110" s="214">
        <f>ROUND(J110*2*C110/I110,3)</f>
        <v>0.34200000000000003</v>
      </c>
      <c r="E110" s="219"/>
      <c r="F110" s="219">
        <f t="shared" si="1"/>
        <v>850.99999999999989</v>
      </c>
      <c r="G110" s="219">
        <f>ROUND(J110*2*F110/I110,3)</f>
        <v>0.29199999999999998</v>
      </c>
      <c r="H110" s="219"/>
      <c r="I110" s="214">
        <v>1850</v>
      </c>
      <c r="J110" s="214">
        <v>0.317</v>
      </c>
      <c r="K110" s="219"/>
      <c r="L110" s="162"/>
      <c r="M110" s="6">
        <f>I108/J108</f>
        <v>5910.2887882219702</v>
      </c>
      <c r="N110" s="6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208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s="5" customFormat="1" ht="18.75">
      <c r="A111" s="160" t="s">
        <v>127</v>
      </c>
      <c r="B111" s="161" t="s">
        <v>173</v>
      </c>
      <c r="C111" s="214"/>
      <c r="D111" s="214"/>
      <c r="E111" s="219"/>
      <c r="F111" s="219"/>
      <c r="G111" s="219"/>
      <c r="H111" s="219"/>
      <c r="I111" s="214"/>
      <c r="J111" s="214"/>
      <c r="K111" s="219"/>
      <c r="L111" s="162"/>
      <c r="M111" s="163"/>
      <c r="N111" s="170">
        <f>M18*31%</f>
        <v>1391248369.915024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208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s="5" customFormat="1" ht="18.75">
      <c r="A112" s="160" t="s">
        <v>22</v>
      </c>
      <c r="B112" s="161" t="s">
        <v>23</v>
      </c>
      <c r="C112" s="214">
        <f>I112*54%</f>
        <v>22845.132000000001</v>
      </c>
      <c r="D112" s="214">
        <f>ROUND(J112*2*C112/I112,3)</f>
        <v>7.6459999999999999</v>
      </c>
      <c r="E112" s="214"/>
      <c r="F112" s="214">
        <f t="shared" si="1"/>
        <v>19460.668000000001</v>
      </c>
      <c r="G112" s="214">
        <f>ROUND(J112*2*F112/I112,3)</f>
        <v>6.5140000000000002</v>
      </c>
      <c r="H112" s="214"/>
      <c r="I112" s="214">
        <v>42305.8</v>
      </c>
      <c r="J112" s="214">
        <v>7.08</v>
      </c>
      <c r="K112" s="214"/>
      <c r="L112" s="162"/>
      <c r="M112" s="6"/>
      <c r="N112" s="6"/>
      <c r="O112" s="208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208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s="159" customFormat="1" ht="18.75">
      <c r="A113" s="153" t="s">
        <v>128</v>
      </c>
      <c r="B113" s="154" t="s">
        <v>56</v>
      </c>
      <c r="C113" s="211">
        <f>I113*54%</f>
        <v>21407.760000000002</v>
      </c>
      <c r="D113" s="211">
        <f>ROUND(J113*2*C113/I113,3)-0.002</f>
        <v>6.4350000000000005</v>
      </c>
      <c r="E113" s="218"/>
      <c r="F113" s="218">
        <f t="shared" si="1"/>
        <v>18236.239999999998</v>
      </c>
      <c r="G113" s="211">
        <f>ROUND(J113*2*F113/I113,3)+0.002</f>
        <v>5.4849999999999994</v>
      </c>
      <c r="H113" s="218"/>
      <c r="I113" s="211">
        <v>39644</v>
      </c>
      <c r="J113" s="211">
        <v>5.96</v>
      </c>
      <c r="K113" s="218"/>
      <c r="L113" s="155"/>
      <c r="M113" s="236">
        <f>I113+I116</f>
        <v>192507</v>
      </c>
      <c r="N113" s="232">
        <f>J113+J116</f>
        <v>31.681000000000001</v>
      </c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213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</row>
    <row r="114" spans="1:41" s="182" customFormat="1" ht="18.75">
      <c r="A114" s="153" t="s">
        <v>129</v>
      </c>
      <c r="B114" s="154" t="s">
        <v>58</v>
      </c>
      <c r="C114" s="211">
        <f>C116+C117</f>
        <v>91677.420000000013</v>
      </c>
      <c r="D114" s="211">
        <f>D116+D117</f>
        <v>30.734000000000002</v>
      </c>
      <c r="E114" s="218"/>
      <c r="F114" s="218">
        <f t="shared" si="1"/>
        <v>78095.579999999987</v>
      </c>
      <c r="G114" s="218">
        <f>G116+G117</f>
        <v>26.18</v>
      </c>
      <c r="H114" s="218"/>
      <c r="I114" s="211">
        <f>I116+I117</f>
        <v>169773</v>
      </c>
      <c r="J114" s="211">
        <f>J116+J117</f>
        <v>28.457000000000001</v>
      </c>
      <c r="K114" s="218"/>
      <c r="L114" s="155"/>
      <c r="M114" s="189"/>
      <c r="N114" s="180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22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</row>
    <row r="115" spans="1:41" s="5" customFormat="1" ht="18.75">
      <c r="A115" s="160"/>
      <c r="B115" s="161" t="s">
        <v>28</v>
      </c>
      <c r="C115" s="214"/>
      <c r="D115" s="214"/>
      <c r="E115" s="219"/>
      <c r="F115" s="219"/>
      <c r="G115" s="219"/>
      <c r="H115" s="219"/>
      <c r="I115" s="214"/>
      <c r="J115" s="214"/>
      <c r="K115" s="219"/>
      <c r="L115" s="162"/>
      <c r="M115" s="6"/>
      <c r="N115" s="6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208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s="5" customFormat="1" ht="18.75">
      <c r="A116" s="160" t="s">
        <v>130</v>
      </c>
      <c r="B116" s="161" t="s">
        <v>30</v>
      </c>
      <c r="C116" s="214">
        <f>I116*54%</f>
        <v>82546.02</v>
      </c>
      <c r="D116" s="214">
        <f>ROUND(J116*2*C116/I116,3)</f>
        <v>27.779</v>
      </c>
      <c r="E116" s="219"/>
      <c r="F116" s="219">
        <f t="shared" si="1"/>
        <v>70316.98</v>
      </c>
      <c r="G116" s="219">
        <f>ROUND(J116*2*F116/I116,3)</f>
        <v>23.663</v>
      </c>
      <c r="H116" s="219"/>
      <c r="I116" s="214">
        <v>152863</v>
      </c>
      <c r="J116" s="214">
        <v>25.721</v>
      </c>
      <c r="K116" s="219"/>
      <c r="L116" s="162"/>
      <c r="M116" s="163">
        <f>I116/I22</f>
        <v>0.28999933600827144</v>
      </c>
      <c r="N116" s="6"/>
      <c r="O116" s="208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208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s="185" customFormat="1" ht="19.5">
      <c r="A117" s="160" t="s">
        <v>131</v>
      </c>
      <c r="B117" s="161" t="s">
        <v>32</v>
      </c>
      <c r="C117" s="214">
        <f>C119+C121+C123+C125</f>
        <v>9131.4000000000015</v>
      </c>
      <c r="D117" s="214">
        <f>D119+D121+D123+D125</f>
        <v>2.9550000000000001</v>
      </c>
      <c r="E117" s="220"/>
      <c r="F117" s="220">
        <f t="shared" si="1"/>
        <v>7778.5999999999985</v>
      </c>
      <c r="G117" s="220">
        <f>G119+G121+G123+G125</f>
        <v>2.5169999999999999</v>
      </c>
      <c r="H117" s="220"/>
      <c r="I117" s="214">
        <f>I119+I121+I123+I125</f>
        <v>16910</v>
      </c>
      <c r="J117" s="214">
        <f>J119+J121+J123+J125</f>
        <v>2.7360000000000002</v>
      </c>
      <c r="K117" s="220"/>
      <c r="L117" s="190"/>
      <c r="M117" s="183"/>
      <c r="N117" s="183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222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</row>
    <row r="118" spans="1:41" s="5" customFormat="1" ht="18.75">
      <c r="A118" s="160"/>
      <c r="B118" s="161" t="s">
        <v>28</v>
      </c>
      <c r="C118" s="214"/>
      <c r="D118" s="214"/>
      <c r="E118" s="219"/>
      <c r="F118" s="219"/>
      <c r="G118" s="219"/>
      <c r="H118" s="219"/>
      <c r="I118" s="214"/>
      <c r="J118" s="214"/>
      <c r="K118" s="219"/>
      <c r="L118" s="162"/>
      <c r="M118" s="6"/>
      <c r="N118" s="6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208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s="5" customFormat="1" ht="18.75">
      <c r="A119" s="153" t="s">
        <v>132</v>
      </c>
      <c r="B119" s="161" t="s">
        <v>17</v>
      </c>
      <c r="C119" s="214"/>
      <c r="D119" s="214"/>
      <c r="E119" s="219"/>
      <c r="F119" s="219"/>
      <c r="G119" s="219"/>
      <c r="H119" s="219"/>
      <c r="I119" s="214"/>
      <c r="J119" s="214"/>
      <c r="K119" s="219"/>
      <c r="L119" s="162"/>
      <c r="M119" s="6"/>
      <c r="N119" s="6"/>
      <c r="O119" s="164"/>
      <c r="P119" s="7"/>
      <c r="Q119" s="208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208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s="5" customFormat="1" ht="37.5">
      <c r="A120" s="171" t="s">
        <v>133</v>
      </c>
      <c r="B120" s="172" t="s">
        <v>134</v>
      </c>
      <c r="C120" s="214">
        <f>C119-C108</f>
        <v>-338177.26799999998</v>
      </c>
      <c r="D120" s="214">
        <f>D119-D108</f>
        <v>-114.437</v>
      </c>
      <c r="E120" s="219"/>
      <c r="F120" s="219">
        <f t="shared" si="1"/>
        <v>-288076.93199999997</v>
      </c>
      <c r="G120" s="219">
        <f>G119-G108</f>
        <v>-97.483000000000004</v>
      </c>
      <c r="H120" s="219"/>
      <c r="I120" s="214">
        <f>I119-I108</f>
        <v>-626254.19999999995</v>
      </c>
      <c r="J120" s="214">
        <f>J119-J108</f>
        <v>-105.96</v>
      </c>
      <c r="K120" s="219"/>
      <c r="L120" s="162"/>
      <c r="M120" s="180"/>
      <c r="N120" s="226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208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s="187" customFormat="1" ht="19.5" thickBot="1">
      <c r="A121" s="153" t="s">
        <v>135</v>
      </c>
      <c r="B121" s="161" t="s">
        <v>19</v>
      </c>
      <c r="C121" s="214"/>
      <c r="D121" s="214"/>
      <c r="E121" s="218"/>
      <c r="F121" s="218"/>
      <c r="G121" s="218"/>
      <c r="H121" s="218"/>
      <c r="I121" s="214"/>
      <c r="J121" s="214"/>
      <c r="K121" s="218"/>
      <c r="L121" s="155"/>
      <c r="M121" s="189"/>
      <c r="N121" s="227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22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</row>
    <row r="122" spans="1:41" s="181" customFormat="1" ht="37.5">
      <c r="A122" s="171" t="s">
        <v>136</v>
      </c>
      <c r="B122" s="172" t="s">
        <v>137</v>
      </c>
      <c r="C122" s="214">
        <f>C121-C109</f>
        <v>0</v>
      </c>
      <c r="D122" s="214">
        <f>D121-D109</f>
        <v>0</v>
      </c>
      <c r="E122" s="218"/>
      <c r="F122" s="218">
        <f t="shared" si="1"/>
        <v>0</v>
      </c>
      <c r="G122" s="218">
        <f>G121-G109</f>
        <v>0</v>
      </c>
      <c r="H122" s="218"/>
      <c r="I122" s="214">
        <f>I121-I109</f>
        <v>0</v>
      </c>
      <c r="J122" s="214">
        <f>J121-J109</f>
        <v>0</v>
      </c>
      <c r="K122" s="218"/>
      <c r="L122" s="155"/>
      <c r="M122" s="180"/>
      <c r="N122" s="180"/>
      <c r="O122" s="228"/>
      <c r="P122" s="191"/>
      <c r="AB122" s="221"/>
    </row>
    <row r="123" spans="1:41" s="159" customFormat="1" ht="19.5">
      <c r="A123" s="153" t="s">
        <v>138</v>
      </c>
      <c r="B123" s="161" t="s">
        <v>172</v>
      </c>
      <c r="C123" s="214">
        <f>I123*54%</f>
        <v>9131.4000000000015</v>
      </c>
      <c r="D123" s="214">
        <f>ROUND(J123*2*C123/I123,3)</f>
        <v>2.9550000000000001</v>
      </c>
      <c r="E123" s="218"/>
      <c r="F123" s="218">
        <f t="shared" si="1"/>
        <v>7778.5999999999985</v>
      </c>
      <c r="G123" s="218">
        <f>ROUND(J123*2*F123/I123,3)</f>
        <v>2.5169999999999999</v>
      </c>
      <c r="H123" s="218"/>
      <c r="I123" s="214">
        <v>16910</v>
      </c>
      <c r="J123" s="214">
        <v>2.7360000000000002</v>
      </c>
      <c r="K123" s="218"/>
      <c r="L123" s="155"/>
      <c r="M123" s="183">
        <f>C123/D123</f>
        <v>3090.1522842639597</v>
      </c>
      <c r="N123" s="168"/>
      <c r="O123" s="213"/>
      <c r="P123" s="169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213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</row>
    <row r="124" spans="1:41" s="159" customFormat="1" ht="37.5">
      <c r="A124" s="171" t="s">
        <v>139</v>
      </c>
      <c r="B124" s="172" t="s">
        <v>140</v>
      </c>
      <c r="C124" s="214">
        <f>C123-C110</f>
        <v>8132.4000000000015</v>
      </c>
      <c r="D124" s="214">
        <f>D123-D110</f>
        <v>2.613</v>
      </c>
      <c r="E124" s="218"/>
      <c r="F124" s="218">
        <f t="shared" si="1"/>
        <v>6927.5999999999985</v>
      </c>
      <c r="G124" s="218">
        <f>G123-G110</f>
        <v>2.2250000000000001</v>
      </c>
      <c r="H124" s="218"/>
      <c r="I124" s="214">
        <f>I123-I110</f>
        <v>15060</v>
      </c>
      <c r="J124" s="214">
        <f>J123-J110</f>
        <v>2.419</v>
      </c>
      <c r="K124" s="218"/>
      <c r="L124" s="155"/>
      <c r="M124" s="156">
        <f>I123/M123</f>
        <v>5.4722222222222214</v>
      </c>
      <c r="N124" s="16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213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</row>
    <row r="125" spans="1:41" s="159" customFormat="1" ht="18.75">
      <c r="A125" s="153" t="s">
        <v>141</v>
      </c>
      <c r="B125" s="161" t="s">
        <v>173</v>
      </c>
      <c r="C125" s="214"/>
      <c r="D125" s="214"/>
      <c r="E125" s="218"/>
      <c r="F125" s="218"/>
      <c r="G125" s="218"/>
      <c r="H125" s="218"/>
      <c r="I125" s="214"/>
      <c r="J125" s="214"/>
      <c r="K125" s="218"/>
      <c r="L125" s="155"/>
      <c r="M125" s="192"/>
      <c r="N125" s="16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213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</row>
    <row r="126" spans="1:41" s="159" customFormat="1" ht="37.5">
      <c r="A126" s="171" t="s">
        <v>142</v>
      </c>
      <c r="B126" s="172" t="s">
        <v>143</v>
      </c>
      <c r="C126" s="214">
        <f>C125-C111</f>
        <v>0</v>
      </c>
      <c r="D126" s="214">
        <f>ROUND(C126*P126,3)</f>
        <v>0</v>
      </c>
      <c r="E126" s="218"/>
      <c r="F126" s="218">
        <f t="shared" si="1"/>
        <v>0</v>
      </c>
      <c r="G126" s="218">
        <f>ROUND(F126*S126,3)</f>
        <v>0</v>
      </c>
      <c r="H126" s="218"/>
      <c r="I126" s="214">
        <f>I125-I111</f>
        <v>0</v>
      </c>
      <c r="J126" s="214">
        <f>ROUND(I126*S126,3)</f>
        <v>0</v>
      </c>
      <c r="K126" s="218"/>
      <c r="L126" s="155"/>
      <c r="M126" s="168"/>
      <c r="N126" s="16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213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</row>
    <row r="127" spans="1:41" s="181" customFormat="1" ht="18.75">
      <c r="A127" s="186"/>
      <c r="B127" s="161" t="s">
        <v>45</v>
      </c>
      <c r="C127" s="214"/>
      <c r="D127" s="214"/>
      <c r="E127" s="219"/>
      <c r="F127" s="219"/>
      <c r="G127" s="219"/>
      <c r="H127" s="219"/>
      <c r="I127" s="214"/>
      <c r="J127" s="214"/>
      <c r="K127" s="219"/>
      <c r="L127" s="162"/>
      <c r="M127" s="180"/>
      <c r="N127" s="180"/>
      <c r="AB127" s="221"/>
    </row>
    <row r="128" spans="1:41" s="5" customFormat="1" ht="18.75">
      <c r="A128" s="160" t="s">
        <v>144</v>
      </c>
      <c r="B128" s="161" t="s">
        <v>145</v>
      </c>
      <c r="C128" s="214"/>
      <c r="D128" s="214"/>
      <c r="E128" s="219"/>
      <c r="F128" s="219"/>
      <c r="G128" s="219"/>
      <c r="H128" s="219"/>
      <c r="I128" s="214"/>
      <c r="J128" s="214"/>
      <c r="K128" s="219"/>
      <c r="L128" s="162"/>
      <c r="M128" s="6"/>
      <c r="N128" s="6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208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s="5" customFormat="1" ht="18.75">
      <c r="A129" s="160" t="s">
        <v>146</v>
      </c>
      <c r="B129" s="178" t="s">
        <v>76</v>
      </c>
      <c r="C129" s="214">
        <f>C103-C113-C114</f>
        <v>248936.21999999994</v>
      </c>
      <c r="D129" s="214">
        <f>D103-D113-D114</f>
        <v>85.256</v>
      </c>
      <c r="E129" s="219"/>
      <c r="F129" s="219">
        <f t="shared" si="1"/>
        <v>212056.78000000006</v>
      </c>
      <c r="G129" s="219">
        <f>G103-G113-G114</f>
        <v>72.623999999999995</v>
      </c>
      <c r="H129" s="219"/>
      <c r="I129" s="214">
        <f>I103-I113-I114</f>
        <v>460993</v>
      </c>
      <c r="J129" s="214">
        <f>J103-J113-J114</f>
        <v>78.94</v>
      </c>
      <c r="K129" s="219"/>
      <c r="L129" s="162"/>
      <c r="M129" s="6"/>
      <c r="N129" s="6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208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s="159" customFormat="1" ht="37.5">
      <c r="A130" s="153" t="s">
        <v>147</v>
      </c>
      <c r="B130" s="154" t="s">
        <v>148</v>
      </c>
      <c r="C130" s="211">
        <f>C133+C132</f>
        <v>1938.6000000000004</v>
      </c>
      <c r="D130" s="211">
        <f>D133+D132</f>
        <v>0.65200000000000002</v>
      </c>
      <c r="E130" s="218"/>
      <c r="F130" s="218">
        <f t="shared" si="1"/>
        <v>1651.3999999999996</v>
      </c>
      <c r="G130" s="218">
        <f>G133+G132</f>
        <v>0.55600000000000005</v>
      </c>
      <c r="H130" s="218"/>
      <c r="I130" s="211">
        <f>I133+I132</f>
        <v>3590</v>
      </c>
      <c r="J130" s="211">
        <f>J133+J132</f>
        <v>0.60400000000000009</v>
      </c>
      <c r="K130" s="218"/>
      <c r="L130" s="155"/>
      <c r="M130" s="168"/>
      <c r="N130" s="16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213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</row>
    <row r="131" spans="1:41" s="5" customFormat="1" ht="18.75">
      <c r="A131" s="160"/>
      <c r="B131" s="161" t="s">
        <v>11</v>
      </c>
      <c r="C131" s="214"/>
      <c r="D131" s="214"/>
      <c r="E131" s="219"/>
      <c r="F131" s="219"/>
      <c r="G131" s="219"/>
      <c r="H131" s="219"/>
      <c r="I131" s="214"/>
      <c r="J131" s="214"/>
      <c r="K131" s="219"/>
      <c r="L131" s="162"/>
      <c r="M131" s="6"/>
      <c r="N131" s="6"/>
      <c r="O131" s="164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208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s="5" customFormat="1" ht="18.75">
      <c r="A132" s="160" t="s">
        <v>149</v>
      </c>
      <c r="B132" s="161" t="s">
        <v>49</v>
      </c>
      <c r="C132" s="214"/>
      <c r="D132" s="214"/>
      <c r="E132" s="219"/>
      <c r="F132" s="219"/>
      <c r="G132" s="219"/>
      <c r="H132" s="219"/>
      <c r="I132" s="214"/>
      <c r="J132" s="214"/>
      <c r="K132" s="219"/>
      <c r="L132" s="162"/>
      <c r="M132" s="6"/>
      <c r="N132" s="163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208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s="5" customFormat="1" ht="18.75">
      <c r="A133" s="160" t="s">
        <v>150</v>
      </c>
      <c r="B133" s="161" t="s">
        <v>15</v>
      </c>
      <c r="C133" s="214">
        <f>C135+C136+C137</f>
        <v>1938.6000000000004</v>
      </c>
      <c r="D133" s="214">
        <f>D135+D136+D137</f>
        <v>0.65200000000000002</v>
      </c>
      <c r="E133" s="219"/>
      <c r="F133" s="219">
        <f t="shared" si="1"/>
        <v>1651.3999999999996</v>
      </c>
      <c r="G133" s="219">
        <f>G135+G136+G137</f>
        <v>0.55600000000000005</v>
      </c>
      <c r="H133" s="219"/>
      <c r="I133" s="214">
        <f>I135+I136+I137</f>
        <v>3590</v>
      </c>
      <c r="J133" s="214">
        <f>J135+J136+J137</f>
        <v>0.60400000000000009</v>
      </c>
      <c r="K133" s="219"/>
      <c r="L133" s="162"/>
      <c r="M133" s="168"/>
      <c r="N133" s="6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208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s="5" customFormat="1" ht="18.75">
      <c r="A134" s="160"/>
      <c r="B134" s="161" t="s">
        <v>11</v>
      </c>
      <c r="C134" s="214"/>
      <c r="D134" s="214"/>
      <c r="E134" s="219"/>
      <c r="F134" s="219"/>
      <c r="G134" s="219"/>
      <c r="H134" s="219"/>
      <c r="I134" s="214"/>
      <c r="J134" s="214"/>
      <c r="K134" s="219"/>
      <c r="L134" s="162"/>
      <c r="M134" s="6"/>
      <c r="N134" s="6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208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s="5" customFormat="1" ht="18.75">
      <c r="A135" s="160" t="s">
        <v>151</v>
      </c>
      <c r="B135" s="161" t="s">
        <v>17</v>
      </c>
      <c r="C135" s="214">
        <f>I135*54%</f>
        <v>1782.0000000000002</v>
      </c>
      <c r="D135" s="214">
        <f>ROUND(J135*2*C135/I135,3)</f>
        <v>0.6</v>
      </c>
      <c r="E135" s="219"/>
      <c r="F135" s="219">
        <f t="shared" si="1"/>
        <v>1517.9999999999998</v>
      </c>
      <c r="G135" s="219">
        <f>ROUND(J135*2*F135/I135,3)</f>
        <v>0.51200000000000001</v>
      </c>
      <c r="H135" s="219"/>
      <c r="I135" s="214">
        <v>3300</v>
      </c>
      <c r="J135" s="214">
        <v>0.55600000000000005</v>
      </c>
      <c r="K135" s="219"/>
      <c r="L135" s="162"/>
      <c r="M135" s="168">
        <f>I135/J135</f>
        <v>5935.2517985611503</v>
      </c>
      <c r="N135" s="6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208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s="5" customFormat="1" ht="18.75">
      <c r="A136" s="160" t="s">
        <v>152</v>
      </c>
      <c r="B136" s="161" t="s">
        <v>172</v>
      </c>
      <c r="C136" s="214"/>
      <c r="D136" s="214"/>
      <c r="E136" s="219"/>
      <c r="F136" s="219"/>
      <c r="G136" s="219"/>
      <c r="H136" s="219"/>
      <c r="I136" s="214"/>
      <c r="J136" s="214"/>
      <c r="K136" s="219"/>
      <c r="L136" s="162"/>
      <c r="M136" s="6"/>
      <c r="N136" s="6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208"/>
      <c r="AC136" s="7"/>
      <c r="AD136" s="164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s="5" customFormat="1" ht="18.75">
      <c r="A137" s="160" t="s">
        <v>153</v>
      </c>
      <c r="B137" s="161" t="s">
        <v>173</v>
      </c>
      <c r="C137" s="214">
        <f>I137*54%</f>
        <v>156.60000000000002</v>
      </c>
      <c r="D137" s="214">
        <f>ROUND(J137*2*C137/I137,3)</f>
        <v>5.1999999999999998E-2</v>
      </c>
      <c r="E137" s="219"/>
      <c r="F137" s="219">
        <f t="shared" si="1"/>
        <v>133.39999999999998</v>
      </c>
      <c r="G137" s="219">
        <f>ROUND(J137*2*F137/I137,3)</f>
        <v>4.3999999999999997E-2</v>
      </c>
      <c r="H137" s="219"/>
      <c r="I137" s="214">
        <v>290</v>
      </c>
      <c r="J137" s="214">
        <v>4.8000000000000001E-2</v>
      </c>
      <c r="K137" s="219"/>
      <c r="L137" s="162"/>
      <c r="M137" s="6">
        <f>I137/J137</f>
        <v>6041.666666666667</v>
      </c>
      <c r="N137" s="6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208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s="5" customFormat="1" ht="18.75">
      <c r="A138" s="160"/>
      <c r="B138" s="161" t="s">
        <v>45</v>
      </c>
      <c r="C138" s="214"/>
      <c r="D138" s="214"/>
      <c r="E138" s="219"/>
      <c r="F138" s="219"/>
      <c r="G138" s="219"/>
      <c r="H138" s="219"/>
      <c r="I138" s="214"/>
      <c r="J138" s="214"/>
      <c r="K138" s="219"/>
      <c r="L138" s="162"/>
      <c r="M138" s="6"/>
      <c r="N138" s="6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208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s="159" customFormat="1" ht="18.75">
      <c r="A139" s="153" t="s">
        <v>154</v>
      </c>
      <c r="B139" s="154" t="s">
        <v>56</v>
      </c>
      <c r="C139" s="211">
        <f>I139*54%</f>
        <v>47650.140000000007</v>
      </c>
      <c r="D139" s="211">
        <f>ROUND(J139*2*C139/I139,3)</f>
        <v>14.305999999999999</v>
      </c>
      <c r="E139" s="218"/>
      <c r="F139" s="218">
        <f t="shared" ref="F139:F150" si="2">I139-C139</f>
        <v>40590.859999999993</v>
      </c>
      <c r="G139" s="245">
        <f>ROUND(J139*2*F139/I139,3)</f>
        <v>12.186</v>
      </c>
      <c r="H139" s="218"/>
      <c r="I139" s="211">
        <v>88241</v>
      </c>
      <c r="J139" s="211">
        <v>13.245982538999881</v>
      </c>
      <c r="K139" s="218"/>
      <c r="L139" s="155"/>
      <c r="M139" s="6">
        <f>I139/I19</f>
        <v>0.69000273683387414</v>
      </c>
      <c r="N139" s="156">
        <f>J19*M139</f>
        <v>13.252180515493516</v>
      </c>
      <c r="O139" s="242">
        <f>M139*M18</f>
        <v>3096661880.1839762</v>
      </c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213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</row>
    <row r="140" spans="1:41" s="182" customFormat="1" ht="18.75">
      <c r="A140" s="153" t="s">
        <v>155</v>
      </c>
      <c r="B140" s="154" t="s">
        <v>58</v>
      </c>
      <c r="C140" s="211">
        <f>C142+C143</f>
        <v>203224.68000000002</v>
      </c>
      <c r="D140" s="211">
        <f>D142+D143</f>
        <v>71.602000000000004</v>
      </c>
      <c r="E140" s="218"/>
      <c r="F140" s="218">
        <f t="shared" si="2"/>
        <v>173117.31999999998</v>
      </c>
      <c r="G140" s="211">
        <f>G142+G143</f>
        <v>60.994</v>
      </c>
      <c r="H140" s="218"/>
      <c r="I140" s="211">
        <f>I142+I143</f>
        <v>376342</v>
      </c>
      <c r="J140" s="246">
        <f>J142+J143</f>
        <v>66.297999999999988</v>
      </c>
      <c r="K140" s="218"/>
      <c r="L140" s="155"/>
      <c r="M140" s="6">
        <f>I140/J140</f>
        <v>5676.5211620260052</v>
      </c>
      <c r="N140" s="180">
        <f>J20*M140</f>
        <v>537878.76270777406</v>
      </c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22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</row>
    <row r="141" spans="1:41" s="5" customFormat="1" ht="18.75">
      <c r="A141" s="160"/>
      <c r="B141" s="161" t="s">
        <v>28</v>
      </c>
      <c r="C141" s="214"/>
      <c r="D141" s="214"/>
      <c r="E141" s="219"/>
      <c r="F141" s="219"/>
      <c r="G141" s="219"/>
      <c r="H141" s="219"/>
      <c r="I141" s="214"/>
      <c r="J141" s="214"/>
      <c r="K141" s="219"/>
      <c r="L141" s="162"/>
      <c r="M141" s="238"/>
      <c r="N141" s="6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208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s="5" customFormat="1" ht="18.75">
      <c r="A142" s="160" t="s">
        <v>156</v>
      </c>
      <c r="B142" s="161" t="s">
        <v>30</v>
      </c>
      <c r="C142" s="214">
        <f>I142*54%</f>
        <v>202096.08000000002</v>
      </c>
      <c r="D142" s="214">
        <f>ROUND(J142*2*C142/I142,3)</f>
        <v>71.224000000000004</v>
      </c>
      <c r="E142" s="219"/>
      <c r="F142" s="219">
        <f t="shared" si="2"/>
        <v>172155.91999999998</v>
      </c>
      <c r="G142" s="219">
        <f>ROUND(J142*2*F142/I142,3)</f>
        <v>60.671999999999997</v>
      </c>
      <c r="H142" s="219"/>
      <c r="I142" s="214">
        <v>374252</v>
      </c>
      <c r="J142" s="214">
        <v>65.947999999999993</v>
      </c>
      <c r="K142" s="219"/>
      <c r="L142" s="162"/>
      <c r="M142" s="238">
        <v>0.70999980824912279</v>
      </c>
      <c r="N142" s="6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208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s="185" customFormat="1" ht="19.5">
      <c r="A143" s="160" t="s">
        <v>157</v>
      </c>
      <c r="B143" s="161" t="s">
        <v>32</v>
      </c>
      <c r="C143" s="214">
        <f>C147</f>
        <v>1128.6000000000001</v>
      </c>
      <c r="D143" s="214">
        <f>D147</f>
        <v>0.378</v>
      </c>
      <c r="E143" s="219"/>
      <c r="F143" s="219">
        <f t="shared" si="2"/>
        <v>961.39999999999986</v>
      </c>
      <c r="G143" s="219">
        <f>G147</f>
        <v>0.32200000000000001</v>
      </c>
      <c r="H143" s="219"/>
      <c r="I143" s="214">
        <f>I147</f>
        <v>2090</v>
      </c>
      <c r="J143" s="214">
        <f>J147</f>
        <v>0.35</v>
      </c>
      <c r="K143" s="219"/>
      <c r="L143" s="162"/>
      <c r="M143" s="183"/>
      <c r="N143" s="183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222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</row>
    <row r="144" spans="1:41" s="5" customFormat="1" ht="18.75">
      <c r="A144" s="160"/>
      <c r="B144" s="161" t="s">
        <v>28</v>
      </c>
      <c r="C144" s="214"/>
      <c r="D144" s="214"/>
      <c r="E144" s="219"/>
      <c r="F144" s="219"/>
      <c r="G144" s="219"/>
      <c r="H144" s="219"/>
      <c r="I144" s="214"/>
      <c r="J144" s="214"/>
      <c r="K144" s="219"/>
      <c r="L144" s="162"/>
      <c r="M144" s="6"/>
      <c r="N144" s="6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208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s="5" customFormat="1" ht="18.75">
      <c r="A145" s="160" t="s">
        <v>158</v>
      </c>
      <c r="B145" s="161" t="s">
        <v>17</v>
      </c>
      <c r="C145" s="214">
        <v>0</v>
      </c>
      <c r="D145" s="214">
        <v>0</v>
      </c>
      <c r="E145" s="219"/>
      <c r="F145" s="219">
        <f t="shared" si="2"/>
        <v>0</v>
      </c>
      <c r="G145" s="219">
        <v>0</v>
      </c>
      <c r="H145" s="219"/>
      <c r="I145" s="214">
        <v>0</v>
      </c>
      <c r="J145" s="214">
        <v>0</v>
      </c>
      <c r="K145" s="219"/>
      <c r="L145" s="162"/>
      <c r="M145" s="6"/>
      <c r="N145" s="6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208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s="5" customFormat="1" ht="37.5">
      <c r="A146" s="177" t="s">
        <v>159</v>
      </c>
      <c r="B146" s="161" t="s">
        <v>160</v>
      </c>
      <c r="C146" s="214">
        <f>C145-C135</f>
        <v>-1782.0000000000002</v>
      </c>
      <c r="D146" s="214">
        <f>D145-D135</f>
        <v>-0.6</v>
      </c>
      <c r="E146" s="219"/>
      <c r="F146" s="219">
        <f t="shared" si="2"/>
        <v>-1517.9999999999998</v>
      </c>
      <c r="G146" s="219">
        <f>G145-G135</f>
        <v>-0.51200000000000001</v>
      </c>
      <c r="H146" s="219"/>
      <c r="I146" s="214">
        <f>I145-I135</f>
        <v>-3300</v>
      </c>
      <c r="J146" s="214">
        <f>J145-J135</f>
        <v>-0.55600000000000005</v>
      </c>
      <c r="K146" s="219"/>
      <c r="L146" s="162"/>
      <c r="M146" s="216"/>
      <c r="N146" s="6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208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s="5" customFormat="1" ht="18.75">
      <c r="A147" s="160" t="s">
        <v>161</v>
      </c>
      <c r="B147" s="161" t="s">
        <v>172</v>
      </c>
      <c r="C147" s="214">
        <f>I147*54%</f>
        <v>1128.6000000000001</v>
      </c>
      <c r="D147" s="214">
        <f>ROUND(J147*2*C147/I147,3)</f>
        <v>0.378</v>
      </c>
      <c r="E147" s="219"/>
      <c r="F147" s="219">
        <f t="shared" si="2"/>
        <v>961.39999999999986</v>
      </c>
      <c r="G147" s="219">
        <f>ROUND(J147*2*F147/I147,3)</f>
        <v>0.32200000000000001</v>
      </c>
      <c r="H147" s="219"/>
      <c r="I147" s="214">
        <v>2090</v>
      </c>
      <c r="J147" s="214">
        <v>0.35</v>
      </c>
      <c r="K147" s="219"/>
      <c r="L147" s="162"/>
      <c r="M147" s="6">
        <f>I147/J147</f>
        <v>5971.4285714285716</v>
      </c>
      <c r="N147" s="163"/>
      <c r="O147" s="174">
        <v>19000</v>
      </c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208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s="5" customFormat="1" ht="37.5">
      <c r="A148" s="177" t="s">
        <v>162</v>
      </c>
      <c r="B148" s="161" t="s">
        <v>163</v>
      </c>
      <c r="C148" s="214">
        <f>C147-C136</f>
        <v>1128.6000000000001</v>
      </c>
      <c r="D148" s="214">
        <f>D147-D136</f>
        <v>0.378</v>
      </c>
      <c r="E148" s="219"/>
      <c r="F148" s="219">
        <f t="shared" si="2"/>
        <v>961.39999999999986</v>
      </c>
      <c r="G148" s="219">
        <f>G147-G136</f>
        <v>0.32200000000000001</v>
      </c>
      <c r="H148" s="219"/>
      <c r="I148" s="214">
        <f>I147-I136</f>
        <v>2090</v>
      </c>
      <c r="J148" s="214">
        <f>J147-J136</f>
        <v>0.35</v>
      </c>
      <c r="K148" s="219"/>
      <c r="L148" s="162"/>
      <c r="M148" s="163">
        <f>C147/D147</f>
        <v>2985.7142857142862</v>
      </c>
      <c r="N148" s="6"/>
      <c r="O148" s="174">
        <f>O147*11%</f>
        <v>2090</v>
      </c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208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s="5" customFormat="1" ht="18.75">
      <c r="A149" s="160" t="s">
        <v>164</v>
      </c>
      <c r="B149" s="161" t="s">
        <v>173</v>
      </c>
      <c r="C149" s="214">
        <v>0</v>
      </c>
      <c r="D149" s="214">
        <v>0</v>
      </c>
      <c r="E149" s="219"/>
      <c r="F149" s="219">
        <f t="shared" si="2"/>
        <v>0</v>
      </c>
      <c r="G149" s="219">
        <v>0</v>
      </c>
      <c r="H149" s="219"/>
      <c r="I149" s="214">
        <v>0</v>
      </c>
      <c r="J149" s="214">
        <v>0</v>
      </c>
      <c r="K149" s="219"/>
      <c r="L149" s="162"/>
      <c r="M149" s="6"/>
      <c r="N149" s="6"/>
      <c r="O149" s="174">
        <f>O147-O148</f>
        <v>16910</v>
      </c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208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s="5" customFormat="1" ht="37.5">
      <c r="A150" s="177" t="s">
        <v>166</v>
      </c>
      <c r="B150" s="161" t="s">
        <v>167</v>
      </c>
      <c r="C150" s="214">
        <f>C149-C137</f>
        <v>-156.60000000000002</v>
      </c>
      <c r="D150" s="225">
        <f>D149-D137</f>
        <v>-5.1999999999999998E-2</v>
      </c>
      <c r="E150" s="219"/>
      <c r="F150" s="219">
        <f t="shared" si="2"/>
        <v>-133.39999999999998</v>
      </c>
      <c r="G150" s="219">
        <f>G149-G137</f>
        <v>-4.3999999999999997E-2</v>
      </c>
      <c r="H150" s="219"/>
      <c r="I150" s="214">
        <f>I149-I137</f>
        <v>-290</v>
      </c>
      <c r="J150" s="225">
        <f>J149-J137</f>
        <v>-4.8000000000000001E-2</v>
      </c>
      <c r="K150" s="219"/>
      <c r="L150" s="162"/>
      <c r="M150" s="6"/>
      <c r="N150" s="6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208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ht="24.95" hidden="1" customHeight="1">
      <c r="D151" s="205"/>
      <c r="J151" s="205"/>
    </row>
    <row r="152" spans="1:41" ht="24.75" hidden="1" customHeight="1">
      <c r="D152" s="205"/>
      <c r="J152" s="205"/>
    </row>
    <row r="153" spans="1:41" s="13" customFormat="1" ht="77.25" customHeight="1">
      <c r="A153" s="13" t="s">
        <v>168</v>
      </c>
      <c r="B153" s="14"/>
      <c r="C153" s="17"/>
      <c r="D153" s="229"/>
      <c r="I153" s="17"/>
      <c r="J153" s="13" t="s">
        <v>169</v>
      </c>
      <c r="M153" s="15"/>
      <c r="N153" s="15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230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</row>
    <row r="154" spans="1:41" s="13" customFormat="1" ht="39.6" customHeight="1">
      <c r="B154" s="14"/>
      <c r="C154" s="17"/>
      <c r="D154" s="229"/>
      <c r="I154" s="17"/>
      <c r="M154" s="15"/>
      <c r="N154" s="15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230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</row>
    <row r="155" spans="1:41" s="13" customFormat="1" ht="66" customHeight="1">
      <c r="A155" s="13" t="s">
        <v>170</v>
      </c>
      <c r="B155" s="14"/>
      <c r="C155" s="17"/>
      <c r="D155" s="229"/>
      <c r="I155" s="17"/>
      <c r="J155" s="13" t="s">
        <v>171</v>
      </c>
      <c r="M155" s="15"/>
      <c r="N155" s="15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230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</row>
    <row r="156" spans="1:41" s="13" customFormat="1" ht="28.9" customHeight="1">
      <c r="B156" s="14"/>
      <c r="C156" s="17"/>
      <c r="D156" s="229"/>
      <c r="I156" s="17"/>
      <c r="M156" s="15"/>
      <c r="N156" s="15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230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</row>
    <row r="157" spans="1:41" s="13" customFormat="1" ht="50.45" customHeight="1">
      <c r="A157" s="13" t="s">
        <v>240</v>
      </c>
      <c r="B157" s="14"/>
      <c r="C157" s="17"/>
      <c r="D157" s="229"/>
      <c r="E157" s="14"/>
      <c r="F157" s="14"/>
      <c r="G157" s="14"/>
      <c r="H157" s="14"/>
      <c r="I157" s="17"/>
      <c r="J157" s="14"/>
      <c r="M157" s="15"/>
      <c r="N157" s="15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230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</row>
    <row r="161" spans="2:28" s="147" customFormat="1">
      <c r="B161" s="4"/>
      <c r="C161" s="205"/>
      <c r="D161" s="206"/>
      <c r="E161" s="145"/>
      <c r="F161" s="145"/>
      <c r="G161" s="145"/>
      <c r="H161" s="145"/>
      <c r="I161" s="205"/>
      <c r="J161" s="206"/>
      <c r="K161" s="145"/>
      <c r="L161" s="148"/>
      <c r="M161" s="146"/>
      <c r="N161" s="146"/>
      <c r="AB161" s="207"/>
    </row>
    <row r="162" spans="2:28" s="147" customFormat="1">
      <c r="B162" s="4"/>
      <c r="C162" s="205"/>
      <c r="D162" s="206"/>
      <c r="E162" s="145"/>
      <c r="F162" s="145"/>
      <c r="G162" s="145"/>
      <c r="H162" s="145"/>
      <c r="I162" s="205"/>
      <c r="J162" s="206"/>
      <c r="K162" s="145"/>
      <c r="L162" s="148"/>
      <c r="M162" s="146"/>
      <c r="N162" s="146"/>
      <c r="AB162" s="207"/>
    </row>
    <row r="163" spans="2:28" s="147" customFormat="1">
      <c r="B163" s="4"/>
      <c r="C163" s="205"/>
      <c r="D163" s="206"/>
      <c r="E163" s="145"/>
      <c r="F163" s="145"/>
      <c r="G163" s="145"/>
      <c r="H163" s="145"/>
      <c r="I163" s="205"/>
      <c r="J163" s="206"/>
      <c r="K163" s="145"/>
      <c r="L163" s="148"/>
      <c r="M163" s="146"/>
      <c r="N163" s="146"/>
      <c r="AB163" s="207"/>
    </row>
    <row r="164" spans="2:28" s="147" customFormat="1">
      <c r="B164" s="4"/>
      <c r="C164" s="205"/>
      <c r="D164" s="206"/>
      <c r="E164" s="145"/>
      <c r="F164" s="145"/>
      <c r="G164" s="145"/>
      <c r="H164" s="145"/>
      <c r="I164" s="205"/>
      <c r="J164" s="206"/>
      <c r="K164" s="145"/>
      <c r="L164" s="148"/>
      <c r="M164" s="146"/>
      <c r="N164" s="146"/>
      <c r="AB164" s="207"/>
    </row>
    <row r="165" spans="2:28" s="147" customFormat="1">
      <c r="B165" s="4"/>
      <c r="C165" s="205"/>
      <c r="D165" s="206"/>
      <c r="E165" s="145"/>
      <c r="F165" s="145"/>
      <c r="G165" s="145"/>
      <c r="H165" s="145"/>
      <c r="I165" s="205"/>
      <c r="J165" s="206"/>
      <c r="K165" s="145"/>
      <c r="L165" s="148"/>
      <c r="M165" s="146"/>
      <c r="N165" s="146"/>
      <c r="AB165" s="207"/>
    </row>
    <row r="166" spans="2:28" s="147" customFormat="1">
      <c r="B166" s="4"/>
      <c r="C166" s="205"/>
      <c r="D166" s="206"/>
      <c r="E166" s="145"/>
      <c r="F166" s="145"/>
      <c r="G166" s="145"/>
      <c r="H166" s="145"/>
      <c r="I166" s="205"/>
      <c r="J166" s="206"/>
      <c r="K166" s="145"/>
      <c r="L166" s="148"/>
      <c r="M166" s="146"/>
      <c r="N166" s="146"/>
      <c r="AB166" s="207"/>
    </row>
    <row r="167" spans="2:28" s="147" customFormat="1">
      <c r="B167" s="4"/>
      <c r="C167" s="205"/>
      <c r="D167" s="206"/>
      <c r="E167" s="145"/>
      <c r="F167" s="145"/>
      <c r="G167" s="145"/>
      <c r="H167" s="145"/>
      <c r="I167" s="205"/>
      <c r="J167" s="206"/>
      <c r="K167" s="145"/>
      <c r="L167" s="148"/>
      <c r="M167" s="146"/>
      <c r="N167" s="146"/>
      <c r="AB167" s="207"/>
    </row>
    <row r="168" spans="2:28" s="147" customFormat="1">
      <c r="B168" s="4"/>
      <c r="C168" s="205"/>
      <c r="D168" s="206"/>
      <c r="E168" s="145"/>
      <c r="F168" s="145"/>
      <c r="G168" s="145"/>
      <c r="H168" s="145"/>
      <c r="I168" s="205"/>
      <c r="J168" s="206"/>
      <c r="K168" s="145"/>
      <c r="L168" s="148"/>
      <c r="M168" s="146"/>
      <c r="N168" s="146"/>
      <c r="AB168" s="207"/>
    </row>
    <row r="169" spans="2:28" s="147" customFormat="1">
      <c r="B169" s="4"/>
      <c r="C169" s="205"/>
      <c r="D169" s="206"/>
      <c r="E169" s="145"/>
      <c r="F169" s="145"/>
      <c r="G169" s="145"/>
      <c r="H169" s="145"/>
      <c r="I169" s="205"/>
      <c r="J169" s="206"/>
      <c r="K169" s="145"/>
      <c r="L169" s="148"/>
      <c r="M169" s="146"/>
      <c r="N169" s="146"/>
      <c r="AB169" s="207"/>
    </row>
    <row r="170" spans="2:28" s="147" customFormat="1">
      <c r="B170" s="4"/>
      <c r="C170" s="205"/>
      <c r="D170" s="206"/>
      <c r="E170" s="145"/>
      <c r="F170" s="145"/>
      <c r="G170" s="145"/>
      <c r="H170" s="145"/>
      <c r="I170" s="205"/>
      <c r="J170" s="206"/>
      <c r="K170" s="145"/>
      <c r="L170" s="148"/>
      <c r="M170" s="146"/>
      <c r="N170" s="146"/>
      <c r="AB170" s="207"/>
    </row>
    <row r="171" spans="2:28" s="147" customFormat="1">
      <c r="B171" s="4"/>
      <c r="C171" s="205"/>
      <c r="D171" s="206"/>
      <c r="E171" s="145"/>
      <c r="F171" s="145"/>
      <c r="G171" s="145"/>
      <c r="H171" s="145"/>
      <c r="I171" s="205"/>
      <c r="J171" s="206"/>
      <c r="K171" s="145"/>
      <c r="L171" s="148"/>
      <c r="M171" s="146"/>
      <c r="N171" s="146"/>
      <c r="AB171" s="207"/>
    </row>
    <row r="172" spans="2:28" s="147" customFormat="1">
      <c r="B172" s="4"/>
      <c r="C172" s="205"/>
      <c r="D172" s="206"/>
      <c r="E172" s="145"/>
      <c r="F172" s="145"/>
      <c r="G172" s="145"/>
      <c r="H172" s="145"/>
      <c r="I172" s="205"/>
      <c r="J172" s="206"/>
      <c r="K172" s="145"/>
      <c r="L172" s="148"/>
      <c r="M172" s="146"/>
      <c r="N172" s="146"/>
      <c r="AB172" s="207"/>
    </row>
    <row r="173" spans="2:28" s="147" customFormat="1">
      <c r="B173" s="4"/>
      <c r="C173" s="205"/>
      <c r="D173" s="206"/>
      <c r="E173" s="145"/>
      <c r="F173" s="145"/>
      <c r="G173" s="145"/>
      <c r="H173" s="145"/>
      <c r="I173" s="205"/>
      <c r="J173" s="206"/>
      <c r="K173" s="145"/>
      <c r="L173" s="148"/>
      <c r="M173" s="146"/>
      <c r="N173" s="146"/>
      <c r="AB173" s="207"/>
    </row>
    <row r="174" spans="2:28" s="147" customFormat="1">
      <c r="B174" s="4"/>
      <c r="C174" s="205"/>
      <c r="D174" s="206"/>
      <c r="E174" s="145"/>
      <c r="F174" s="145"/>
      <c r="G174" s="145"/>
      <c r="H174" s="145"/>
      <c r="I174" s="205"/>
      <c r="J174" s="206"/>
      <c r="K174" s="145"/>
      <c r="L174" s="148"/>
      <c r="M174" s="146"/>
      <c r="N174" s="146"/>
      <c r="AB174" s="207"/>
    </row>
    <row r="175" spans="2:28" s="147" customFormat="1">
      <c r="B175" s="4"/>
      <c r="C175" s="205"/>
      <c r="D175" s="206"/>
      <c r="E175" s="145"/>
      <c r="F175" s="145"/>
      <c r="G175" s="145"/>
      <c r="H175" s="145"/>
      <c r="I175" s="205"/>
      <c r="J175" s="206"/>
      <c r="K175" s="145"/>
      <c r="L175" s="148"/>
      <c r="M175" s="146"/>
      <c r="N175" s="146"/>
      <c r="AB175" s="207"/>
    </row>
    <row r="176" spans="2:28" s="147" customFormat="1">
      <c r="B176" s="4"/>
      <c r="C176" s="205"/>
      <c r="D176" s="206"/>
      <c r="E176" s="145"/>
      <c r="F176" s="145"/>
      <c r="G176" s="145"/>
      <c r="H176" s="145"/>
      <c r="I176" s="205"/>
      <c r="J176" s="206"/>
      <c r="K176" s="145"/>
      <c r="L176" s="148"/>
      <c r="M176" s="146"/>
      <c r="N176" s="146"/>
      <c r="AB176" s="207"/>
    </row>
    <row r="177" spans="2:28" s="147" customFormat="1">
      <c r="B177" s="4"/>
      <c r="C177" s="205"/>
      <c r="D177" s="206"/>
      <c r="E177" s="145"/>
      <c r="F177" s="145"/>
      <c r="G177" s="145"/>
      <c r="H177" s="145"/>
      <c r="I177" s="205"/>
      <c r="J177" s="206"/>
      <c r="K177" s="145"/>
      <c r="L177" s="148"/>
      <c r="M177" s="146"/>
      <c r="N177" s="146"/>
      <c r="AB177" s="207"/>
    </row>
    <row r="178" spans="2:28" s="147" customFormat="1">
      <c r="B178" s="4"/>
      <c r="C178" s="205"/>
      <c r="D178" s="206"/>
      <c r="E178" s="145"/>
      <c r="F178" s="145"/>
      <c r="G178" s="145"/>
      <c r="H178" s="145"/>
      <c r="I178" s="205"/>
      <c r="J178" s="206"/>
      <c r="K178" s="145"/>
      <c r="L178" s="148"/>
      <c r="M178" s="146"/>
      <c r="N178" s="146"/>
      <c r="AB178" s="207"/>
    </row>
    <row r="179" spans="2:28" s="147" customFormat="1">
      <c r="B179" s="4"/>
      <c r="C179" s="205"/>
      <c r="D179" s="206"/>
      <c r="E179" s="145"/>
      <c r="F179" s="145"/>
      <c r="G179" s="145"/>
      <c r="H179" s="145"/>
      <c r="I179" s="205"/>
      <c r="J179" s="206"/>
      <c r="K179" s="145"/>
      <c r="L179" s="148"/>
      <c r="M179" s="146"/>
      <c r="N179" s="146"/>
      <c r="AB179" s="207"/>
    </row>
    <row r="180" spans="2:28" s="147" customFormat="1">
      <c r="B180" s="4"/>
      <c r="C180" s="205"/>
      <c r="D180" s="206"/>
      <c r="E180" s="145"/>
      <c r="F180" s="145"/>
      <c r="G180" s="145"/>
      <c r="H180" s="145"/>
      <c r="I180" s="205"/>
      <c r="J180" s="206"/>
      <c r="K180" s="145"/>
      <c r="L180" s="148"/>
      <c r="M180" s="146"/>
      <c r="N180" s="146"/>
      <c r="AB180" s="207"/>
    </row>
    <row r="181" spans="2:28" s="147" customFormat="1">
      <c r="B181" s="4"/>
      <c r="C181" s="205"/>
      <c r="D181" s="206"/>
      <c r="E181" s="145"/>
      <c r="F181" s="145"/>
      <c r="G181" s="145"/>
      <c r="H181" s="145"/>
      <c r="I181" s="205"/>
      <c r="J181" s="206"/>
      <c r="K181" s="145"/>
      <c r="L181" s="148"/>
      <c r="M181" s="146"/>
      <c r="N181" s="146"/>
      <c r="AB181" s="207"/>
    </row>
    <row r="182" spans="2:28" s="147" customFormat="1">
      <c r="B182" s="4"/>
      <c r="C182" s="205"/>
      <c r="D182" s="206"/>
      <c r="E182" s="145"/>
      <c r="F182" s="145"/>
      <c r="G182" s="145"/>
      <c r="H182" s="145"/>
      <c r="I182" s="205"/>
      <c r="J182" s="206"/>
      <c r="K182" s="145"/>
      <c r="L182" s="148"/>
      <c r="M182" s="146"/>
      <c r="N182" s="146"/>
      <c r="AB182" s="207"/>
    </row>
    <row r="183" spans="2:28" s="147" customFormat="1">
      <c r="B183" s="4"/>
      <c r="C183" s="205"/>
      <c r="D183" s="206"/>
      <c r="E183" s="145"/>
      <c r="F183" s="145"/>
      <c r="G183" s="145"/>
      <c r="H183" s="145"/>
      <c r="I183" s="205"/>
      <c r="J183" s="206"/>
      <c r="K183" s="145"/>
      <c r="L183" s="148"/>
      <c r="M183" s="146"/>
      <c r="N183" s="146"/>
      <c r="AB183" s="207"/>
    </row>
    <row r="184" spans="2:28" s="147" customFormat="1">
      <c r="B184" s="4"/>
      <c r="C184" s="205"/>
      <c r="D184" s="206"/>
      <c r="E184" s="145"/>
      <c r="F184" s="145"/>
      <c r="G184" s="145"/>
      <c r="H184" s="145"/>
      <c r="I184" s="205"/>
      <c r="J184" s="206"/>
      <c r="K184" s="145"/>
      <c r="L184" s="148"/>
      <c r="M184" s="146"/>
      <c r="N184" s="146"/>
      <c r="AB184" s="207"/>
    </row>
    <row r="185" spans="2:28" s="147" customFormat="1">
      <c r="B185" s="4"/>
      <c r="C185" s="205"/>
      <c r="D185" s="206"/>
      <c r="E185" s="145"/>
      <c r="F185" s="145"/>
      <c r="G185" s="145"/>
      <c r="H185" s="145"/>
      <c r="I185" s="205"/>
      <c r="J185" s="206"/>
      <c r="K185" s="145"/>
      <c r="L185" s="148"/>
      <c r="M185" s="146"/>
      <c r="N185" s="146"/>
      <c r="AB185" s="207"/>
    </row>
    <row r="186" spans="2:28" s="147" customFormat="1">
      <c r="B186" s="4"/>
      <c r="C186" s="205"/>
      <c r="D186" s="206"/>
      <c r="E186" s="145"/>
      <c r="F186" s="145"/>
      <c r="G186" s="145"/>
      <c r="H186" s="145"/>
      <c r="I186" s="205"/>
      <c r="J186" s="206"/>
      <c r="K186" s="145"/>
      <c r="L186" s="148"/>
      <c r="M186" s="146"/>
      <c r="N186" s="146"/>
      <c r="AB186" s="207"/>
    </row>
    <row r="187" spans="2:28" s="147" customFormat="1">
      <c r="B187" s="4"/>
      <c r="C187" s="205"/>
      <c r="D187" s="206"/>
      <c r="E187" s="145"/>
      <c r="F187" s="145"/>
      <c r="G187" s="145"/>
      <c r="H187" s="145"/>
      <c r="I187" s="205"/>
      <c r="J187" s="206"/>
      <c r="K187" s="145"/>
      <c r="L187" s="148"/>
      <c r="M187" s="146"/>
      <c r="N187" s="146"/>
      <c r="AB187" s="207"/>
    </row>
    <row r="188" spans="2:28" s="147" customFormat="1">
      <c r="B188" s="4"/>
      <c r="C188" s="205"/>
      <c r="D188" s="206"/>
      <c r="E188" s="145"/>
      <c r="F188" s="145"/>
      <c r="G188" s="145"/>
      <c r="H188" s="145"/>
      <c r="I188" s="205"/>
      <c r="J188" s="206"/>
      <c r="K188" s="145"/>
      <c r="L188" s="148"/>
      <c r="M188" s="146"/>
      <c r="N188" s="146"/>
      <c r="AB188" s="207"/>
    </row>
    <row r="189" spans="2:28" s="147" customFormat="1">
      <c r="B189" s="4"/>
      <c r="C189" s="205"/>
      <c r="D189" s="206"/>
      <c r="E189" s="145"/>
      <c r="F189" s="145"/>
      <c r="G189" s="145"/>
      <c r="H189" s="145"/>
      <c r="I189" s="205"/>
      <c r="J189" s="206"/>
      <c r="K189" s="145"/>
      <c r="L189" s="148"/>
      <c r="M189" s="146"/>
      <c r="N189" s="146"/>
      <c r="AB189" s="207"/>
    </row>
    <row r="190" spans="2:28" s="147" customFormat="1">
      <c r="B190" s="4"/>
      <c r="C190" s="205"/>
      <c r="D190" s="206"/>
      <c r="E190" s="145"/>
      <c r="F190" s="145"/>
      <c r="G190" s="145"/>
      <c r="H190" s="145"/>
      <c r="I190" s="205"/>
      <c r="J190" s="206"/>
      <c r="K190" s="145"/>
      <c r="L190" s="148"/>
      <c r="M190" s="146"/>
      <c r="N190" s="146"/>
      <c r="AB190" s="207"/>
    </row>
    <row r="191" spans="2:28" s="147" customFormat="1">
      <c r="B191" s="4"/>
      <c r="C191" s="205"/>
      <c r="D191" s="206"/>
      <c r="E191" s="145"/>
      <c r="F191" s="145"/>
      <c r="G191" s="145"/>
      <c r="H191" s="145"/>
      <c r="I191" s="205"/>
      <c r="J191" s="206"/>
      <c r="K191" s="145"/>
      <c r="L191" s="148"/>
      <c r="M191" s="146"/>
      <c r="N191" s="146"/>
      <c r="AB191" s="207"/>
    </row>
    <row r="192" spans="2:28" s="147" customFormat="1">
      <c r="B192" s="4"/>
      <c r="C192" s="205"/>
      <c r="D192" s="206"/>
      <c r="E192" s="145"/>
      <c r="F192" s="145"/>
      <c r="G192" s="145"/>
      <c r="H192" s="145"/>
      <c r="I192" s="205"/>
      <c r="J192" s="206"/>
      <c r="K192" s="145"/>
      <c r="L192" s="148"/>
      <c r="M192" s="146"/>
      <c r="N192" s="146"/>
      <c r="AB192" s="207"/>
    </row>
    <row r="193" spans="2:28" s="147" customFormat="1">
      <c r="B193" s="4"/>
      <c r="C193" s="205"/>
      <c r="D193" s="206"/>
      <c r="E193" s="145"/>
      <c r="F193" s="145"/>
      <c r="G193" s="145"/>
      <c r="H193" s="145"/>
      <c r="I193" s="205"/>
      <c r="J193" s="206"/>
      <c r="K193" s="145"/>
      <c r="L193" s="148"/>
      <c r="M193" s="146"/>
      <c r="N193" s="146"/>
      <c r="AB193" s="207"/>
    </row>
    <row r="194" spans="2:28" s="147" customFormat="1">
      <c r="B194" s="4"/>
      <c r="C194" s="205"/>
      <c r="D194" s="206"/>
      <c r="E194" s="145"/>
      <c r="F194" s="145"/>
      <c r="G194" s="145"/>
      <c r="H194" s="145"/>
      <c r="I194" s="205"/>
      <c r="J194" s="206"/>
      <c r="K194" s="145"/>
      <c r="L194" s="148"/>
      <c r="M194" s="146"/>
      <c r="N194" s="146"/>
      <c r="AB194" s="207"/>
    </row>
    <row r="195" spans="2:28" s="147" customFormat="1">
      <c r="B195" s="4"/>
      <c r="C195" s="205"/>
      <c r="D195" s="206"/>
      <c r="E195" s="145"/>
      <c r="F195" s="145"/>
      <c r="G195" s="145"/>
      <c r="H195" s="145"/>
      <c r="I195" s="205"/>
      <c r="J195" s="206"/>
      <c r="K195" s="145"/>
      <c r="L195" s="148"/>
      <c r="M195" s="146"/>
      <c r="N195" s="146"/>
      <c r="AB195" s="207"/>
    </row>
    <row r="196" spans="2:28" s="147" customFormat="1">
      <c r="B196" s="4"/>
      <c r="C196" s="205"/>
      <c r="D196" s="206"/>
      <c r="E196" s="145"/>
      <c r="F196" s="145"/>
      <c r="G196" s="145"/>
      <c r="H196" s="145"/>
      <c r="I196" s="205"/>
      <c r="J196" s="206"/>
      <c r="K196" s="145"/>
      <c r="L196" s="148"/>
      <c r="M196" s="146"/>
      <c r="N196" s="146"/>
      <c r="AB196" s="207"/>
    </row>
    <row r="197" spans="2:28" s="147" customFormat="1">
      <c r="B197" s="4"/>
      <c r="C197" s="205"/>
      <c r="D197" s="206"/>
      <c r="E197" s="145"/>
      <c r="F197" s="145"/>
      <c r="G197" s="145"/>
      <c r="H197" s="145"/>
      <c r="I197" s="205"/>
      <c r="J197" s="206"/>
      <c r="K197" s="145"/>
      <c r="L197" s="148"/>
      <c r="M197" s="146"/>
      <c r="N197" s="146"/>
      <c r="AB197" s="207"/>
    </row>
    <row r="198" spans="2:28" s="147" customFormat="1">
      <c r="B198" s="4"/>
      <c r="C198" s="205"/>
      <c r="D198" s="206"/>
      <c r="E198" s="145"/>
      <c r="F198" s="145"/>
      <c r="G198" s="145"/>
      <c r="H198" s="145"/>
      <c r="I198" s="205"/>
      <c r="J198" s="206"/>
      <c r="K198" s="145"/>
      <c r="L198" s="148"/>
      <c r="M198" s="146"/>
      <c r="N198" s="146"/>
      <c r="AB198" s="207"/>
    </row>
  </sheetData>
  <mergeCells count="8">
    <mergeCell ref="A3:L3"/>
    <mergeCell ref="A4:L4"/>
    <mergeCell ref="I5:L5"/>
    <mergeCell ref="A6:A7"/>
    <mergeCell ref="B6:B7"/>
    <mergeCell ref="C6:E6"/>
    <mergeCell ref="I6:L6"/>
    <mergeCell ref="F6:H6"/>
  </mergeCells>
  <pageMargins left="0.62992125984251968" right="0.35433070866141736" top="0.11811023622047245" bottom="0.11811023622047245" header="0" footer="0"/>
  <pageSetup paperSize="9" scale="3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V199"/>
  <sheetViews>
    <sheetView showWhiteSpace="0" topLeftCell="B4" zoomScale="80" zoomScaleNormal="80" zoomScaleSheetLayoutView="70" zoomScalePageLayoutView="30" workbookViewId="0">
      <selection activeCell="K14" sqref="K14"/>
    </sheetView>
  </sheetViews>
  <sheetFormatPr defaultRowHeight="15"/>
  <cols>
    <col min="1" max="1" width="12.140625" style="148" customWidth="1"/>
    <col min="2" max="2" width="67.7109375" style="4" customWidth="1"/>
    <col min="3" max="3" width="22.5703125" style="205" customWidth="1"/>
    <col min="4" max="4" width="16.7109375" style="206" customWidth="1"/>
    <col min="5" max="5" width="14.42578125" style="145" customWidth="1"/>
    <col min="6" max="6" width="21" style="145" customWidth="1"/>
    <col min="7" max="7" width="16" style="145" customWidth="1"/>
    <col min="8" max="8" width="14.42578125" style="145" customWidth="1"/>
    <col min="9" max="9" width="21" style="205" customWidth="1"/>
    <col min="10" max="10" width="15.5703125" style="206" customWidth="1"/>
    <col min="11" max="11" width="13.5703125" style="145" customWidth="1"/>
    <col min="12" max="12" width="11.85546875" style="148" customWidth="1"/>
    <col min="13" max="13" width="14.140625" style="147" hidden="1" customWidth="1"/>
    <col min="14" max="14" width="18.5703125" style="147" hidden="1" customWidth="1"/>
    <col min="15" max="15" width="20.140625" style="207" hidden="1" customWidth="1"/>
    <col min="16" max="16" width="19.5703125" style="147" hidden="1" customWidth="1"/>
    <col min="17" max="17" width="7.5703125" style="147" customWidth="1"/>
    <col min="18" max="18" width="21.140625" style="147" customWidth="1"/>
    <col min="19" max="19" width="11" style="147" customWidth="1"/>
    <col min="20" max="20" width="19.5703125" style="147" customWidth="1"/>
    <col min="21" max="21" width="11.7109375" style="147" customWidth="1"/>
    <col min="22" max="22" width="7.5703125" style="147" customWidth="1"/>
    <col min="23" max="16384" width="9.140625" style="148"/>
  </cols>
  <sheetData>
    <row r="1" spans="1:22" s="5" customFormat="1" ht="24" customHeight="1">
      <c r="A1" s="485" t="s">
        <v>241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7"/>
      <c r="N1" s="7"/>
      <c r="O1" s="208"/>
      <c r="P1" s="7"/>
      <c r="Q1" s="7"/>
      <c r="R1" s="7"/>
      <c r="S1" s="7"/>
      <c r="T1" s="7"/>
      <c r="U1" s="7"/>
      <c r="V1" s="7"/>
    </row>
    <row r="2" spans="1:22" s="5" customFormat="1" ht="23.25" customHeight="1">
      <c r="A2" s="485" t="s">
        <v>251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7"/>
      <c r="N2" s="7"/>
      <c r="O2" s="208"/>
      <c r="P2" s="7"/>
      <c r="Q2" s="7"/>
      <c r="R2" s="7"/>
      <c r="S2" s="7"/>
      <c r="T2" s="7"/>
      <c r="U2" s="7"/>
      <c r="V2" s="7"/>
    </row>
    <row r="3" spans="1:22" s="5" customFormat="1" ht="21" customHeight="1">
      <c r="A3" s="8"/>
      <c r="B3" s="8"/>
      <c r="C3" s="8"/>
      <c r="D3" s="8"/>
      <c r="E3" s="8"/>
      <c r="F3" s="8"/>
      <c r="G3" s="8"/>
      <c r="H3" s="8"/>
      <c r="I3" s="486"/>
      <c r="J3" s="486"/>
      <c r="K3" s="486"/>
      <c r="L3" s="486"/>
      <c r="M3" s="7"/>
      <c r="N3" s="7"/>
      <c r="O3" s="208"/>
      <c r="P3" s="7"/>
      <c r="Q3" s="7"/>
      <c r="R3" s="7"/>
      <c r="S3" s="7"/>
      <c r="T3" s="7"/>
      <c r="U3" s="7"/>
      <c r="V3" s="7"/>
    </row>
    <row r="4" spans="1:22" s="12" customFormat="1" ht="24.75" customHeight="1">
      <c r="A4" s="487" t="s">
        <v>3</v>
      </c>
      <c r="B4" s="487" t="s">
        <v>4</v>
      </c>
      <c r="C4" s="488" t="s">
        <v>248</v>
      </c>
      <c r="D4" s="488"/>
      <c r="E4" s="488"/>
      <c r="F4" s="488" t="s">
        <v>249</v>
      </c>
      <c r="G4" s="488"/>
      <c r="H4" s="488"/>
      <c r="I4" s="488" t="s">
        <v>250</v>
      </c>
      <c r="J4" s="488"/>
      <c r="K4" s="488"/>
      <c r="L4" s="250"/>
      <c r="M4" s="11"/>
      <c r="N4" s="11"/>
      <c r="O4" s="209"/>
      <c r="P4" s="11"/>
      <c r="Q4" s="11"/>
      <c r="R4" s="11"/>
      <c r="S4" s="11"/>
      <c r="T4" s="11"/>
      <c r="U4" s="11"/>
      <c r="V4" s="11"/>
    </row>
    <row r="5" spans="1:22" s="12" customFormat="1" ht="85.5" customHeight="1">
      <c r="A5" s="487"/>
      <c r="B5" s="487"/>
      <c r="C5" s="149" t="s">
        <v>5</v>
      </c>
      <c r="D5" s="150" t="s">
        <v>6</v>
      </c>
      <c r="E5" s="150" t="s">
        <v>7</v>
      </c>
      <c r="F5" s="150" t="s">
        <v>5</v>
      </c>
      <c r="G5" s="150" t="s">
        <v>6</v>
      </c>
      <c r="H5" s="150" t="s">
        <v>7</v>
      </c>
      <c r="I5" s="149" t="s">
        <v>5</v>
      </c>
      <c r="J5" s="150" t="s">
        <v>6</v>
      </c>
      <c r="K5" s="150" t="s">
        <v>7</v>
      </c>
      <c r="L5" s="9" t="s">
        <v>8</v>
      </c>
      <c r="M5" s="11"/>
      <c r="N5" s="11"/>
      <c r="O5" s="209"/>
      <c r="P5" s="11"/>
      <c r="Q5" s="11"/>
      <c r="R5" s="11"/>
      <c r="S5" s="11"/>
      <c r="T5" s="11"/>
      <c r="U5" s="11"/>
      <c r="V5" s="11"/>
    </row>
    <row r="6" spans="1:22" s="152" customFormat="1" ht="24.9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151"/>
      <c r="N6" s="151"/>
      <c r="O6" s="210"/>
      <c r="P6" s="151"/>
      <c r="Q6" s="151"/>
      <c r="R6" s="151"/>
      <c r="S6" s="151"/>
      <c r="T6" s="151"/>
      <c r="U6" s="151"/>
      <c r="V6" s="151"/>
    </row>
    <row r="7" spans="1:22" s="159" customFormat="1" ht="18.75">
      <c r="A7" s="153" t="s">
        <v>9</v>
      </c>
      <c r="B7" s="154" t="s">
        <v>10</v>
      </c>
      <c r="C7" s="211">
        <f>C9+C10</f>
        <v>346400.34916529991</v>
      </c>
      <c r="D7" s="251">
        <f>D9+D10</f>
        <v>110.85221009999999</v>
      </c>
      <c r="E7" s="212">
        <v>288.3</v>
      </c>
      <c r="F7" s="212">
        <f>I7-C7</f>
        <v>294362.6814747001</v>
      </c>
      <c r="G7" s="259">
        <f>G9+G10</f>
        <v>94.233377699999991</v>
      </c>
      <c r="H7" s="212">
        <v>289.96699999999998</v>
      </c>
      <c r="I7" s="211">
        <f>I9+I10</f>
        <v>640763.03064000001</v>
      </c>
      <c r="J7" s="251">
        <f>J9+J10</f>
        <v>102.542749</v>
      </c>
      <c r="K7" s="212">
        <v>289.13299999999998</v>
      </c>
      <c r="L7" s="155"/>
      <c r="M7" s="158">
        <f>(D7+G7)/2</f>
        <v>102.54279389999999</v>
      </c>
      <c r="N7" s="267">
        <f>J7-M7</f>
        <v>-4.4899999991798722E-5</v>
      </c>
      <c r="O7" s="268">
        <f>C7+F7</f>
        <v>640763.03064000001</v>
      </c>
      <c r="P7" s="264">
        <f>O7-I7</f>
        <v>0</v>
      </c>
      <c r="Q7" s="158"/>
      <c r="R7" s="158"/>
      <c r="S7" s="158"/>
      <c r="T7" s="158"/>
      <c r="U7" s="158"/>
      <c r="V7" s="158"/>
    </row>
    <row r="8" spans="1:22" s="5" customFormat="1" ht="18.75">
      <c r="A8" s="160"/>
      <c r="B8" s="161" t="s">
        <v>11</v>
      </c>
      <c r="C8" s="214"/>
      <c r="D8" s="253"/>
      <c r="E8" s="215"/>
      <c r="F8" s="215"/>
      <c r="G8" s="260"/>
      <c r="H8" s="215"/>
      <c r="I8" s="214"/>
      <c r="J8" s="253"/>
      <c r="K8" s="215"/>
      <c r="L8" s="162"/>
      <c r="M8" s="158">
        <f t="shared" ref="M8:M71" si="0">(D8+G8)/2</f>
        <v>0</v>
      </c>
      <c r="N8" s="267">
        <f t="shared" ref="N8:N71" si="1">J8-M8</f>
        <v>0</v>
      </c>
      <c r="O8" s="268">
        <f t="shared" ref="O8:O71" si="2">C8+F8</f>
        <v>0</v>
      </c>
      <c r="P8" s="264">
        <f t="shared" ref="P8:P71" si="3">O8-I8</f>
        <v>0</v>
      </c>
      <c r="Q8" s="7"/>
      <c r="R8" s="7"/>
      <c r="S8" s="7"/>
      <c r="T8" s="7"/>
      <c r="U8" s="7"/>
      <c r="V8" s="7"/>
    </row>
    <row r="9" spans="1:22" s="5" customFormat="1" ht="18.75">
      <c r="A9" s="160" t="s">
        <v>12</v>
      </c>
      <c r="B9" s="161" t="s">
        <v>13</v>
      </c>
      <c r="C9" s="214"/>
      <c r="D9" s="253"/>
      <c r="E9" s="215"/>
      <c r="F9" s="215"/>
      <c r="G9" s="260"/>
      <c r="H9" s="215"/>
      <c r="I9" s="214"/>
      <c r="J9" s="253"/>
      <c r="K9" s="215"/>
      <c r="L9" s="162"/>
      <c r="M9" s="158">
        <f t="shared" si="0"/>
        <v>0</v>
      </c>
      <c r="N9" s="267">
        <f t="shared" si="1"/>
        <v>0</v>
      </c>
      <c r="O9" s="268">
        <f t="shared" si="2"/>
        <v>0</v>
      </c>
      <c r="P9" s="264">
        <f t="shared" si="3"/>
        <v>0</v>
      </c>
      <c r="Q9" s="7"/>
      <c r="R9" s="7"/>
      <c r="S9" s="7"/>
      <c r="T9" s="7"/>
      <c r="U9" s="7"/>
      <c r="V9" s="7"/>
    </row>
    <row r="10" spans="1:22" s="5" customFormat="1" ht="18.75">
      <c r="A10" s="160" t="s">
        <v>14</v>
      </c>
      <c r="B10" s="161" t="s">
        <v>15</v>
      </c>
      <c r="C10" s="214">
        <f>C12+C13+C14+C15+C17+C16</f>
        <v>346400.34916529991</v>
      </c>
      <c r="D10" s="253">
        <f>D12+D13+D14+D15+D17+D16</f>
        <v>110.85221009999999</v>
      </c>
      <c r="E10" s="215"/>
      <c r="F10" s="215">
        <f t="shared" ref="F10:F74" si="4">I10-C10</f>
        <v>294362.6814747001</v>
      </c>
      <c r="G10" s="260">
        <f>G12+G13+G14+G15+G17+G16</f>
        <v>94.233377699999991</v>
      </c>
      <c r="H10" s="215"/>
      <c r="I10" s="214">
        <f>I12+I13+I14+I15+I17+I16</f>
        <v>640763.03064000001</v>
      </c>
      <c r="J10" s="253">
        <f>J12+J13+J14+J15+J17+J16</f>
        <v>102.542749</v>
      </c>
      <c r="K10" s="215"/>
      <c r="L10" s="162"/>
      <c r="M10" s="158">
        <f t="shared" si="0"/>
        <v>102.54279389999999</v>
      </c>
      <c r="N10" s="267">
        <f t="shared" si="1"/>
        <v>-4.4899999991798722E-5</v>
      </c>
      <c r="O10" s="268">
        <f t="shared" si="2"/>
        <v>640763.03064000001</v>
      </c>
      <c r="P10" s="264">
        <f t="shared" si="3"/>
        <v>0</v>
      </c>
      <c r="Q10" s="7"/>
      <c r="R10" s="7"/>
      <c r="S10" s="7"/>
      <c r="T10" s="7"/>
      <c r="U10" s="7"/>
      <c r="V10" s="7"/>
    </row>
    <row r="11" spans="1:22" s="5" customFormat="1" ht="18.75">
      <c r="A11" s="160"/>
      <c r="B11" s="161" t="s">
        <v>11</v>
      </c>
      <c r="C11" s="214"/>
      <c r="D11" s="253"/>
      <c r="E11" s="215"/>
      <c r="F11" s="215"/>
      <c r="G11" s="260"/>
      <c r="H11" s="215"/>
      <c r="I11" s="214"/>
      <c r="J11" s="253"/>
      <c r="K11" s="215"/>
      <c r="L11" s="162"/>
      <c r="M11" s="158">
        <f t="shared" si="0"/>
        <v>0</v>
      </c>
      <c r="N11" s="267">
        <f t="shared" si="1"/>
        <v>0</v>
      </c>
      <c r="O11" s="268">
        <f t="shared" si="2"/>
        <v>0</v>
      </c>
      <c r="P11" s="264">
        <f t="shared" si="3"/>
        <v>0</v>
      </c>
      <c r="Q11" s="7"/>
      <c r="R11" s="7"/>
      <c r="S11" s="7"/>
      <c r="T11" s="7"/>
      <c r="U11" s="7"/>
      <c r="V11" s="7"/>
    </row>
    <row r="12" spans="1:22" s="5" customFormat="1" ht="18.75">
      <c r="A12" s="160" t="s">
        <v>16</v>
      </c>
      <c r="B12" s="161" t="s">
        <v>243</v>
      </c>
      <c r="C12" s="211">
        <f>C107</f>
        <v>22276.35</v>
      </c>
      <c r="D12" s="251">
        <f>D107</f>
        <v>7.6794000000000002</v>
      </c>
      <c r="E12" s="212"/>
      <c r="F12" s="212">
        <f>F107</f>
        <v>16937.79</v>
      </c>
      <c r="G12" s="259">
        <f>G107</f>
        <v>6.4005999999999998</v>
      </c>
      <c r="H12" s="212"/>
      <c r="I12" s="211">
        <f>I107</f>
        <v>39214.14</v>
      </c>
      <c r="J12" s="251">
        <f>J107</f>
        <v>7.04</v>
      </c>
      <c r="K12" s="215"/>
      <c r="L12" s="162"/>
      <c r="M12" s="158">
        <f t="shared" si="0"/>
        <v>7.04</v>
      </c>
      <c r="N12" s="267">
        <f t="shared" si="1"/>
        <v>0</v>
      </c>
      <c r="O12" s="268">
        <f t="shared" si="2"/>
        <v>39214.14</v>
      </c>
      <c r="P12" s="264">
        <f t="shared" si="3"/>
        <v>0</v>
      </c>
      <c r="Q12" s="7"/>
      <c r="R12" s="7"/>
      <c r="S12" s="7"/>
      <c r="T12" s="7"/>
      <c r="U12" s="7"/>
      <c r="V12" s="7"/>
    </row>
    <row r="13" spans="1:22" s="5" customFormat="1" ht="18.75">
      <c r="A13" s="160" t="s">
        <v>18</v>
      </c>
      <c r="B13" s="161" t="s">
        <v>17</v>
      </c>
      <c r="C13" s="214">
        <f>C108+C135</f>
        <v>302966.39916529995</v>
      </c>
      <c r="D13" s="253">
        <f>D108+D135</f>
        <v>97.030410099999983</v>
      </c>
      <c r="E13" s="215"/>
      <c r="F13" s="215">
        <f t="shared" si="4"/>
        <v>255434.99147470004</v>
      </c>
      <c r="G13" s="260">
        <f>G108+G135</f>
        <v>81.098977699999992</v>
      </c>
      <c r="H13" s="215"/>
      <c r="I13" s="214">
        <f>I108+I135</f>
        <v>558401.39064</v>
      </c>
      <c r="J13" s="253">
        <f>J108+J135</f>
        <v>89.064598999999987</v>
      </c>
      <c r="K13" s="215"/>
      <c r="L13" s="162"/>
      <c r="M13" s="158">
        <f t="shared" si="0"/>
        <v>89.06469389999998</v>
      </c>
      <c r="N13" s="267">
        <f t="shared" si="1"/>
        <v>-9.489999999345855E-5</v>
      </c>
      <c r="O13" s="268">
        <f t="shared" si="2"/>
        <v>558401.39064</v>
      </c>
      <c r="P13" s="264">
        <f t="shared" si="3"/>
        <v>0</v>
      </c>
      <c r="Q13" s="7"/>
      <c r="R13" s="7"/>
      <c r="S13" s="7"/>
      <c r="T13" s="7"/>
      <c r="U13" s="7"/>
      <c r="V13" s="7"/>
    </row>
    <row r="14" spans="1:22" s="5" customFormat="1" ht="18.75">
      <c r="A14" s="160" t="s">
        <v>20</v>
      </c>
      <c r="B14" s="161" t="s">
        <v>19</v>
      </c>
      <c r="C14" s="214">
        <f>C109</f>
        <v>0</v>
      </c>
      <c r="D14" s="253">
        <f>D109</f>
        <v>0</v>
      </c>
      <c r="E14" s="214"/>
      <c r="F14" s="214">
        <f t="shared" si="4"/>
        <v>0</v>
      </c>
      <c r="G14" s="253">
        <f>G109</f>
        <v>0</v>
      </c>
      <c r="H14" s="214"/>
      <c r="I14" s="214">
        <f>I109</f>
        <v>0</v>
      </c>
      <c r="J14" s="253"/>
      <c r="K14" s="214"/>
      <c r="L14" s="162"/>
      <c r="M14" s="158">
        <f t="shared" si="0"/>
        <v>0</v>
      </c>
      <c r="N14" s="267">
        <f t="shared" si="1"/>
        <v>0</v>
      </c>
      <c r="O14" s="268">
        <f t="shared" si="2"/>
        <v>0</v>
      </c>
      <c r="P14" s="264">
        <f t="shared" si="3"/>
        <v>0</v>
      </c>
      <c r="Q14" s="7"/>
      <c r="R14" s="7"/>
      <c r="S14" s="7"/>
      <c r="T14" s="7"/>
      <c r="U14" s="7"/>
      <c r="V14" s="7"/>
    </row>
    <row r="15" spans="1:22" s="5" customFormat="1" ht="18.75">
      <c r="A15" s="160" t="s">
        <v>21</v>
      </c>
      <c r="B15" s="161" t="s">
        <v>172</v>
      </c>
      <c r="C15" s="214">
        <f>C110+C136</f>
        <v>1701</v>
      </c>
      <c r="D15" s="253">
        <f>D110+D136</f>
        <v>0.51839999999999997</v>
      </c>
      <c r="E15" s="214"/>
      <c r="F15" s="214">
        <f t="shared" si="4"/>
        <v>1449</v>
      </c>
      <c r="G15" s="253">
        <f>G110+G136</f>
        <v>0.44159999999999999</v>
      </c>
      <c r="H15" s="214"/>
      <c r="I15" s="214">
        <f>I110+I136</f>
        <v>3150</v>
      </c>
      <c r="J15" s="253">
        <f>J110+J136</f>
        <v>0.48</v>
      </c>
      <c r="K15" s="214"/>
      <c r="L15" s="162"/>
      <c r="M15" s="158">
        <f t="shared" si="0"/>
        <v>0.48</v>
      </c>
      <c r="N15" s="267">
        <f t="shared" si="1"/>
        <v>0</v>
      </c>
      <c r="O15" s="268">
        <f t="shared" si="2"/>
        <v>3150</v>
      </c>
      <c r="P15" s="264">
        <f t="shared" si="3"/>
        <v>0</v>
      </c>
      <c r="Q15" s="7"/>
      <c r="R15" s="7"/>
      <c r="S15" s="7"/>
      <c r="T15" s="7"/>
      <c r="U15" s="7"/>
      <c r="V15" s="7"/>
    </row>
    <row r="16" spans="1:22" s="5" customFormat="1" ht="18.75">
      <c r="A16" s="160" t="s">
        <v>22</v>
      </c>
      <c r="B16" s="161" t="s">
        <v>247</v>
      </c>
      <c r="C16" s="214">
        <f>C137</f>
        <v>156.6</v>
      </c>
      <c r="D16" s="253">
        <f>D137</f>
        <v>4.3400000000000001E-2</v>
      </c>
      <c r="E16" s="214"/>
      <c r="F16" s="214">
        <f t="shared" si="4"/>
        <v>133.4</v>
      </c>
      <c r="G16" s="253">
        <f>G137</f>
        <v>3.3099999999999997E-2</v>
      </c>
      <c r="H16" s="214"/>
      <c r="I16" s="214">
        <f>I137</f>
        <v>290</v>
      </c>
      <c r="J16" s="251">
        <f>J137</f>
        <v>3.8249999999999999E-2</v>
      </c>
      <c r="K16" s="214"/>
      <c r="L16" s="162"/>
      <c r="M16" s="158">
        <f t="shared" si="0"/>
        <v>3.8249999999999999E-2</v>
      </c>
      <c r="N16" s="267">
        <f t="shared" si="1"/>
        <v>0</v>
      </c>
      <c r="O16" s="268">
        <f t="shared" si="2"/>
        <v>290</v>
      </c>
      <c r="P16" s="264">
        <f t="shared" si="3"/>
        <v>0</v>
      </c>
      <c r="Q16" s="7"/>
      <c r="R16" s="7"/>
      <c r="S16" s="7"/>
      <c r="T16" s="7"/>
      <c r="U16" s="7"/>
      <c r="V16" s="7"/>
    </row>
    <row r="17" spans="1:22" s="5" customFormat="1" ht="18.75">
      <c r="A17" s="160" t="s">
        <v>242</v>
      </c>
      <c r="B17" s="161" t="s">
        <v>23</v>
      </c>
      <c r="C17" s="214">
        <f>C112</f>
        <v>19300</v>
      </c>
      <c r="D17" s="253">
        <f>D112</f>
        <v>5.5805999999999996</v>
      </c>
      <c r="E17" s="214"/>
      <c r="F17" s="214">
        <f t="shared" si="4"/>
        <v>20407.5</v>
      </c>
      <c r="G17" s="253">
        <f>G112</f>
        <v>6.2591000000000001</v>
      </c>
      <c r="H17" s="214"/>
      <c r="I17" s="214">
        <f>I112</f>
        <v>39707.5</v>
      </c>
      <c r="J17" s="253">
        <f>J112</f>
        <v>5.9199000000000002</v>
      </c>
      <c r="K17" s="214"/>
      <c r="L17" s="162"/>
      <c r="M17" s="158">
        <f t="shared" si="0"/>
        <v>5.9198500000000003</v>
      </c>
      <c r="N17" s="267">
        <f t="shared" si="1"/>
        <v>4.9999999999883471E-5</v>
      </c>
      <c r="O17" s="268">
        <f t="shared" si="2"/>
        <v>39707.5</v>
      </c>
      <c r="P17" s="264">
        <f t="shared" si="3"/>
        <v>0</v>
      </c>
      <c r="Q17" s="7"/>
      <c r="R17" s="7"/>
      <c r="S17" s="263"/>
      <c r="T17" s="7"/>
      <c r="U17" s="263"/>
      <c r="V17" s="7"/>
    </row>
    <row r="18" spans="1:22" s="159" customFormat="1" ht="18.75">
      <c r="A18" s="153" t="s">
        <v>24</v>
      </c>
      <c r="B18" s="154" t="s">
        <v>25</v>
      </c>
      <c r="C18" s="211">
        <f>C113+C139</f>
        <v>61275.993000000002</v>
      </c>
      <c r="D18" s="251">
        <f>D113+D139</f>
        <v>19.61782578</v>
      </c>
      <c r="E18" s="217"/>
      <c r="F18" s="261">
        <f t="shared" si="4"/>
        <v>49640.063000000009</v>
      </c>
      <c r="G18" s="252">
        <f>G113+G139</f>
        <v>15.87725622</v>
      </c>
      <c r="H18" s="217"/>
      <c r="I18" s="211">
        <f>I113+I139</f>
        <v>110916.05600000001</v>
      </c>
      <c r="J18" s="251">
        <f>J113+J139</f>
        <v>17.747540999999998</v>
      </c>
      <c r="K18" s="217"/>
      <c r="L18" s="155"/>
      <c r="M18" s="158">
        <f t="shared" si="0"/>
        <v>17.747540999999998</v>
      </c>
      <c r="N18" s="267">
        <f t="shared" si="1"/>
        <v>0</v>
      </c>
      <c r="O18" s="268">
        <f t="shared" si="2"/>
        <v>110916.05600000001</v>
      </c>
      <c r="P18" s="264">
        <f t="shared" si="3"/>
        <v>0</v>
      </c>
      <c r="Q18" s="158"/>
      <c r="R18" s="266"/>
      <c r="S18" s="158"/>
      <c r="T18" s="265"/>
      <c r="U18" s="158"/>
      <c r="V18" s="158"/>
    </row>
    <row r="19" spans="1:22" s="159" customFormat="1" ht="37.5">
      <c r="A19" s="167" t="s">
        <v>26</v>
      </c>
      <c r="B19" s="154" t="s">
        <v>27</v>
      </c>
      <c r="C19" s="211">
        <f>C21+C22</f>
        <v>285124.35559999978</v>
      </c>
      <c r="D19" s="251">
        <f>D21+D22</f>
        <v>91.250456999999983</v>
      </c>
      <c r="E19" s="218"/>
      <c r="F19" s="211">
        <f t="shared" si="4"/>
        <v>244722.55160994595</v>
      </c>
      <c r="G19" s="252">
        <f>G21+G22</f>
        <v>78.28968734</v>
      </c>
      <c r="H19" s="218"/>
      <c r="I19" s="211">
        <f>I21+I22</f>
        <v>529846.90720994573</v>
      </c>
      <c r="J19" s="251">
        <f>J21+J22</f>
        <v>84.770072170000006</v>
      </c>
      <c r="K19" s="218"/>
      <c r="L19" s="155"/>
      <c r="M19" s="158">
        <f t="shared" si="0"/>
        <v>84.770072169999992</v>
      </c>
      <c r="N19" s="267">
        <f t="shared" si="1"/>
        <v>0</v>
      </c>
      <c r="O19" s="268">
        <f t="shared" si="2"/>
        <v>529846.90720994573</v>
      </c>
      <c r="P19" s="264">
        <f t="shared" si="3"/>
        <v>0</v>
      </c>
      <c r="Q19" s="158"/>
      <c r="R19" s="266"/>
      <c r="S19" s="158"/>
      <c r="T19" s="157"/>
      <c r="U19" s="158"/>
      <c r="V19" s="158"/>
    </row>
    <row r="20" spans="1:22" s="5" customFormat="1" ht="18.75">
      <c r="A20" s="160"/>
      <c r="B20" s="161" t="s">
        <v>28</v>
      </c>
      <c r="C20" s="211"/>
      <c r="D20" s="251"/>
      <c r="E20" s="219"/>
      <c r="F20" s="214">
        <f t="shared" si="4"/>
        <v>0</v>
      </c>
      <c r="G20" s="253"/>
      <c r="H20" s="219"/>
      <c r="I20" s="211"/>
      <c r="J20" s="251"/>
      <c r="K20" s="219"/>
      <c r="L20" s="162"/>
      <c r="M20" s="158">
        <f t="shared" si="0"/>
        <v>0</v>
      </c>
      <c r="N20" s="267">
        <f t="shared" si="1"/>
        <v>0</v>
      </c>
      <c r="O20" s="268">
        <f t="shared" si="2"/>
        <v>0</v>
      </c>
      <c r="P20" s="264">
        <f t="shared" si="3"/>
        <v>0</v>
      </c>
      <c r="Q20" s="7"/>
      <c r="R20" s="7"/>
      <c r="S20" s="7"/>
      <c r="T20" s="7"/>
      <c r="U20" s="7"/>
      <c r="V20" s="7"/>
    </row>
    <row r="21" spans="1:22" s="5" customFormat="1" ht="18.75">
      <c r="A21" s="160" t="s">
        <v>29</v>
      </c>
      <c r="B21" s="161" t="s">
        <v>30</v>
      </c>
      <c r="C21" s="214">
        <f>C116+C142</f>
        <v>273704.35559999978</v>
      </c>
      <c r="D21" s="253">
        <f>D116+D142</f>
        <v>87.525456999999989</v>
      </c>
      <c r="E21" s="219"/>
      <c r="F21" s="214">
        <f t="shared" si="4"/>
        <v>234142.55160994595</v>
      </c>
      <c r="G21" s="253">
        <f>G116+G142</f>
        <v>75.325687340000002</v>
      </c>
      <c r="H21" s="219"/>
      <c r="I21" s="214">
        <f>I116+I142</f>
        <v>507846.90720994573</v>
      </c>
      <c r="J21" s="253">
        <f>J116+J142</f>
        <v>81.425572170000009</v>
      </c>
      <c r="K21" s="219"/>
      <c r="L21" s="162"/>
      <c r="M21" s="158">
        <f t="shared" si="0"/>
        <v>81.425572169999995</v>
      </c>
      <c r="N21" s="267">
        <f t="shared" si="1"/>
        <v>0</v>
      </c>
      <c r="O21" s="268">
        <f t="shared" si="2"/>
        <v>507846.90720994573</v>
      </c>
      <c r="P21" s="264">
        <f t="shared" si="3"/>
        <v>0</v>
      </c>
      <c r="Q21" s="7"/>
      <c r="R21" s="7"/>
      <c r="S21" s="7"/>
      <c r="T21" s="7"/>
      <c r="U21" s="7"/>
      <c r="V21" s="7"/>
    </row>
    <row r="22" spans="1:22" s="5" customFormat="1" ht="18.75">
      <c r="A22" s="160" t="s">
        <v>31</v>
      </c>
      <c r="B22" s="161" t="s">
        <v>32</v>
      </c>
      <c r="C22" s="214">
        <f>C28+C26</f>
        <v>11420</v>
      </c>
      <c r="D22" s="253">
        <f>D28+D26</f>
        <v>3.7250000000000001</v>
      </c>
      <c r="E22" s="220"/>
      <c r="F22" s="215">
        <f t="shared" si="4"/>
        <v>10580</v>
      </c>
      <c r="G22" s="260">
        <f>G28+G26</f>
        <v>2.964</v>
      </c>
      <c r="H22" s="220"/>
      <c r="I22" s="214">
        <f>I28+I26</f>
        <v>22000</v>
      </c>
      <c r="J22" s="253">
        <f>J28+J26</f>
        <v>3.3445</v>
      </c>
      <c r="K22" s="220"/>
      <c r="L22" s="162"/>
      <c r="M22" s="158">
        <f t="shared" si="0"/>
        <v>3.3445</v>
      </c>
      <c r="N22" s="267">
        <f t="shared" si="1"/>
        <v>0</v>
      </c>
      <c r="O22" s="268">
        <f t="shared" si="2"/>
        <v>22000</v>
      </c>
      <c r="P22" s="264">
        <f t="shared" si="3"/>
        <v>0</v>
      </c>
      <c r="Q22" s="7"/>
      <c r="R22" s="7"/>
      <c r="S22" s="7"/>
      <c r="T22" s="7"/>
      <c r="U22" s="7"/>
      <c r="V22" s="7"/>
    </row>
    <row r="23" spans="1:22" s="5" customFormat="1" ht="18.75">
      <c r="A23" s="160"/>
      <c r="B23" s="161" t="s">
        <v>28</v>
      </c>
      <c r="C23" s="214"/>
      <c r="D23" s="253"/>
      <c r="E23" s="219"/>
      <c r="F23" s="214"/>
      <c r="G23" s="253"/>
      <c r="H23" s="219"/>
      <c r="I23" s="214"/>
      <c r="J23" s="253"/>
      <c r="K23" s="219"/>
      <c r="L23" s="162"/>
      <c r="M23" s="158">
        <f t="shared" si="0"/>
        <v>0</v>
      </c>
      <c r="N23" s="267">
        <f t="shared" si="1"/>
        <v>0</v>
      </c>
      <c r="O23" s="268">
        <f t="shared" si="2"/>
        <v>0</v>
      </c>
      <c r="P23" s="264">
        <f t="shared" si="3"/>
        <v>0</v>
      </c>
      <c r="Q23" s="7"/>
      <c r="R23" s="7"/>
      <c r="S23" s="7"/>
      <c r="T23" s="7"/>
      <c r="U23" s="7"/>
      <c r="V23" s="7"/>
    </row>
    <row r="24" spans="1:22" s="5" customFormat="1" ht="18.75">
      <c r="A24" s="160" t="s">
        <v>33</v>
      </c>
      <c r="B24" s="161" t="s">
        <v>17</v>
      </c>
      <c r="C24" s="214"/>
      <c r="D24" s="253"/>
      <c r="E24" s="219"/>
      <c r="F24" s="214"/>
      <c r="G24" s="253"/>
      <c r="H24" s="219"/>
      <c r="I24" s="214"/>
      <c r="J24" s="253"/>
      <c r="K24" s="219"/>
      <c r="L24" s="162"/>
      <c r="M24" s="158">
        <f t="shared" si="0"/>
        <v>0</v>
      </c>
      <c r="N24" s="267">
        <f t="shared" si="1"/>
        <v>0</v>
      </c>
      <c r="O24" s="268">
        <f t="shared" si="2"/>
        <v>0</v>
      </c>
      <c r="P24" s="264">
        <f t="shared" si="3"/>
        <v>0</v>
      </c>
      <c r="Q24" s="7"/>
      <c r="R24" s="7"/>
      <c r="S24" s="7"/>
      <c r="T24" s="7"/>
      <c r="U24" s="7"/>
      <c r="V24" s="7"/>
    </row>
    <row r="25" spans="1:22" s="5" customFormat="1" ht="18.75">
      <c r="A25" s="171" t="s">
        <v>34</v>
      </c>
      <c r="B25" s="172" t="s">
        <v>35</v>
      </c>
      <c r="C25" s="214">
        <f>C24-C13</f>
        <v>-302966.39916529995</v>
      </c>
      <c r="D25" s="253">
        <f>D24-D13</f>
        <v>-97.030410099999983</v>
      </c>
      <c r="E25" s="219"/>
      <c r="F25" s="214">
        <f t="shared" si="4"/>
        <v>-255434.99147470004</v>
      </c>
      <c r="G25" s="253">
        <f>G24-G13</f>
        <v>-81.098977699999992</v>
      </c>
      <c r="H25" s="219"/>
      <c r="I25" s="214">
        <f>I24-I13</f>
        <v>-558401.39064</v>
      </c>
      <c r="J25" s="253">
        <f>J24-J13</f>
        <v>-89.064598999999987</v>
      </c>
      <c r="K25" s="219"/>
      <c r="L25" s="162"/>
      <c r="M25" s="158">
        <f t="shared" si="0"/>
        <v>-89.06469389999998</v>
      </c>
      <c r="N25" s="267">
        <f t="shared" si="1"/>
        <v>9.489999999345855E-5</v>
      </c>
      <c r="O25" s="268">
        <f t="shared" si="2"/>
        <v>-558401.39064</v>
      </c>
      <c r="P25" s="264">
        <f t="shared" si="3"/>
        <v>0</v>
      </c>
      <c r="Q25" s="7"/>
      <c r="R25" s="7"/>
      <c r="S25" s="7"/>
      <c r="T25" s="7"/>
      <c r="U25" s="7"/>
      <c r="V25" s="7"/>
    </row>
    <row r="26" spans="1:22" s="5" customFormat="1" ht="18.75">
      <c r="A26" s="160" t="s">
        <v>36</v>
      </c>
      <c r="B26" s="161" t="s">
        <v>37</v>
      </c>
      <c r="C26" s="214"/>
      <c r="D26" s="253"/>
      <c r="E26" s="219"/>
      <c r="F26" s="214"/>
      <c r="G26" s="253"/>
      <c r="H26" s="219"/>
      <c r="I26" s="214"/>
      <c r="J26" s="253"/>
      <c r="K26" s="219"/>
      <c r="L26" s="162"/>
      <c r="M26" s="158">
        <f t="shared" si="0"/>
        <v>0</v>
      </c>
      <c r="N26" s="267">
        <f t="shared" si="1"/>
        <v>0</v>
      </c>
      <c r="O26" s="268">
        <f t="shared" si="2"/>
        <v>0</v>
      </c>
      <c r="P26" s="264">
        <f t="shared" si="3"/>
        <v>0</v>
      </c>
      <c r="Q26" s="7"/>
      <c r="R26" s="7"/>
      <c r="S26" s="7"/>
      <c r="T26" s="7"/>
      <c r="U26" s="7"/>
      <c r="V26" s="7"/>
    </row>
    <row r="27" spans="1:22" s="5" customFormat="1" ht="18.75">
      <c r="A27" s="171" t="s">
        <v>38</v>
      </c>
      <c r="B27" s="172" t="s">
        <v>39</v>
      </c>
      <c r="C27" s="214">
        <f>C26-C14</f>
        <v>0</v>
      </c>
      <c r="D27" s="253">
        <f>D26-D14</f>
        <v>0</v>
      </c>
      <c r="E27" s="219"/>
      <c r="F27" s="214">
        <f t="shared" si="4"/>
        <v>0</v>
      </c>
      <c r="G27" s="253">
        <f>G26-G14</f>
        <v>0</v>
      </c>
      <c r="H27" s="219"/>
      <c r="I27" s="214">
        <f>I26-I14</f>
        <v>0</v>
      </c>
      <c r="J27" s="253">
        <f>J26-J14</f>
        <v>0</v>
      </c>
      <c r="K27" s="219"/>
      <c r="L27" s="162"/>
      <c r="M27" s="158">
        <f t="shared" si="0"/>
        <v>0</v>
      </c>
      <c r="N27" s="267">
        <f t="shared" si="1"/>
        <v>0</v>
      </c>
      <c r="O27" s="268">
        <f t="shared" si="2"/>
        <v>0</v>
      </c>
      <c r="P27" s="264">
        <f t="shared" si="3"/>
        <v>0</v>
      </c>
      <c r="Q27" s="7"/>
      <c r="R27" s="7"/>
      <c r="S27" s="7"/>
      <c r="T27" s="7"/>
      <c r="U27" s="7"/>
      <c r="V27" s="7"/>
    </row>
    <row r="28" spans="1:22" s="5" customFormat="1" ht="18.75">
      <c r="A28" s="160" t="s">
        <v>40</v>
      </c>
      <c r="B28" s="161" t="s">
        <v>172</v>
      </c>
      <c r="C28" s="214">
        <f>C117+C143</f>
        <v>11420</v>
      </c>
      <c r="D28" s="253">
        <f>D117+D143</f>
        <v>3.7250000000000001</v>
      </c>
      <c r="E28" s="219"/>
      <c r="F28" s="214">
        <f t="shared" si="4"/>
        <v>10580</v>
      </c>
      <c r="G28" s="253">
        <f>G117+G143</f>
        <v>2.964</v>
      </c>
      <c r="H28" s="219"/>
      <c r="I28" s="214">
        <f>I117+I143</f>
        <v>22000</v>
      </c>
      <c r="J28" s="253">
        <f>J117+J143</f>
        <v>3.3445</v>
      </c>
      <c r="K28" s="219"/>
      <c r="L28" s="162"/>
      <c r="M28" s="158">
        <f t="shared" si="0"/>
        <v>3.3445</v>
      </c>
      <c r="N28" s="267">
        <f t="shared" si="1"/>
        <v>0</v>
      </c>
      <c r="O28" s="268">
        <f t="shared" si="2"/>
        <v>22000</v>
      </c>
      <c r="P28" s="264">
        <f t="shared" si="3"/>
        <v>0</v>
      </c>
      <c r="Q28" s="7"/>
      <c r="R28" s="7"/>
      <c r="S28" s="7"/>
      <c r="T28" s="7"/>
      <c r="U28" s="7"/>
      <c r="V28" s="7"/>
    </row>
    <row r="29" spans="1:22" s="5" customFormat="1" ht="18.75">
      <c r="A29" s="171" t="s">
        <v>41</v>
      </c>
      <c r="B29" s="172" t="s">
        <v>42</v>
      </c>
      <c r="C29" s="214">
        <f>C28-C15</f>
        <v>9719</v>
      </c>
      <c r="D29" s="253">
        <f>D28-D15</f>
        <v>3.2065999999999999</v>
      </c>
      <c r="E29" s="219"/>
      <c r="F29" s="214">
        <f t="shared" si="4"/>
        <v>9131</v>
      </c>
      <c r="G29" s="253">
        <f>G28-G15</f>
        <v>2.5224000000000002</v>
      </c>
      <c r="H29" s="219"/>
      <c r="I29" s="214">
        <f>I28-I15</f>
        <v>18850</v>
      </c>
      <c r="J29" s="253">
        <f>J28-J15</f>
        <v>2.8645</v>
      </c>
      <c r="K29" s="219"/>
      <c r="L29" s="162"/>
      <c r="M29" s="158">
        <f t="shared" si="0"/>
        <v>2.8645</v>
      </c>
      <c r="N29" s="267">
        <f t="shared" si="1"/>
        <v>0</v>
      </c>
      <c r="O29" s="268">
        <f t="shared" si="2"/>
        <v>18850</v>
      </c>
      <c r="P29" s="264">
        <f t="shared" si="3"/>
        <v>0</v>
      </c>
      <c r="Q29" s="7"/>
      <c r="R29" s="7"/>
      <c r="S29" s="7"/>
      <c r="T29" s="7"/>
      <c r="U29" s="7"/>
      <c r="V29" s="7"/>
    </row>
    <row r="30" spans="1:22" s="5" customFormat="1" ht="18.75">
      <c r="A30" s="171" t="s">
        <v>43</v>
      </c>
      <c r="B30" s="161" t="s">
        <v>23</v>
      </c>
      <c r="C30" s="214"/>
      <c r="D30" s="253"/>
      <c r="E30" s="219"/>
      <c r="F30" s="214">
        <f t="shared" si="4"/>
        <v>0</v>
      </c>
      <c r="G30" s="253"/>
      <c r="H30" s="219"/>
      <c r="I30" s="214"/>
      <c r="J30" s="253"/>
      <c r="K30" s="219"/>
      <c r="L30" s="162"/>
      <c r="M30" s="158">
        <f t="shared" si="0"/>
        <v>0</v>
      </c>
      <c r="N30" s="267">
        <f t="shared" si="1"/>
        <v>0</v>
      </c>
      <c r="O30" s="268">
        <f t="shared" si="2"/>
        <v>0</v>
      </c>
      <c r="P30" s="264">
        <f t="shared" si="3"/>
        <v>0</v>
      </c>
      <c r="Q30" s="7"/>
      <c r="R30" s="7"/>
      <c r="S30" s="7"/>
      <c r="T30" s="7"/>
      <c r="U30" s="7"/>
      <c r="V30" s="7"/>
    </row>
    <row r="31" spans="1:22" s="5" customFormat="1" ht="18.75">
      <c r="A31" s="171" t="s">
        <v>44</v>
      </c>
      <c r="B31" s="172" t="s">
        <v>235</v>
      </c>
      <c r="C31" s="214">
        <f>C30-C17</f>
        <v>-19300</v>
      </c>
      <c r="D31" s="253">
        <f>D30-D17</f>
        <v>-5.5805999999999996</v>
      </c>
      <c r="E31" s="219"/>
      <c r="F31" s="214">
        <f t="shared" si="4"/>
        <v>-20407.5</v>
      </c>
      <c r="G31" s="253">
        <f>G30-G17</f>
        <v>-6.2591000000000001</v>
      </c>
      <c r="H31" s="219"/>
      <c r="I31" s="214">
        <f>I30-I17</f>
        <v>-39707.5</v>
      </c>
      <c r="J31" s="253">
        <f>J30-J17</f>
        <v>-5.9199000000000002</v>
      </c>
      <c r="K31" s="219"/>
      <c r="L31" s="162"/>
      <c r="M31" s="158">
        <f t="shared" si="0"/>
        <v>-5.9198500000000003</v>
      </c>
      <c r="N31" s="267">
        <f t="shared" si="1"/>
        <v>-4.9999999999883471E-5</v>
      </c>
      <c r="O31" s="268">
        <f t="shared" si="2"/>
        <v>-39707.5</v>
      </c>
      <c r="P31" s="264">
        <f t="shared" si="3"/>
        <v>0</v>
      </c>
      <c r="Q31" s="7"/>
      <c r="R31" s="7"/>
      <c r="S31" s="7"/>
      <c r="T31" s="7"/>
      <c r="U31" s="7"/>
      <c r="V31" s="7"/>
    </row>
    <row r="32" spans="1:22" s="5" customFormat="1" ht="18.75">
      <c r="A32" s="171"/>
      <c r="B32" s="172" t="s">
        <v>45</v>
      </c>
      <c r="C32" s="214"/>
      <c r="D32" s="253"/>
      <c r="E32" s="219"/>
      <c r="F32" s="214"/>
      <c r="G32" s="253"/>
      <c r="H32" s="219"/>
      <c r="I32" s="214"/>
      <c r="J32" s="253"/>
      <c r="K32" s="219"/>
      <c r="L32" s="162"/>
      <c r="M32" s="158">
        <f t="shared" si="0"/>
        <v>0</v>
      </c>
      <c r="N32" s="267">
        <f t="shared" si="1"/>
        <v>0</v>
      </c>
      <c r="O32" s="268">
        <f t="shared" si="2"/>
        <v>0</v>
      </c>
      <c r="P32" s="264">
        <f t="shared" si="3"/>
        <v>0</v>
      </c>
      <c r="Q32" s="7"/>
      <c r="R32" s="7"/>
      <c r="S32" s="7"/>
      <c r="T32" s="7"/>
      <c r="U32" s="7"/>
      <c r="V32" s="7"/>
    </row>
    <row r="33" spans="1:22" s="159" customFormat="1" ht="18.75" hidden="1">
      <c r="A33" s="153" t="s">
        <v>46</v>
      </c>
      <c r="B33" s="154" t="s">
        <v>47</v>
      </c>
      <c r="C33" s="214"/>
      <c r="D33" s="253"/>
      <c r="E33" s="218"/>
      <c r="F33" s="211">
        <f t="shared" si="4"/>
        <v>0</v>
      </c>
      <c r="G33" s="251"/>
      <c r="H33" s="218"/>
      <c r="I33" s="214"/>
      <c r="J33" s="253"/>
      <c r="K33" s="218"/>
      <c r="L33" s="155"/>
      <c r="M33" s="158">
        <f t="shared" si="0"/>
        <v>0</v>
      </c>
      <c r="N33" s="267">
        <f t="shared" si="1"/>
        <v>0</v>
      </c>
      <c r="O33" s="268">
        <f t="shared" si="2"/>
        <v>0</v>
      </c>
      <c r="P33" s="264">
        <f t="shared" si="3"/>
        <v>0</v>
      </c>
      <c r="Q33" s="158"/>
      <c r="R33" s="158"/>
      <c r="S33" s="158"/>
      <c r="T33" s="158"/>
      <c r="U33" s="158"/>
      <c r="V33" s="158"/>
    </row>
    <row r="34" spans="1:22" s="5" customFormat="1" ht="18.75" hidden="1">
      <c r="A34" s="160"/>
      <c r="B34" s="161" t="s">
        <v>11</v>
      </c>
      <c r="C34" s="214"/>
      <c r="D34" s="253"/>
      <c r="E34" s="219"/>
      <c r="F34" s="214">
        <f t="shared" si="4"/>
        <v>0</v>
      </c>
      <c r="G34" s="253"/>
      <c r="H34" s="219"/>
      <c r="I34" s="214"/>
      <c r="J34" s="253"/>
      <c r="K34" s="219"/>
      <c r="L34" s="162"/>
      <c r="M34" s="158">
        <f t="shared" si="0"/>
        <v>0</v>
      </c>
      <c r="N34" s="267">
        <f t="shared" si="1"/>
        <v>0</v>
      </c>
      <c r="O34" s="268">
        <f t="shared" si="2"/>
        <v>0</v>
      </c>
      <c r="P34" s="264">
        <f t="shared" si="3"/>
        <v>0</v>
      </c>
      <c r="Q34" s="7"/>
      <c r="R34" s="7"/>
      <c r="S34" s="7"/>
      <c r="T34" s="7"/>
      <c r="U34" s="7"/>
      <c r="V34" s="7"/>
    </row>
    <row r="35" spans="1:22" s="5" customFormat="1" ht="18.75" hidden="1">
      <c r="A35" s="160" t="s">
        <v>48</v>
      </c>
      <c r="B35" s="161" t="s">
        <v>49</v>
      </c>
      <c r="C35" s="214"/>
      <c r="D35" s="253"/>
      <c r="E35" s="219"/>
      <c r="F35" s="214">
        <f t="shared" si="4"/>
        <v>0</v>
      </c>
      <c r="G35" s="253"/>
      <c r="H35" s="219"/>
      <c r="I35" s="214"/>
      <c r="J35" s="253"/>
      <c r="K35" s="219"/>
      <c r="L35" s="162"/>
      <c r="M35" s="158">
        <f t="shared" si="0"/>
        <v>0</v>
      </c>
      <c r="N35" s="267">
        <f t="shared" si="1"/>
        <v>0</v>
      </c>
      <c r="O35" s="268">
        <f t="shared" si="2"/>
        <v>0</v>
      </c>
      <c r="P35" s="264">
        <f t="shared" si="3"/>
        <v>0</v>
      </c>
      <c r="Q35" s="7"/>
      <c r="R35" s="7"/>
      <c r="S35" s="7"/>
      <c r="T35" s="7"/>
      <c r="U35" s="7"/>
      <c r="V35" s="7"/>
    </row>
    <row r="36" spans="1:22" s="5" customFormat="1" ht="18.75" hidden="1">
      <c r="A36" s="160" t="s">
        <v>50</v>
      </c>
      <c r="B36" s="161" t="s">
        <v>15</v>
      </c>
      <c r="C36" s="214"/>
      <c r="D36" s="253"/>
      <c r="E36" s="219"/>
      <c r="F36" s="214">
        <f t="shared" si="4"/>
        <v>0</v>
      </c>
      <c r="G36" s="253"/>
      <c r="H36" s="219"/>
      <c r="I36" s="214"/>
      <c r="J36" s="253"/>
      <c r="K36" s="219"/>
      <c r="L36" s="162"/>
      <c r="M36" s="158">
        <f t="shared" si="0"/>
        <v>0</v>
      </c>
      <c r="N36" s="267">
        <f t="shared" si="1"/>
        <v>0</v>
      </c>
      <c r="O36" s="268">
        <f t="shared" si="2"/>
        <v>0</v>
      </c>
      <c r="P36" s="264">
        <f t="shared" si="3"/>
        <v>0</v>
      </c>
      <c r="Q36" s="7"/>
      <c r="R36" s="7"/>
      <c r="S36" s="7"/>
      <c r="T36" s="7"/>
      <c r="U36" s="7"/>
      <c r="V36" s="7"/>
    </row>
    <row r="37" spans="1:22" s="5" customFormat="1" ht="18.75" hidden="1">
      <c r="A37" s="160"/>
      <c r="B37" s="161" t="s">
        <v>11</v>
      </c>
      <c r="C37" s="214"/>
      <c r="D37" s="253"/>
      <c r="E37" s="219"/>
      <c r="F37" s="214">
        <f t="shared" si="4"/>
        <v>0</v>
      </c>
      <c r="G37" s="253"/>
      <c r="H37" s="219"/>
      <c r="I37" s="214"/>
      <c r="J37" s="253"/>
      <c r="K37" s="219"/>
      <c r="L37" s="162"/>
      <c r="M37" s="158">
        <f t="shared" si="0"/>
        <v>0</v>
      </c>
      <c r="N37" s="267">
        <f t="shared" si="1"/>
        <v>0</v>
      </c>
      <c r="O37" s="268">
        <f t="shared" si="2"/>
        <v>0</v>
      </c>
      <c r="P37" s="264">
        <f t="shared" si="3"/>
        <v>0</v>
      </c>
      <c r="Q37" s="7"/>
      <c r="R37" s="7"/>
      <c r="S37" s="7"/>
      <c r="T37" s="7"/>
      <c r="U37" s="7"/>
      <c r="V37" s="7"/>
    </row>
    <row r="38" spans="1:22" s="5" customFormat="1" ht="18.75" hidden="1">
      <c r="A38" s="160" t="s">
        <v>51</v>
      </c>
      <c r="B38" s="161" t="s">
        <v>52</v>
      </c>
      <c r="C38" s="214"/>
      <c r="D38" s="253"/>
      <c r="E38" s="219"/>
      <c r="F38" s="214">
        <f t="shared" si="4"/>
        <v>0</v>
      </c>
      <c r="G38" s="253"/>
      <c r="H38" s="219"/>
      <c r="I38" s="214"/>
      <c r="J38" s="253"/>
      <c r="K38" s="219"/>
      <c r="L38" s="162"/>
      <c r="M38" s="158">
        <f t="shared" si="0"/>
        <v>0</v>
      </c>
      <c r="N38" s="267">
        <f t="shared" si="1"/>
        <v>0</v>
      </c>
      <c r="O38" s="268">
        <f t="shared" si="2"/>
        <v>0</v>
      </c>
      <c r="P38" s="264">
        <f t="shared" si="3"/>
        <v>0</v>
      </c>
      <c r="Q38" s="7"/>
      <c r="R38" s="7"/>
      <c r="S38" s="7"/>
      <c r="T38" s="7"/>
      <c r="U38" s="7"/>
      <c r="V38" s="7"/>
    </row>
    <row r="39" spans="1:22" s="5" customFormat="1" ht="18.75" hidden="1">
      <c r="A39" s="160" t="s">
        <v>53</v>
      </c>
      <c r="B39" s="161" t="s">
        <v>54</v>
      </c>
      <c r="C39" s="214"/>
      <c r="D39" s="253"/>
      <c r="E39" s="219"/>
      <c r="F39" s="214">
        <f t="shared" si="4"/>
        <v>0</v>
      </c>
      <c r="G39" s="253"/>
      <c r="H39" s="219"/>
      <c r="I39" s="214"/>
      <c r="J39" s="253"/>
      <c r="K39" s="219"/>
      <c r="L39" s="162"/>
      <c r="M39" s="158">
        <f t="shared" si="0"/>
        <v>0</v>
      </c>
      <c r="N39" s="267">
        <f t="shared" si="1"/>
        <v>0</v>
      </c>
      <c r="O39" s="268">
        <f t="shared" si="2"/>
        <v>0</v>
      </c>
      <c r="P39" s="264">
        <f t="shared" si="3"/>
        <v>0</v>
      </c>
      <c r="Q39" s="7"/>
      <c r="R39" s="7"/>
      <c r="S39" s="7"/>
      <c r="T39" s="7"/>
      <c r="U39" s="7"/>
      <c r="V39" s="7"/>
    </row>
    <row r="40" spans="1:22" s="176" customFormat="1" ht="19.5" hidden="1" thickBot="1">
      <c r="A40" s="160"/>
      <c r="B40" s="161" t="s">
        <v>45</v>
      </c>
      <c r="C40" s="214"/>
      <c r="D40" s="253"/>
      <c r="E40" s="219"/>
      <c r="F40" s="214">
        <f t="shared" si="4"/>
        <v>0</v>
      </c>
      <c r="G40" s="253"/>
      <c r="H40" s="219"/>
      <c r="I40" s="214"/>
      <c r="J40" s="253"/>
      <c r="K40" s="219"/>
      <c r="L40" s="162"/>
      <c r="M40" s="158">
        <f t="shared" si="0"/>
        <v>0</v>
      </c>
      <c r="N40" s="267">
        <f t="shared" si="1"/>
        <v>0</v>
      </c>
      <c r="O40" s="268">
        <f t="shared" si="2"/>
        <v>0</v>
      </c>
      <c r="P40" s="264">
        <f t="shared" si="3"/>
        <v>0</v>
      </c>
      <c r="Q40" s="7"/>
      <c r="R40" s="7"/>
      <c r="S40" s="7"/>
      <c r="T40" s="7"/>
      <c r="U40" s="7"/>
      <c r="V40" s="7"/>
    </row>
    <row r="41" spans="1:22" s="159" customFormat="1" ht="18.75" hidden="1">
      <c r="A41" s="153" t="s">
        <v>55</v>
      </c>
      <c r="B41" s="154" t="s">
        <v>56</v>
      </c>
      <c r="C41" s="211"/>
      <c r="D41" s="251"/>
      <c r="E41" s="218"/>
      <c r="F41" s="211">
        <f t="shared" si="4"/>
        <v>0</v>
      </c>
      <c r="G41" s="251"/>
      <c r="H41" s="218"/>
      <c r="I41" s="211"/>
      <c r="J41" s="251"/>
      <c r="K41" s="218"/>
      <c r="L41" s="155"/>
      <c r="M41" s="158">
        <f t="shared" si="0"/>
        <v>0</v>
      </c>
      <c r="N41" s="267">
        <f t="shared" si="1"/>
        <v>0</v>
      </c>
      <c r="O41" s="268">
        <f t="shared" si="2"/>
        <v>0</v>
      </c>
      <c r="P41" s="264">
        <f t="shared" si="3"/>
        <v>0</v>
      </c>
      <c r="Q41" s="158"/>
      <c r="R41" s="158"/>
      <c r="S41" s="158"/>
      <c r="T41" s="158"/>
      <c r="U41" s="158"/>
      <c r="V41" s="158"/>
    </row>
    <row r="42" spans="1:22" s="159" customFormat="1" ht="18.75" hidden="1">
      <c r="A42" s="153" t="s">
        <v>57</v>
      </c>
      <c r="B42" s="154" t="s">
        <v>58</v>
      </c>
      <c r="C42" s="211"/>
      <c r="D42" s="251"/>
      <c r="E42" s="218"/>
      <c r="F42" s="211">
        <f t="shared" si="4"/>
        <v>0</v>
      </c>
      <c r="G42" s="251"/>
      <c r="H42" s="218"/>
      <c r="I42" s="211"/>
      <c r="J42" s="251"/>
      <c r="K42" s="218"/>
      <c r="L42" s="155"/>
      <c r="M42" s="158">
        <f t="shared" si="0"/>
        <v>0</v>
      </c>
      <c r="N42" s="267">
        <f t="shared" si="1"/>
        <v>0</v>
      </c>
      <c r="O42" s="268">
        <f t="shared" si="2"/>
        <v>0</v>
      </c>
      <c r="P42" s="264">
        <f t="shared" si="3"/>
        <v>0</v>
      </c>
      <c r="Q42" s="158"/>
      <c r="R42" s="158"/>
      <c r="S42" s="158"/>
      <c r="T42" s="158"/>
      <c r="U42" s="158"/>
      <c r="V42" s="158"/>
    </row>
    <row r="43" spans="1:22" s="5" customFormat="1" ht="18.75" hidden="1">
      <c r="A43" s="160"/>
      <c r="B43" s="161" t="s">
        <v>28</v>
      </c>
      <c r="C43" s="214"/>
      <c r="D43" s="253"/>
      <c r="E43" s="219"/>
      <c r="F43" s="214">
        <f t="shared" si="4"/>
        <v>0</v>
      </c>
      <c r="G43" s="253"/>
      <c r="H43" s="219"/>
      <c r="I43" s="214"/>
      <c r="J43" s="253"/>
      <c r="K43" s="219"/>
      <c r="L43" s="162"/>
      <c r="M43" s="158">
        <f t="shared" si="0"/>
        <v>0</v>
      </c>
      <c r="N43" s="267">
        <f t="shared" si="1"/>
        <v>0</v>
      </c>
      <c r="O43" s="268">
        <f t="shared" si="2"/>
        <v>0</v>
      </c>
      <c r="P43" s="264">
        <f t="shared" si="3"/>
        <v>0</v>
      </c>
      <c r="Q43" s="7"/>
      <c r="R43" s="7"/>
      <c r="S43" s="7"/>
      <c r="T43" s="7"/>
      <c r="U43" s="7"/>
      <c r="V43" s="7"/>
    </row>
    <row r="44" spans="1:22" s="5" customFormat="1" ht="18.75" hidden="1">
      <c r="A44" s="160" t="s">
        <v>59</v>
      </c>
      <c r="B44" s="161" t="s">
        <v>30</v>
      </c>
      <c r="C44" s="214"/>
      <c r="D44" s="253"/>
      <c r="E44" s="219"/>
      <c r="F44" s="214">
        <f t="shared" si="4"/>
        <v>0</v>
      </c>
      <c r="G44" s="253"/>
      <c r="H44" s="219"/>
      <c r="I44" s="214"/>
      <c r="J44" s="253"/>
      <c r="K44" s="219"/>
      <c r="L44" s="162"/>
      <c r="M44" s="158">
        <f t="shared" si="0"/>
        <v>0</v>
      </c>
      <c r="N44" s="267">
        <f t="shared" si="1"/>
        <v>0</v>
      </c>
      <c r="O44" s="268">
        <f t="shared" si="2"/>
        <v>0</v>
      </c>
      <c r="P44" s="264">
        <f t="shared" si="3"/>
        <v>0</v>
      </c>
      <c r="Q44" s="7"/>
      <c r="R44" s="7"/>
      <c r="S44" s="7"/>
      <c r="T44" s="7"/>
      <c r="U44" s="7"/>
      <c r="V44" s="7"/>
    </row>
    <row r="45" spans="1:22" s="5" customFormat="1" ht="18.75" hidden="1">
      <c r="A45" s="160" t="s">
        <v>60</v>
      </c>
      <c r="B45" s="161" t="s">
        <v>32</v>
      </c>
      <c r="C45" s="214"/>
      <c r="D45" s="253"/>
      <c r="E45" s="219"/>
      <c r="F45" s="214">
        <f t="shared" si="4"/>
        <v>0</v>
      </c>
      <c r="G45" s="253"/>
      <c r="H45" s="219"/>
      <c r="I45" s="214"/>
      <c r="J45" s="253"/>
      <c r="K45" s="219"/>
      <c r="L45" s="162"/>
      <c r="M45" s="158">
        <f t="shared" si="0"/>
        <v>0</v>
      </c>
      <c r="N45" s="267">
        <f t="shared" si="1"/>
        <v>0</v>
      </c>
      <c r="O45" s="268">
        <f t="shared" si="2"/>
        <v>0</v>
      </c>
      <c r="P45" s="264">
        <f t="shared" si="3"/>
        <v>0</v>
      </c>
      <c r="Q45" s="7"/>
      <c r="R45" s="7"/>
      <c r="S45" s="7"/>
      <c r="T45" s="7"/>
      <c r="U45" s="7"/>
      <c r="V45" s="7"/>
    </row>
    <row r="46" spans="1:22" s="5" customFormat="1" ht="18.75" hidden="1">
      <c r="A46" s="160"/>
      <c r="B46" s="161" t="s">
        <v>28</v>
      </c>
      <c r="C46" s="214"/>
      <c r="D46" s="253"/>
      <c r="E46" s="219"/>
      <c r="F46" s="214">
        <f t="shared" si="4"/>
        <v>0</v>
      </c>
      <c r="G46" s="253"/>
      <c r="H46" s="219"/>
      <c r="I46" s="214"/>
      <c r="J46" s="253"/>
      <c r="K46" s="219"/>
      <c r="L46" s="162"/>
      <c r="M46" s="158">
        <f t="shared" si="0"/>
        <v>0</v>
      </c>
      <c r="N46" s="267">
        <f t="shared" si="1"/>
        <v>0</v>
      </c>
      <c r="O46" s="268">
        <f t="shared" si="2"/>
        <v>0</v>
      </c>
      <c r="P46" s="264">
        <f t="shared" si="3"/>
        <v>0</v>
      </c>
      <c r="Q46" s="7"/>
      <c r="R46" s="7"/>
      <c r="S46" s="7"/>
      <c r="T46" s="7"/>
      <c r="U46" s="7"/>
      <c r="V46" s="7"/>
    </row>
    <row r="47" spans="1:22" s="5" customFormat="1" ht="18.75" hidden="1">
      <c r="A47" s="160" t="s">
        <v>61</v>
      </c>
      <c r="B47" s="161" t="s">
        <v>52</v>
      </c>
      <c r="C47" s="214"/>
      <c r="D47" s="253"/>
      <c r="E47" s="219"/>
      <c r="F47" s="214">
        <f t="shared" si="4"/>
        <v>0</v>
      </c>
      <c r="G47" s="253"/>
      <c r="H47" s="219"/>
      <c r="I47" s="214"/>
      <c r="J47" s="253"/>
      <c r="K47" s="219"/>
      <c r="L47" s="162"/>
      <c r="M47" s="158">
        <f t="shared" si="0"/>
        <v>0</v>
      </c>
      <c r="N47" s="267">
        <f t="shared" si="1"/>
        <v>0</v>
      </c>
      <c r="O47" s="268">
        <f t="shared" si="2"/>
        <v>0</v>
      </c>
      <c r="P47" s="264">
        <f t="shared" si="3"/>
        <v>0</v>
      </c>
      <c r="Q47" s="7"/>
      <c r="R47" s="7"/>
      <c r="S47" s="7"/>
      <c r="T47" s="7"/>
      <c r="U47" s="7"/>
      <c r="V47" s="7"/>
    </row>
    <row r="48" spans="1:22" s="5" customFormat="1" ht="18.75" hidden="1">
      <c r="A48" s="177" t="s">
        <v>62</v>
      </c>
      <c r="B48" s="161" t="s">
        <v>63</v>
      </c>
      <c r="C48" s="214"/>
      <c r="D48" s="253"/>
      <c r="E48" s="219"/>
      <c r="F48" s="214">
        <f t="shared" si="4"/>
        <v>0</v>
      </c>
      <c r="G48" s="253"/>
      <c r="H48" s="219"/>
      <c r="I48" s="214"/>
      <c r="J48" s="253"/>
      <c r="K48" s="219"/>
      <c r="L48" s="162"/>
      <c r="M48" s="158">
        <f t="shared" si="0"/>
        <v>0</v>
      </c>
      <c r="N48" s="267">
        <f t="shared" si="1"/>
        <v>0</v>
      </c>
      <c r="O48" s="268">
        <f t="shared" si="2"/>
        <v>0</v>
      </c>
      <c r="P48" s="264">
        <f t="shared" si="3"/>
        <v>0</v>
      </c>
      <c r="Q48" s="7"/>
      <c r="R48" s="7"/>
      <c r="S48" s="7"/>
      <c r="T48" s="7"/>
      <c r="U48" s="7"/>
      <c r="V48" s="7"/>
    </row>
    <row r="49" spans="1:22" s="5" customFormat="1" ht="18.75" hidden="1">
      <c r="A49" s="160" t="s">
        <v>64</v>
      </c>
      <c r="B49" s="161" t="s">
        <v>54</v>
      </c>
      <c r="C49" s="214"/>
      <c r="D49" s="253"/>
      <c r="E49" s="219"/>
      <c r="F49" s="214">
        <f t="shared" si="4"/>
        <v>0</v>
      </c>
      <c r="G49" s="253"/>
      <c r="H49" s="219"/>
      <c r="I49" s="214"/>
      <c r="J49" s="253"/>
      <c r="K49" s="219"/>
      <c r="L49" s="162"/>
      <c r="M49" s="158">
        <f t="shared" si="0"/>
        <v>0</v>
      </c>
      <c r="N49" s="267">
        <f t="shared" si="1"/>
        <v>0</v>
      </c>
      <c r="O49" s="268">
        <f t="shared" si="2"/>
        <v>0</v>
      </c>
      <c r="P49" s="264">
        <f t="shared" si="3"/>
        <v>0</v>
      </c>
      <c r="Q49" s="7"/>
      <c r="R49" s="7"/>
      <c r="S49" s="7"/>
      <c r="T49" s="7"/>
      <c r="U49" s="7"/>
      <c r="V49" s="7"/>
    </row>
    <row r="50" spans="1:22" s="5" customFormat="1" ht="18.75" hidden="1">
      <c r="A50" s="177" t="s">
        <v>65</v>
      </c>
      <c r="B50" s="161" t="s">
        <v>66</v>
      </c>
      <c r="C50" s="214"/>
      <c r="D50" s="253"/>
      <c r="E50" s="219"/>
      <c r="F50" s="214">
        <f t="shared" si="4"/>
        <v>0</v>
      </c>
      <c r="G50" s="253"/>
      <c r="H50" s="219"/>
      <c r="I50" s="214"/>
      <c r="J50" s="253"/>
      <c r="K50" s="219"/>
      <c r="L50" s="162"/>
      <c r="M50" s="158">
        <f t="shared" si="0"/>
        <v>0</v>
      </c>
      <c r="N50" s="267">
        <f t="shared" si="1"/>
        <v>0</v>
      </c>
      <c r="O50" s="268">
        <f t="shared" si="2"/>
        <v>0</v>
      </c>
      <c r="P50" s="264">
        <f t="shared" si="3"/>
        <v>0</v>
      </c>
      <c r="Q50" s="7"/>
      <c r="R50" s="7"/>
      <c r="S50" s="7"/>
      <c r="T50" s="7"/>
      <c r="U50" s="7"/>
      <c r="V50" s="7"/>
    </row>
    <row r="51" spans="1:22" s="5" customFormat="1" ht="18.75" hidden="1">
      <c r="A51" s="160"/>
      <c r="B51" s="161" t="s">
        <v>45</v>
      </c>
      <c r="C51" s="214"/>
      <c r="D51" s="253"/>
      <c r="E51" s="219"/>
      <c r="F51" s="214">
        <f t="shared" si="4"/>
        <v>0</v>
      </c>
      <c r="G51" s="253"/>
      <c r="H51" s="219"/>
      <c r="I51" s="214"/>
      <c r="J51" s="253"/>
      <c r="K51" s="219"/>
      <c r="L51" s="162"/>
      <c r="M51" s="158">
        <f t="shared" si="0"/>
        <v>0</v>
      </c>
      <c r="N51" s="267">
        <f t="shared" si="1"/>
        <v>0</v>
      </c>
      <c r="O51" s="268">
        <f t="shared" si="2"/>
        <v>0</v>
      </c>
      <c r="P51" s="264">
        <f t="shared" si="3"/>
        <v>0</v>
      </c>
      <c r="Q51" s="7"/>
      <c r="R51" s="7"/>
      <c r="S51" s="7"/>
      <c r="T51" s="7"/>
      <c r="U51" s="7"/>
      <c r="V51" s="7"/>
    </row>
    <row r="52" spans="1:22" s="5" customFormat="1" ht="18.75" hidden="1">
      <c r="A52" s="160" t="s">
        <v>67</v>
      </c>
      <c r="B52" s="161" t="s">
        <v>68</v>
      </c>
      <c r="C52" s="214"/>
      <c r="D52" s="253"/>
      <c r="E52" s="219"/>
      <c r="F52" s="214">
        <f t="shared" si="4"/>
        <v>0</v>
      </c>
      <c r="G52" s="253"/>
      <c r="H52" s="219"/>
      <c r="I52" s="214"/>
      <c r="J52" s="253"/>
      <c r="K52" s="219"/>
      <c r="L52" s="162"/>
      <c r="M52" s="158">
        <f t="shared" si="0"/>
        <v>0</v>
      </c>
      <c r="N52" s="267">
        <f t="shared" si="1"/>
        <v>0</v>
      </c>
      <c r="O52" s="268">
        <f t="shared" si="2"/>
        <v>0</v>
      </c>
      <c r="P52" s="264">
        <f t="shared" si="3"/>
        <v>0</v>
      </c>
      <c r="Q52" s="7"/>
      <c r="R52" s="7"/>
      <c r="S52" s="7"/>
      <c r="T52" s="7"/>
      <c r="U52" s="7"/>
      <c r="V52" s="7"/>
    </row>
    <row r="53" spans="1:22" s="5" customFormat="1" ht="18.75" hidden="1">
      <c r="A53" s="160" t="s">
        <v>69</v>
      </c>
      <c r="B53" s="178" t="s">
        <v>70</v>
      </c>
      <c r="C53" s="214"/>
      <c r="D53" s="253"/>
      <c r="E53" s="219"/>
      <c r="F53" s="214">
        <f t="shared" si="4"/>
        <v>0</v>
      </c>
      <c r="G53" s="253"/>
      <c r="H53" s="219"/>
      <c r="I53" s="214"/>
      <c r="J53" s="253"/>
      <c r="K53" s="219"/>
      <c r="L53" s="162"/>
      <c r="M53" s="158">
        <f t="shared" si="0"/>
        <v>0</v>
      </c>
      <c r="N53" s="267">
        <f t="shared" si="1"/>
        <v>0</v>
      </c>
      <c r="O53" s="268">
        <f t="shared" si="2"/>
        <v>0</v>
      </c>
      <c r="P53" s="264">
        <f t="shared" si="3"/>
        <v>0</v>
      </c>
      <c r="Q53" s="7"/>
      <c r="R53" s="7"/>
      <c r="S53" s="7"/>
      <c r="T53" s="7"/>
      <c r="U53" s="7"/>
      <c r="V53" s="7"/>
    </row>
    <row r="54" spans="1:22" s="5" customFormat="1" ht="18.75" hidden="1">
      <c r="A54" s="160" t="s">
        <v>71</v>
      </c>
      <c r="B54" s="178" t="s">
        <v>72</v>
      </c>
      <c r="C54" s="214"/>
      <c r="D54" s="253"/>
      <c r="E54" s="219"/>
      <c r="F54" s="214">
        <f t="shared" si="4"/>
        <v>0</v>
      </c>
      <c r="G54" s="253"/>
      <c r="H54" s="219"/>
      <c r="I54" s="214"/>
      <c r="J54" s="253"/>
      <c r="K54" s="219"/>
      <c r="L54" s="162"/>
      <c r="M54" s="158">
        <f t="shared" si="0"/>
        <v>0</v>
      </c>
      <c r="N54" s="267">
        <f t="shared" si="1"/>
        <v>0</v>
      </c>
      <c r="O54" s="268">
        <f t="shared" si="2"/>
        <v>0</v>
      </c>
      <c r="P54" s="264">
        <f t="shared" si="3"/>
        <v>0</v>
      </c>
      <c r="Q54" s="7"/>
      <c r="R54" s="7"/>
      <c r="S54" s="7"/>
      <c r="T54" s="7"/>
      <c r="U54" s="7"/>
      <c r="V54" s="7"/>
    </row>
    <row r="55" spans="1:22" s="5" customFormat="1" ht="18.75" hidden="1">
      <c r="A55" s="160" t="s">
        <v>73</v>
      </c>
      <c r="B55" s="178" t="s">
        <v>74</v>
      </c>
      <c r="C55" s="214"/>
      <c r="D55" s="253"/>
      <c r="E55" s="219"/>
      <c r="F55" s="214">
        <f t="shared" si="4"/>
        <v>0</v>
      </c>
      <c r="G55" s="253"/>
      <c r="H55" s="219"/>
      <c r="I55" s="214"/>
      <c r="J55" s="253"/>
      <c r="K55" s="219"/>
      <c r="L55" s="162"/>
      <c r="M55" s="158">
        <f t="shared" si="0"/>
        <v>0</v>
      </c>
      <c r="N55" s="267">
        <f t="shared" si="1"/>
        <v>0</v>
      </c>
      <c r="O55" s="268">
        <f t="shared" si="2"/>
        <v>0</v>
      </c>
      <c r="P55" s="264">
        <f t="shared" si="3"/>
        <v>0</v>
      </c>
      <c r="Q55" s="7"/>
      <c r="R55" s="7"/>
      <c r="S55" s="7"/>
      <c r="T55" s="7"/>
      <c r="U55" s="7"/>
      <c r="V55" s="7"/>
    </row>
    <row r="56" spans="1:22" s="5" customFormat="1" ht="18.75" hidden="1">
      <c r="A56" s="160" t="s">
        <v>75</v>
      </c>
      <c r="B56" s="178" t="s">
        <v>76</v>
      </c>
      <c r="C56" s="214"/>
      <c r="D56" s="253"/>
      <c r="E56" s="219"/>
      <c r="F56" s="214">
        <f t="shared" si="4"/>
        <v>0</v>
      </c>
      <c r="G56" s="253"/>
      <c r="H56" s="219"/>
      <c r="I56" s="214"/>
      <c r="J56" s="253"/>
      <c r="K56" s="219"/>
      <c r="L56" s="162"/>
      <c r="M56" s="158">
        <f t="shared" si="0"/>
        <v>0</v>
      </c>
      <c r="N56" s="267">
        <f t="shared" si="1"/>
        <v>0</v>
      </c>
      <c r="O56" s="268">
        <f t="shared" si="2"/>
        <v>0</v>
      </c>
      <c r="P56" s="264">
        <f t="shared" si="3"/>
        <v>0</v>
      </c>
      <c r="Q56" s="7"/>
      <c r="R56" s="7"/>
      <c r="S56" s="7"/>
      <c r="T56" s="7"/>
      <c r="U56" s="7"/>
      <c r="V56" s="7"/>
    </row>
    <row r="57" spans="1:22" s="159" customFormat="1" ht="37.5" hidden="1">
      <c r="A57" s="153" t="s">
        <v>77</v>
      </c>
      <c r="B57" s="179" t="s">
        <v>78</v>
      </c>
      <c r="C57" s="211"/>
      <c r="D57" s="251"/>
      <c r="E57" s="218"/>
      <c r="F57" s="211">
        <f t="shared" si="4"/>
        <v>0</v>
      </c>
      <c r="G57" s="251"/>
      <c r="H57" s="218"/>
      <c r="I57" s="211"/>
      <c r="J57" s="251"/>
      <c r="K57" s="218"/>
      <c r="L57" s="155"/>
      <c r="M57" s="158">
        <f t="shared" si="0"/>
        <v>0</v>
      </c>
      <c r="N57" s="267">
        <f t="shared" si="1"/>
        <v>0</v>
      </c>
      <c r="O57" s="268">
        <f t="shared" si="2"/>
        <v>0</v>
      </c>
      <c r="P57" s="264">
        <f t="shared" si="3"/>
        <v>0</v>
      </c>
      <c r="Q57" s="158"/>
      <c r="R57" s="158"/>
      <c r="S57" s="158"/>
      <c r="T57" s="158"/>
      <c r="U57" s="158"/>
      <c r="V57" s="158"/>
    </row>
    <row r="58" spans="1:22" s="5" customFormat="1" ht="18.75" hidden="1">
      <c r="A58" s="160"/>
      <c r="B58" s="161" t="s">
        <v>11</v>
      </c>
      <c r="C58" s="214"/>
      <c r="D58" s="253"/>
      <c r="E58" s="219"/>
      <c r="F58" s="214">
        <f t="shared" si="4"/>
        <v>0</v>
      </c>
      <c r="G58" s="253"/>
      <c r="H58" s="219"/>
      <c r="I58" s="214"/>
      <c r="J58" s="253"/>
      <c r="K58" s="219"/>
      <c r="L58" s="162"/>
      <c r="M58" s="158">
        <f t="shared" si="0"/>
        <v>0</v>
      </c>
      <c r="N58" s="267">
        <f t="shared" si="1"/>
        <v>0</v>
      </c>
      <c r="O58" s="268">
        <f t="shared" si="2"/>
        <v>0</v>
      </c>
      <c r="P58" s="264">
        <f t="shared" si="3"/>
        <v>0</v>
      </c>
      <c r="Q58" s="7"/>
      <c r="R58" s="7"/>
      <c r="S58" s="7"/>
      <c r="T58" s="7"/>
      <c r="U58" s="7"/>
      <c r="V58" s="7"/>
    </row>
    <row r="59" spans="1:22" s="5" customFormat="1" ht="18.75" hidden="1">
      <c r="A59" s="160" t="s">
        <v>79</v>
      </c>
      <c r="B59" s="161" t="s">
        <v>49</v>
      </c>
      <c r="C59" s="214"/>
      <c r="D59" s="253"/>
      <c r="E59" s="219"/>
      <c r="F59" s="214">
        <f t="shared" si="4"/>
        <v>0</v>
      </c>
      <c r="G59" s="253"/>
      <c r="H59" s="219"/>
      <c r="I59" s="214"/>
      <c r="J59" s="253"/>
      <c r="K59" s="219"/>
      <c r="L59" s="162"/>
      <c r="M59" s="158">
        <f t="shared" si="0"/>
        <v>0</v>
      </c>
      <c r="N59" s="267">
        <f t="shared" si="1"/>
        <v>0</v>
      </c>
      <c r="O59" s="268">
        <f t="shared" si="2"/>
        <v>0</v>
      </c>
      <c r="P59" s="264">
        <f t="shared" si="3"/>
        <v>0</v>
      </c>
      <c r="Q59" s="7"/>
      <c r="R59" s="7"/>
      <c r="S59" s="7"/>
      <c r="T59" s="7"/>
      <c r="U59" s="7"/>
      <c r="V59" s="7"/>
    </row>
    <row r="60" spans="1:22" s="5" customFormat="1" ht="18.75" hidden="1">
      <c r="A60" s="160" t="s">
        <v>80</v>
      </c>
      <c r="B60" s="161" t="s">
        <v>15</v>
      </c>
      <c r="C60" s="214"/>
      <c r="D60" s="253"/>
      <c r="E60" s="219"/>
      <c r="F60" s="214">
        <f t="shared" si="4"/>
        <v>0</v>
      </c>
      <c r="G60" s="253"/>
      <c r="H60" s="219"/>
      <c r="I60" s="214"/>
      <c r="J60" s="253"/>
      <c r="K60" s="219"/>
      <c r="L60" s="162"/>
      <c r="M60" s="158">
        <f t="shared" si="0"/>
        <v>0</v>
      </c>
      <c r="N60" s="267">
        <f t="shared" si="1"/>
        <v>0</v>
      </c>
      <c r="O60" s="268">
        <f t="shared" si="2"/>
        <v>0</v>
      </c>
      <c r="P60" s="264">
        <f t="shared" si="3"/>
        <v>0</v>
      </c>
      <c r="Q60" s="7"/>
      <c r="R60" s="7"/>
      <c r="S60" s="7"/>
      <c r="T60" s="7"/>
      <c r="U60" s="7"/>
      <c r="V60" s="7"/>
    </row>
    <row r="61" spans="1:22" s="5" customFormat="1" ht="18.75" hidden="1">
      <c r="A61" s="160"/>
      <c r="B61" s="161" t="s">
        <v>11</v>
      </c>
      <c r="C61" s="214"/>
      <c r="D61" s="253"/>
      <c r="E61" s="219"/>
      <c r="F61" s="214">
        <f t="shared" si="4"/>
        <v>0</v>
      </c>
      <c r="G61" s="253"/>
      <c r="H61" s="219"/>
      <c r="I61" s="214"/>
      <c r="J61" s="253"/>
      <c r="K61" s="219"/>
      <c r="L61" s="162"/>
      <c r="M61" s="158">
        <f t="shared" si="0"/>
        <v>0</v>
      </c>
      <c r="N61" s="267">
        <f t="shared" si="1"/>
        <v>0</v>
      </c>
      <c r="O61" s="268">
        <f t="shared" si="2"/>
        <v>0</v>
      </c>
      <c r="P61" s="264">
        <f t="shared" si="3"/>
        <v>0</v>
      </c>
      <c r="Q61" s="7"/>
      <c r="R61" s="7"/>
      <c r="S61" s="7"/>
      <c r="T61" s="7"/>
      <c r="U61" s="7"/>
      <c r="V61" s="7"/>
    </row>
    <row r="62" spans="1:22" s="5" customFormat="1" ht="18.75" hidden="1">
      <c r="A62" s="160" t="s">
        <v>81</v>
      </c>
      <c r="B62" s="161" t="s">
        <v>17</v>
      </c>
      <c r="C62" s="214"/>
      <c r="D62" s="253"/>
      <c r="E62" s="219"/>
      <c r="F62" s="214">
        <f t="shared" si="4"/>
        <v>0</v>
      </c>
      <c r="G62" s="253"/>
      <c r="H62" s="219"/>
      <c r="I62" s="214"/>
      <c r="J62" s="253"/>
      <c r="K62" s="219"/>
      <c r="L62" s="162"/>
      <c r="M62" s="158">
        <f t="shared" si="0"/>
        <v>0</v>
      </c>
      <c r="N62" s="267">
        <f t="shared" si="1"/>
        <v>0</v>
      </c>
      <c r="O62" s="268">
        <f t="shared" si="2"/>
        <v>0</v>
      </c>
      <c r="P62" s="264">
        <f t="shared" si="3"/>
        <v>0</v>
      </c>
      <c r="Q62" s="7"/>
      <c r="R62" s="7"/>
      <c r="S62" s="7"/>
      <c r="T62" s="7"/>
      <c r="U62" s="7"/>
      <c r="V62" s="7"/>
    </row>
    <row r="63" spans="1:22" s="5" customFormat="1" ht="18.75" hidden="1">
      <c r="A63" s="160" t="s">
        <v>82</v>
      </c>
      <c r="B63" s="161" t="s">
        <v>54</v>
      </c>
      <c r="C63" s="214"/>
      <c r="D63" s="253"/>
      <c r="E63" s="219"/>
      <c r="F63" s="214">
        <f t="shared" si="4"/>
        <v>0</v>
      </c>
      <c r="G63" s="253"/>
      <c r="H63" s="219"/>
      <c r="I63" s="214"/>
      <c r="J63" s="253"/>
      <c r="K63" s="219"/>
      <c r="L63" s="162"/>
      <c r="M63" s="158">
        <f t="shared" si="0"/>
        <v>0</v>
      </c>
      <c r="N63" s="267">
        <f t="shared" si="1"/>
        <v>0</v>
      </c>
      <c r="O63" s="268">
        <f t="shared" si="2"/>
        <v>0</v>
      </c>
      <c r="P63" s="264">
        <f t="shared" si="3"/>
        <v>0</v>
      </c>
      <c r="Q63" s="7"/>
      <c r="R63" s="7"/>
      <c r="S63" s="7"/>
      <c r="T63" s="7"/>
      <c r="U63" s="7"/>
      <c r="V63" s="7"/>
    </row>
    <row r="64" spans="1:22" s="176" customFormat="1" ht="19.5" hidden="1" thickBot="1">
      <c r="A64" s="160"/>
      <c r="B64" s="161" t="s">
        <v>45</v>
      </c>
      <c r="C64" s="214"/>
      <c r="D64" s="253"/>
      <c r="E64" s="219"/>
      <c r="F64" s="214">
        <f t="shared" si="4"/>
        <v>0</v>
      </c>
      <c r="G64" s="253"/>
      <c r="H64" s="219"/>
      <c r="I64" s="214"/>
      <c r="J64" s="253"/>
      <c r="K64" s="219"/>
      <c r="L64" s="162"/>
      <c r="M64" s="158">
        <f t="shared" si="0"/>
        <v>0</v>
      </c>
      <c r="N64" s="267">
        <f t="shared" si="1"/>
        <v>0</v>
      </c>
      <c r="O64" s="268">
        <f t="shared" si="2"/>
        <v>0</v>
      </c>
      <c r="P64" s="264">
        <f t="shared" si="3"/>
        <v>0</v>
      </c>
      <c r="Q64" s="7"/>
      <c r="R64" s="7"/>
      <c r="S64" s="7"/>
      <c r="T64" s="7"/>
      <c r="U64" s="7"/>
      <c r="V64" s="7"/>
    </row>
    <row r="65" spans="1:22" s="182" customFormat="1" ht="18.75" hidden="1">
      <c r="A65" s="153" t="s">
        <v>83</v>
      </c>
      <c r="B65" s="154" t="s">
        <v>56</v>
      </c>
      <c r="C65" s="211"/>
      <c r="D65" s="251"/>
      <c r="E65" s="218"/>
      <c r="F65" s="211">
        <f t="shared" si="4"/>
        <v>0</v>
      </c>
      <c r="G65" s="251"/>
      <c r="H65" s="218"/>
      <c r="I65" s="211"/>
      <c r="J65" s="251"/>
      <c r="K65" s="218"/>
      <c r="L65" s="155"/>
      <c r="M65" s="158">
        <f t="shared" si="0"/>
        <v>0</v>
      </c>
      <c r="N65" s="267">
        <f t="shared" si="1"/>
        <v>0</v>
      </c>
      <c r="O65" s="268">
        <f t="shared" si="2"/>
        <v>0</v>
      </c>
      <c r="P65" s="264">
        <f t="shared" si="3"/>
        <v>0</v>
      </c>
      <c r="Q65" s="181"/>
      <c r="R65" s="181"/>
      <c r="S65" s="181"/>
      <c r="T65" s="181"/>
      <c r="U65" s="181"/>
      <c r="V65" s="181"/>
    </row>
    <row r="66" spans="1:22" s="182" customFormat="1" ht="18.75" hidden="1">
      <c r="A66" s="153" t="s">
        <v>84</v>
      </c>
      <c r="B66" s="154" t="s">
        <v>58</v>
      </c>
      <c r="C66" s="211"/>
      <c r="D66" s="251"/>
      <c r="E66" s="218"/>
      <c r="F66" s="211">
        <f t="shared" si="4"/>
        <v>0</v>
      </c>
      <c r="G66" s="251"/>
      <c r="H66" s="218"/>
      <c r="I66" s="211"/>
      <c r="J66" s="251"/>
      <c r="K66" s="218"/>
      <c r="L66" s="155"/>
      <c r="M66" s="158">
        <f t="shared" si="0"/>
        <v>0</v>
      </c>
      <c r="N66" s="267">
        <f t="shared" si="1"/>
        <v>0</v>
      </c>
      <c r="O66" s="268">
        <f t="shared" si="2"/>
        <v>0</v>
      </c>
      <c r="P66" s="264">
        <f t="shared" si="3"/>
        <v>0</v>
      </c>
      <c r="Q66" s="181"/>
      <c r="R66" s="181"/>
      <c r="S66" s="181"/>
      <c r="T66" s="181"/>
      <c r="U66" s="181"/>
      <c r="V66" s="181"/>
    </row>
    <row r="67" spans="1:22" s="5" customFormat="1" ht="18.75" hidden="1">
      <c r="A67" s="160"/>
      <c r="B67" s="161" t="s">
        <v>28</v>
      </c>
      <c r="C67" s="214"/>
      <c r="D67" s="253"/>
      <c r="E67" s="219"/>
      <c r="F67" s="214">
        <f t="shared" si="4"/>
        <v>0</v>
      </c>
      <c r="G67" s="253"/>
      <c r="H67" s="219"/>
      <c r="I67" s="214"/>
      <c r="J67" s="253"/>
      <c r="K67" s="219"/>
      <c r="L67" s="162"/>
      <c r="M67" s="158">
        <f t="shared" si="0"/>
        <v>0</v>
      </c>
      <c r="N67" s="267">
        <f t="shared" si="1"/>
        <v>0</v>
      </c>
      <c r="O67" s="268">
        <f t="shared" si="2"/>
        <v>0</v>
      </c>
      <c r="P67" s="264">
        <f t="shared" si="3"/>
        <v>0</v>
      </c>
      <c r="Q67" s="7"/>
      <c r="R67" s="7"/>
      <c r="S67" s="7"/>
      <c r="T67" s="7"/>
      <c r="U67" s="7"/>
      <c r="V67" s="7"/>
    </row>
    <row r="68" spans="1:22" s="5" customFormat="1" ht="18.75" hidden="1">
      <c r="A68" s="160" t="s">
        <v>85</v>
      </c>
      <c r="B68" s="161" t="s">
        <v>30</v>
      </c>
      <c r="C68" s="214"/>
      <c r="D68" s="253"/>
      <c r="E68" s="219"/>
      <c r="F68" s="214">
        <f t="shared" si="4"/>
        <v>0</v>
      </c>
      <c r="G68" s="253"/>
      <c r="H68" s="219"/>
      <c r="I68" s="214"/>
      <c r="J68" s="253"/>
      <c r="K68" s="219"/>
      <c r="L68" s="162"/>
      <c r="M68" s="158">
        <f t="shared" si="0"/>
        <v>0</v>
      </c>
      <c r="N68" s="267">
        <f t="shared" si="1"/>
        <v>0</v>
      </c>
      <c r="O68" s="268">
        <f t="shared" si="2"/>
        <v>0</v>
      </c>
      <c r="P68" s="264">
        <f t="shared" si="3"/>
        <v>0</v>
      </c>
      <c r="Q68" s="7"/>
      <c r="R68" s="7"/>
      <c r="S68" s="7"/>
      <c r="T68" s="7"/>
      <c r="U68" s="7"/>
      <c r="V68" s="7"/>
    </row>
    <row r="69" spans="1:22" s="185" customFormat="1" ht="19.5" hidden="1">
      <c r="A69" s="160" t="s">
        <v>86</v>
      </c>
      <c r="B69" s="161" t="s">
        <v>32</v>
      </c>
      <c r="C69" s="214"/>
      <c r="D69" s="253"/>
      <c r="E69" s="220"/>
      <c r="F69" s="215">
        <f t="shared" si="4"/>
        <v>0</v>
      </c>
      <c r="G69" s="260"/>
      <c r="H69" s="220"/>
      <c r="I69" s="214"/>
      <c r="J69" s="253"/>
      <c r="K69" s="220"/>
      <c r="L69" s="162"/>
      <c r="M69" s="158">
        <f t="shared" si="0"/>
        <v>0</v>
      </c>
      <c r="N69" s="267">
        <f t="shared" si="1"/>
        <v>0</v>
      </c>
      <c r="O69" s="268">
        <f t="shared" si="2"/>
        <v>0</v>
      </c>
      <c r="P69" s="264">
        <f t="shared" si="3"/>
        <v>0</v>
      </c>
      <c r="Q69" s="184"/>
      <c r="R69" s="184"/>
      <c r="S69" s="184"/>
      <c r="T69" s="184"/>
      <c r="U69" s="184"/>
      <c r="V69" s="184"/>
    </row>
    <row r="70" spans="1:22" s="5" customFormat="1" ht="18.75" hidden="1">
      <c r="A70" s="160"/>
      <c r="B70" s="161" t="s">
        <v>28</v>
      </c>
      <c r="C70" s="214"/>
      <c r="D70" s="253"/>
      <c r="E70" s="219"/>
      <c r="F70" s="214">
        <f t="shared" si="4"/>
        <v>0</v>
      </c>
      <c r="G70" s="253"/>
      <c r="H70" s="219"/>
      <c r="I70" s="214"/>
      <c r="J70" s="253"/>
      <c r="K70" s="219"/>
      <c r="L70" s="162"/>
      <c r="M70" s="158">
        <f t="shared" si="0"/>
        <v>0</v>
      </c>
      <c r="N70" s="267">
        <f t="shared" si="1"/>
        <v>0</v>
      </c>
      <c r="O70" s="268">
        <f t="shared" si="2"/>
        <v>0</v>
      </c>
      <c r="P70" s="264">
        <f t="shared" si="3"/>
        <v>0</v>
      </c>
      <c r="Q70" s="7"/>
      <c r="R70" s="7"/>
      <c r="S70" s="7"/>
      <c r="T70" s="7"/>
      <c r="U70" s="7"/>
      <c r="V70" s="7"/>
    </row>
    <row r="71" spans="1:22" s="5" customFormat="1" ht="18.75" hidden="1">
      <c r="A71" s="171" t="s">
        <v>87</v>
      </c>
      <c r="B71" s="161" t="s">
        <v>17</v>
      </c>
      <c r="C71" s="214"/>
      <c r="D71" s="253"/>
      <c r="E71" s="219"/>
      <c r="F71" s="214">
        <f t="shared" si="4"/>
        <v>0</v>
      </c>
      <c r="G71" s="253"/>
      <c r="H71" s="219"/>
      <c r="I71" s="214"/>
      <c r="J71" s="253"/>
      <c r="K71" s="219"/>
      <c r="L71" s="162"/>
      <c r="M71" s="158">
        <f t="shared" si="0"/>
        <v>0</v>
      </c>
      <c r="N71" s="267">
        <f t="shared" si="1"/>
        <v>0</v>
      </c>
      <c r="O71" s="268">
        <f t="shared" si="2"/>
        <v>0</v>
      </c>
      <c r="P71" s="264">
        <f t="shared" si="3"/>
        <v>0</v>
      </c>
      <c r="Q71" s="7"/>
      <c r="R71" s="7"/>
      <c r="S71" s="7"/>
      <c r="T71" s="7"/>
      <c r="U71" s="7"/>
      <c r="V71" s="7"/>
    </row>
    <row r="72" spans="1:22" s="5" customFormat="1" ht="37.5" hidden="1">
      <c r="A72" s="171" t="s">
        <v>88</v>
      </c>
      <c r="B72" s="172" t="s">
        <v>89</v>
      </c>
      <c r="C72" s="214"/>
      <c r="D72" s="253"/>
      <c r="E72" s="219"/>
      <c r="F72" s="214">
        <f t="shared" si="4"/>
        <v>0</v>
      </c>
      <c r="G72" s="253"/>
      <c r="H72" s="219"/>
      <c r="I72" s="214"/>
      <c r="J72" s="253"/>
      <c r="K72" s="219"/>
      <c r="L72" s="162"/>
      <c r="M72" s="158">
        <f t="shared" ref="M72:M135" si="5">(D72+G72)/2</f>
        <v>0</v>
      </c>
      <c r="N72" s="267">
        <f t="shared" ref="N72:N135" si="6">J72-M72</f>
        <v>0</v>
      </c>
      <c r="O72" s="268">
        <f t="shared" ref="O72:O135" si="7">C72+F72</f>
        <v>0</v>
      </c>
      <c r="P72" s="264">
        <f t="shared" ref="P72:P135" si="8">O72-I72</f>
        <v>0</v>
      </c>
      <c r="Q72" s="7"/>
      <c r="R72" s="7"/>
      <c r="S72" s="7"/>
      <c r="T72" s="7"/>
      <c r="U72" s="7"/>
      <c r="V72" s="7"/>
    </row>
    <row r="73" spans="1:22" s="5" customFormat="1" ht="18.75" hidden="1">
      <c r="A73" s="171" t="s">
        <v>90</v>
      </c>
      <c r="B73" s="172" t="s">
        <v>54</v>
      </c>
      <c r="C73" s="214"/>
      <c r="D73" s="253"/>
      <c r="E73" s="219"/>
      <c r="F73" s="214">
        <f t="shared" si="4"/>
        <v>0</v>
      </c>
      <c r="G73" s="253"/>
      <c r="H73" s="219"/>
      <c r="I73" s="214"/>
      <c r="J73" s="253"/>
      <c r="K73" s="219"/>
      <c r="L73" s="162"/>
      <c r="M73" s="158">
        <f t="shared" si="5"/>
        <v>0</v>
      </c>
      <c r="N73" s="267">
        <f t="shared" si="6"/>
        <v>0</v>
      </c>
      <c r="O73" s="268">
        <f t="shared" si="7"/>
        <v>0</v>
      </c>
      <c r="P73" s="264">
        <f t="shared" si="8"/>
        <v>0</v>
      </c>
      <c r="Q73" s="7"/>
      <c r="R73" s="7"/>
      <c r="S73" s="7"/>
      <c r="T73" s="7"/>
      <c r="U73" s="7"/>
      <c r="V73" s="7"/>
    </row>
    <row r="74" spans="1:22" s="5" customFormat="1" ht="37.5" hidden="1">
      <c r="A74" s="171" t="s">
        <v>91</v>
      </c>
      <c r="B74" s="172" t="s">
        <v>92</v>
      </c>
      <c r="C74" s="214"/>
      <c r="D74" s="253"/>
      <c r="E74" s="219"/>
      <c r="F74" s="214">
        <f t="shared" si="4"/>
        <v>0</v>
      </c>
      <c r="G74" s="253"/>
      <c r="H74" s="219"/>
      <c r="I74" s="214"/>
      <c r="J74" s="253"/>
      <c r="K74" s="219"/>
      <c r="L74" s="162"/>
      <c r="M74" s="158">
        <f t="shared" si="5"/>
        <v>0</v>
      </c>
      <c r="N74" s="267">
        <f t="shared" si="6"/>
        <v>0</v>
      </c>
      <c r="O74" s="268">
        <f t="shared" si="7"/>
        <v>0</v>
      </c>
      <c r="P74" s="264">
        <f t="shared" si="8"/>
        <v>0</v>
      </c>
      <c r="Q74" s="7"/>
      <c r="R74" s="7"/>
      <c r="S74" s="7"/>
      <c r="T74" s="7"/>
      <c r="U74" s="7"/>
      <c r="V74" s="7"/>
    </row>
    <row r="75" spans="1:22" s="5" customFormat="1" ht="18.75" hidden="1">
      <c r="A75" s="160"/>
      <c r="B75" s="161" t="s">
        <v>45</v>
      </c>
      <c r="C75" s="214"/>
      <c r="D75" s="253"/>
      <c r="E75" s="219"/>
      <c r="F75" s="214">
        <f t="shared" ref="F75:F133" si="9">I75-C75</f>
        <v>0</v>
      </c>
      <c r="G75" s="253"/>
      <c r="H75" s="219"/>
      <c r="I75" s="214"/>
      <c r="J75" s="253"/>
      <c r="K75" s="219"/>
      <c r="L75" s="162"/>
      <c r="M75" s="158">
        <f t="shared" si="5"/>
        <v>0</v>
      </c>
      <c r="N75" s="267">
        <f t="shared" si="6"/>
        <v>0</v>
      </c>
      <c r="O75" s="268">
        <f t="shared" si="7"/>
        <v>0</v>
      </c>
      <c r="P75" s="264">
        <f t="shared" si="8"/>
        <v>0</v>
      </c>
      <c r="Q75" s="7"/>
      <c r="R75" s="7"/>
      <c r="S75" s="7"/>
      <c r="T75" s="7"/>
      <c r="U75" s="7"/>
      <c r="V75" s="7"/>
    </row>
    <row r="76" spans="1:22" s="5" customFormat="1" ht="18.75" hidden="1">
      <c r="A76" s="160" t="s">
        <v>93</v>
      </c>
      <c r="B76" s="161" t="s">
        <v>94</v>
      </c>
      <c r="C76" s="214"/>
      <c r="D76" s="253"/>
      <c r="E76" s="219"/>
      <c r="F76" s="214">
        <f t="shared" si="9"/>
        <v>0</v>
      </c>
      <c r="G76" s="253"/>
      <c r="H76" s="219"/>
      <c r="I76" s="214"/>
      <c r="J76" s="253"/>
      <c r="K76" s="219"/>
      <c r="L76" s="162"/>
      <c r="M76" s="158">
        <f t="shared" si="5"/>
        <v>0</v>
      </c>
      <c r="N76" s="267">
        <f t="shared" si="6"/>
        <v>0</v>
      </c>
      <c r="O76" s="268">
        <f t="shared" si="7"/>
        <v>0</v>
      </c>
      <c r="P76" s="264">
        <f t="shared" si="8"/>
        <v>0</v>
      </c>
      <c r="Q76" s="7"/>
      <c r="R76" s="7"/>
      <c r="S76" s="7"/>
      <c r="T76" s="7"/>
      <c r="U76" s="7"/>
      <c r="V76" s="7"/>
    </row>
    <row r="77" spans="1:22" s="5" customFormat="1" ht="18.75" hidden="1">
      <c r="A77" s="160" t="s">
        <v>95</v>
      </c>
      <c r="B77" s="178" t="s">
        <v>72</v>
      </c>
      <c r="C77" s="214"/>
      <c r="D77" s="253"/>
      <c r="E77" s="219"/>
      <c r="F77" s="214">
        <f t="shared" si="9"/>
        <v>0</v>
      </c>
      <c r="G77" s="253"/>
      <c r="H77" s="219"/>
      <c r="I77" s="214"/>
      <c r="J77" s="253"/>
      <c r="K77" s="219"/>
      <c r="L77" s="162"/>
      <c r="M77" s="158">
        <f t="shared" si="5"/>
        <v>0</v>
      </c>
      <c r="N77" s="267">
        <f t="shared" si="6"/>
        <v>0</v>
      </c>
      <c r="O77" s="268">
        <f t="shared" si="7"/>
        <v>0</v>
      </c>
      <c r="P77" s="264">
        <f t="shared" si="8"/>
        <v>0</v>
      </c>
      <c r="Q77" s="7"/>
      <c r="R77" s="7"/>
      <c r="S77" s="7"/>
      <c r="T77" s="7"/>
      <c r="U77" s="7"/>
      <c r="V77" s="7"/>
    </row>
    <row r="78" spans="1:22" s="5" customFormat="1" ht="18.75" hidden="1">
      <c r="A78" s="160" t="s">
        <v>96</v>
      </c>
      <c r="B78" s="178" t="s">
        <v>74</v>
      </c>
      <c r="C78" s="214"/>
      <c r="D78" s="253"/>
      <c r="E78" s="219"/>
      <c r="F78" s="214">
        <f t="shared" si="9"/>
        <v>0</v>
      </c>
      <c r="G78" s="253"/>
      <c r="H78" s="219"/>
      <c r="I78" s="214"/>
      <c r="J78" s="253"/>
      <c r="K78" s="219"/>
      <c r="L78" s="162"/>
      <c r="M78" s="158">
        <f t="shared" si="5"/>
        <v>0</v>
      </c>
      <c r="N78" s="267">
        <f t="shared" si="6"/>
        <v>0</v>
      </c>
      <c r="O78" s="268">
        <f t="shared" si="7"/>
        <v>0</v>
      </c>
      <c r="P78" s="264">
        <f t="shared" si="8"/>
        <v>0</v>
      </c>
      <c r="Q78" s="7"/>
      <c r="R78" s="7"/>
      <c r="S78" s="7"/>
      <c r="T78" s="7"/>
      <c r="U78" s="7"/>
      <c r="V78" s="7"/>
    </row>
    <row r="79" spans="1:22" s="5" customFormat="1" ht="18.75" hidden="1">
      <c r="A79" s="160" t="s">
        <v>97</v>
      </c>
      <c r="B79" s="178" t="s">
        <v>76</v>
      </c>
      <c r="C79" s="214"/>
      <c r="D79" s="253"/>
      <c r="E79" s="219"/>
      <c r="F79" s="214">
        <f t="shared" si="9"/>
        <v>0</v>
      </c>
      <c r="G79" s="253"/>
      <c r="H79" s="219"/>
      <c r="I79" s="214"/>
      <c r="J79" s="253"/>
      <c r="K79" s="219"/>
      <c r="L79" s="162"/>
      <c r="M79" s="158">
        <f t="shared" si="5"/>
        <v>0</v>
      </c>
      <c r="N79" s="267">
        <f t="shared" si="6"/>
        <v>0</v>
      </c>
      <c r="O79" s="268">
        <f t="shared" si="7"/>
        <v>0</v>
      </c>
      <c r="P79" s="264">
        <f t="shared" si="8"/>
        <v>0</v>
      </c>
      <c r="Q79" s="7"/>
      <c r="R79" s="7"/>
      <c r="S79" s="7"/>
      <c r="T79" s="7"/>
      <c r="U79" s="7"/>
      <c r="V79" s="7"/>
    </row>
    <row r="80" spans="1:22" s="159" customFormat="1" ht="18.75" hidden="1">
      <c r="A80" s="153" t="s">
        <v>98</v>
      </c>
      <c r="B80" s="154" t="s">
        <v>99</v>
      </c>
      <c r="C80" s="257"/>
      <c r="D80" s="254"/>
      <c r="E80" s="218"/>
      <c r="F80" s="211">
        <f t="shared" si="9"/>
        <v>0</v>
      </c>
      <c r="G80" s="251"/>
      <c r="H80" s="218"/>
      <c r="I80" s="257"/>
      <c r="J80" s="254"/>
      <c r="K80" s="218"/>
      <c r="L80" s="155"/>
      <c r="M80" s="158">
        <f t="shared" si="5"/>
        <v>0</v>
      </c>
      <c r="N80" s="267">
        <f t="shared" si="6"/>
        <v>0</v>
      </c>
      <c r="O80" s="268">
        <f t="shared" si="7"/>
        <v>0</v>
      </c>
      <c r="P80" s="264">
        <f t="shared" si="8"/>
        <v>0</v>
      </c>
      <c r="Q80" s="158"/>
      <c r="R80" s="158"/>
      <c r="S80" s="158"/>
      <c r="T80" s="158"/>
      <c r="U80" s="158"/>
      <c r="V80" s="158"/>
    </row>
    <row r="81" spans="1:22" s="5" customFormat="1" ht="18.75" hidden="1">
      <c r="A81" s="160"/>
      <c r="B81" s="161" t="s">
        <v>11</v>
      </c>
      <c r="C81" s="214"/>
      <c r="D81" s="253"/>
      <c r="E81" s="219"/>
      <c r="F81" s="214">
        <f t="shared" si="9"/>
        <v>0</v>
      </c>
      <c r="G81" s="253"/>
      <c r="H81" s="219"/>
      <c r="I81" s="214"/>
      <c r="J81" s="253"/>
      <c r="K81" s="219"/>
      <c r="L81" s="162"/>
      <c r="M81" s="158">
        <f t="shared" si="5"/>
        <v>0</v>
      </c>
      <c r="N81" s="267">
        <f t="shared" si="6"/>
        <v>0</v>
      </c>
      <c r="O81" s="268">
        <f t="shared" si="7"/>
        <v>0</v>
      </c>
      <c r="P81" s="264">
        <f t="shared" si="8"/>
        <v>0</v>
      </c>
      <c r="Q81" s="7"/>
      <c r="R81" s="7"/>
      <c r="S81" s="7"/>
      <c r="T81" s="7"/>
      <c r="U81" s="7"/>
      <c r="V81" s="7"/>
    </row>
    <row r="82" spans="1:22" s="5" customFormat="1" ht="18.75" hidden="1">
      <c r="A82" s="160" t="s">
        <v>100</v>
      </c>
      <c r="B82" s="161" t="s">
        <v>49</v>
      </c>
      <c r="C82" s="214"/>
      <c r="D82" s="253"/>
      <c r="E82" s="219"/>
      <c r="F82" s="214">
        <f t="shared" si="9"/>
        <v>0</v>
      </c>
      <c r="G82" s="253"/>
      <c r="H82" s="219"/>
      <c r="I82" s="214"/>
      <c r="J82" s="253"/>
      <c r="K82" s="219"/>
      <c r="L82" s="162"/>
      <c r="M82" s="158">
        <f t="shared" si="5"/>
        <v>0</v>
      </c>
      <c r="N82" s="267">
        <f t="shared" si="6"/>
        <v>0</v>
      </c>
      <c r="O82" s="268">
        <f t="shared" si="7"/>
        <v>0</v>
      </c>
      <c r="P82" s="264">
        <f t="shared" si="8"/>
        <v>0</v>
      </c>
      <c r="Q82" s="7"/>
      <c r="R82" s="7"/>
      <c r="S82" s="7"/>
      <c r="T82" s="7"/>
      <c r="U82" s="7"/>
      <c r="V82" s="7"/>
    </row>
    <row r="83" spans="1:22" s="5" customFormat="1" ht="18.75" hidden="1">
      <c r="A83" s="160" t="s">
        <v>101</v>
      </c>
      <c r="B83" s="161" t="s">
        <v>15</v>
      </c>
      <c r="C83" s="214">
        <f>C85</f>
        <v>0</v>
      </c>
      <c r="D83" s="253">
        <f>D85</f>
        <v>0</v>
      </c>
      <c r="E83" s="219"/>
      <c r="F83" s="214">
        <f t="shared" si="9"/>
        <v>0</v>
      </c>
      <c r="G83" s="253">
        <f>G85</f>
        <v>0</v>
      </c>
      <c r="H83" s="219"/>
      <c r="I83" s="214">
        <f>I85</f>
        <v>0</v>
      </c>
      <c r="J83" s="253">
        <f>J85</f>
        <v>0</v>
      </c>
      <c r="K83" s="219"/>
      <c r="L83" s="162"/>
      <c r="M83" s="158">
        <f t="shared" si="5"/>
        <v>0</v>
      </c>
      <c r="N83" s="267">
        <f t="shared" si="6"/>
        <v>0</v>
      </c>
      <c r="O83" s="268">
        <f t="shared" si="7"/>
        <v>0</v>
      </c>
      <c r="P83" s="264">
        <f t="shared" si="8"/>
        <v>0</v>
      </c>
      <c r="Q83" s="7"/>
      <c r="R83" s="7"/>
      <c r="S83" s="7"/>
      <c r="T83" s="7"/>
      <c r="U83" s="7"/>
      <c r="V83" s="7"/>
    </row>
    <row r="84" spans="1:22" s="5" customFormat="1" ht="18.75" hidden="1">
      <c r="A84" s="160"/>
      <c r="B84" s="161" t="s">
        <v>102</v>
      </c>
      <c r="C84" s="214"/>
      <c r="D84" s="253"/>
      <c r="E84" s="219"/>
      <c r="F84" s="214">
        <f t="shared" si="9"/>
        <v>0</v>
      </c>
      <c r="G84" s="253"/>
      <c r="H84" s="219"/>
      <c r="I84" s="214"/>
      <c r="J84" s="253"/>
      <c r="K84" s="219"/>
      <c r="L84" s="162"/>
      <c r="M84" s="158">
        <f t="shared" si="5"/>
        <v>0</v>
      </c>
      <c r="N84" s="267">
        <f t="shared" si="6"/>
        <v>0</v>
      </c>
      <c r="O84" s="268">
        <f t="shared" si="7"/>
        <v>0</v>
      </c>
      <c r="P84" s="264">
        <f t="shared" si="8"/>
        <v>0</v>
      </c>
      <c r="Q84" s="7"/>
      <c r="R84" s="7"/>
      <c r="S84" s="7"/>
      <c r="T84" s="7"/>
      <c r="U84" s="7"/>
      <c r="V84" s="7"/>
    </row>
    <row r="85" spans="1:22" s="5" customFormat="1" ht="18.75" hidden="1">
      <c r="A85" s="160" t="s">
        <v>103</v>
      </c>
      <c r="B85" s="161" t="s">
        <v>17</v>
      </c>
      <c r="C85" s="214"/>
      <c r="D85" s="253"/>
      <c r="E85" s="219"/>
      <c r="F85" s="214">
        <f t="shared" si="9"/>
        <v>0</v>
      </c>
      <c r="G85" s="253"/>
      <c r="H85" s="219"/>
      <c r="I85" s="214"/>
      <c r="J85" s="253"/>
      <c r="K85" s="219"/>
      <c r="L85" s="162"/>
      <c r="M85" s="158">
        <f t="shared" si="5"/>
        <v>0</v>
      </c>
      <c r="N85" s="267">
        <f t="shared" si="6"/>
        <v>0</v>
      </c>
      <c r="O85" s="268">
        <f t="shared" si="7"/>
        <v>0</v>
      </c>
      <c r="P85" s="264">
        <f t="shared" si="8"/>
        <v>0</v>
      </c>
      <c r="Q85" s="7"/>
      <c r="R85" s="7"/>
      <c r="S85" s="7"/>
      <c r="T85" s="7"/>
      <c r="U85" s="7"/>
      <c r="V85" s="7"/>
    </row>
    <row r="86" spans="1:22" s="5" customFormat="1" ht="18.75" hidden="1">
      <c r="A86" s="160" t="s">
        <v>104</v>
      </c>
      <c r="B86" s="161" t="s">
        <v>54</v>
      </c>
      <c r="C86" s="214"/>
      <c r="D86" s="253"/>
      <c r="E86" s="219"/>
      <c r="F86" s="214">
        <f t="shared" si="9"/>
        <v>0</v>
      </c>
      <c r="G86" s="253"/>
      <c r="H86" s="219"/>
      <c r="I86" s="214"/>
      <c r="J86" s="253"/>
      <c r="K86" s="219"/>
      <c r="L86" s="162"/>
      <c r="M86" s="158">
        <f t="shared" si="5"/>
        <v>0</v>
      </c>
      <c r="N86" s="267">
        <f t="shared" si="6"/>
        <v>0</v>
      </c>
      <c r="O86" s="268">
        <f t="shared" si="7"/>
        <v>0</v>
      </c>
      <c r="P86" s="264">
        <f t="shared" si="8"/>
        <v>0</v>
      </c>
      <c r="Q86" s="7"/>
      <c r="R86" s="7"/>
      <c r="S86" s="7"/>
      <c r="T86" s="7"/>
      <c r="U86" s="7"/>
      <c r="V86" s="7"/>
    </row>
    <row r="87" spans="1:22" s="5" customFormat="1" ht="18.75" hidden="1">
      <c r="A87" s="160"/>
      <c r="B87" s="161" t="s">
        <v>45</v>
      </c>
      <c r="C87" s="214"/>
      <c r="D87" s="253"/>
      <c r="E87" s="219"/>
      <c r="F87" s="214">
        <f t="shared" si="9"/>
        <v>0</v>
      </c>
      <c r="G87" s="253"/>
      <c r="H87" s="219"/>
      <c r="I87" s="214"/>
      <c r="J87" s="253"/>
      <c r="K87" s="219"/>
      <c r="L87" s="162"/>
      <c r="M87" s="158">
        <f t="shared" si="5"/>
        <v>0</v>
      </c>
      <c r="N87" s="267">
        <f t="shared" si="6"/>
        <v>0</v>
      </c>
      <c r="O87" s="268">
        <f t="shared" si="7"/>
        <v>0</v>
      </c>
      <c r="P87" s="264">
        <f t="shared" si="8"/>
        <v>0</v>
      </c>
      <c r="Q87" s="7"/>
      <c r="R87" s="7"/>
      <c r="S87" s="7"/>
      <c r="T87" s="7"/>
      <c r="U87" s="7"/>
      <c r="V87" s="7"/>
    </row>
    <row r="88" spans="1:22" s="159" customFormat="1" ht="18.75" hidden="1">
      <c r="A88" s="153" t="s">
        <v>105</v>
      </c>
      <c r="B88" s="154" t="s">
        <v>56</v>
      </c>
      <c r="C88" s="214"/>
      <c r="D88" s="253"/>
      <c r="E88" s="218"/>
      <c r="F88" s="211">
        <f t="shared" si="9"/>
        <v>0</v>
      </c>
      <c r="G88" s="251"/>
      <c r="H88" s="218"/>
      <c r="I88" s="214"/>
      <c r="J88" s="253"/>
      <c r="K88" s="218"/>
      <c r="L88" s="155"/>
      <c r="M88" s="158">
        <f t="shared" si="5"/>
        <v>0</v>
      </c>
      <c r="N88" s="267">
        <f t="shared" si="6"/>
        <v>0</v>
      </c>
      <c r="O88" s="268">
        <f t="shared" si="7"/>
        <v>0</v>
      </c>
      <c r="P88" s="264">
        <f t="shared" si="8"/>
        <v>0</v>
      </c>
      <c r="Q88" s="158"/>
      <c r="R88" s="158"/>
      <c r="S88" s="158"/>
      <c r="T88" s="158"/>
      <c r="U88" s="158"/>
      <c r="V88" s="158"/>
    </row>
    <row r="89" spans="1:22" s="182" customFormat="1" ht="18.75" hidden="1">
      <c r="A89" s="153" t="s">
        <v>106</v>
      </c>
      <c r="B89" s="154" t="s">
        <v>58</v>
      </c>
      <c r="C89" s="214"/>
      <c r="D89" s="253"/>
      <c r="E89" s="218"/>
      <c r="F89" s="211">
        <f t="shared" si="9"/>
        <v>0</v>
      </c>
      <c r="G89" s="251"/>
      <c r="H89" s="218"/>
      <c r="I89" s="214"/>
      <c r="J89" s="253"/>
      <c r="K89" s="218"/>
      <c r="L89" s="155"/>
      <c r="M89" s="158">
        <f t="shared" si="5"/>
        <v>0</v>
      </c>
      <c r="N89" s="267">
        <f t="shared" si="6"/>
        <v>0</v>
      </c>
      <c r="O89" s="268">
        <f t="shared" si="7"/>
        <v>0</v>
      </c>
      <c r="P89" s="264">
        <f t="shared" si="8"/>
        <v>0</v>
      </c>
      <c r="Q89" s="181"/>
      <c r="R89" s="181"/>
      <c r="S89" s="181"/>
      <c r="T89" s="181"/>
      <c r="U89" s="181"/>
      <c r="V89" s="181"/>
    </row>
    <row r="90" spans="1:22" s="5" customFormat="1" ht="18.75" hidden="1">
      <c r="A90" s="160"/>
      <c r="B90" s="161" t="s">
        <v>28</v>
      </c>
      <c r="C90" s="214"/>
      <c r="D90" s="253"/>
      <c r="E90" s="219"/>
      <c r="F90" s="214">
        <f t="shared" si="9"/>
        <v>0</v>
      </c>
      <c r="G90" s="253"/>
      <c r="H90" s="219"/>
      <c r="I90" s="214"/>
      <c r="J90" s="253"/>
      <c r="K90" s="219"/>
      <c r="L90" s="162"/>
      <c r="M90" s="158">
        <f t="shared" si="5"/>
        <v>0</v>
      </c>
      <c r="N90" s="267">
        <f t="shared" si="6"/>
        <v>0</v>
      </c>
      <c r="O90" s="268">
        <f t="shared" si="7"/>
        <v>0</v>
      </c>
      <c r="P90" s="264">
        <f t="shared" si="8"/>
        <v>0</v>
      </c>
      <c r="Q90" s="7"/>
      <c r="R90" s="7"/>
      <c r="S90" s="7"/>
      <c r="T90" s="7"/>
      <c r="U90" s="7"/>
      <c r="V90" s="7"/>
    </row>
    <row r="91" spans="1:22" s="5" customFormat="1" ht="18.75" hidden="1">
      <c r="A91" s="160" t="s">
        <v>107</v>
      </c>
      <c r="B91" s="161" t="s">
        <v>30</v>
      </c>
      <c r="C91" s="214"/>
      <c r="D91" s="253"/>
      <c r="E91" s="219"/>
      <c r="F91" s="214">
        <f t="shared" si="9"/>
        <v>0</v>
      </c>
      <c r="G91" s="253"/>
      <c r="H91" s="219"/>
      <c r="I91" s="214"/>
      <c r="J91" s="253"/>
      <c r="K91" s="219"/>
      <c r="L91" s="162"/>
      <c r="M91" s="158">
        <f t="shared" si="5"/>
        <v>0</v>
      </c>
      <c r="N91" s="267">
        <f t="shared" si="6"/>
        <v>0</v>
      </c>
      <c r="O91" s="268">
        <f t="shared" si="7"/>
        <v>0</v>
      </c>
      <c r="P91" s="264">
        <f t="shared" si="8"/>
        <v>0</v>
      </c>
      <c r="Q91" s="7"/>
      <c r="R91" s="7"/>
      <c r="S91" s="7"/>
      <c r="T91" s="7"/>
      <c r="U91" s="7"/>
      <c r="V91" s="7"/>
    </row>
    <row r="92" spans="1:22" s="185" customFormat="1" ht="19.5" hidden="1">
      <c r="A92" s="160" t="s">
        <v>108</v>
      </c>
      <c r="B92" s="161" t="s">
        <v>109</v>
      </c>
      <c r="C92" s="214"/>
      <c r="D92" s="253"/>
      <c r="E92" s="220"/>
      <c r="F92" s="215">
        <f t="shared" si="9"/>
        <v>0</v>
      </c>
      <c r="G92" s="260"/>
      <c r="H92" s="220"/>
      <c r="I92" s="214"/>
      <c r="J92" s="253"/>
      <c r="K92" s="220"/>
      <c r="L92" s="162"/>
      <c r="M92" s="158">
        <f t="shared" si="5"/>
        <v>0</v>
      </c>
      <c r="N92" s="267">
        <f t="shared" si="6"/>
        <v>0</v>
      </c>
      <c r="O92" s="268">
        <f t="shared" si="7"/>
        <v>0</v>
      </c>
      <c r="P92" s="264">
        <f t="shared" si="8"/>
        <v>0</v>
      </c>
      <c r="Q92" s="184"/>
      <c r="R92" s="184"/>
      <c r="S92" s="184"/>
      <c r="T92" s="184"/>
      <c r="U92" s="184"/>
      <c r="V92" s="184"/>
    </row>
    <row r="93" spans="1:22" s="5" customFormat="1" ht="18.75" hidden="1">
      <c r="A93" s="160"/>
      <c r="B93" s="161" t="s">
        <v>28</v>
      </c>
      <c r="C93" s="214"/>
      <c r="D93" s="253"/>
      <c r="E93" s="219"/>
      <c r="F93" s="214">
        <f t="shared" si="9"/>
        <v>0</v>
      </c>
      <c r="G93" s="253"/>
      <c r="H93" s="219"/>
      <c r="I93" s="214"/>
      <c r="J93" s="253"/>
      <c r="K93" s="219"/>
      <c r="L93" s="162"/>
      <c r="M93" s="158">
        <f t="shared" si="5"/>
        <v>0</v>
      </c>
      <c r="N93" s="267">
        <f t="shared" si="6"/>
        <v>0</v>
      </c>
      <c r="O93" s="268">
        <f t="shared" si="7"/>
        <v>0</v>
      </c>
      <c r="P93" s="264">
        <f t="shared" si="8"/>
        <v>0</v>
      </c>
      <c r="Q93" s="7"/>
      <c r="R93" s="7"/>
      <c r="S93" s="7"/>
      <c r="T93" s="7"/>
      <c r="U93" s="7"/>
      <c r="V93" s="7"/>
    </row>
    <row r="94" spans="1:22" s="5" customFormat="1" ht="18.75" hidden="1">
      <c r="A94" s="171" t="s">
        <v>110</v>
      </c>
      <c r="B94" s="161" t="s">
        <v>17</v>
      </c>
      <c r="C94" s="214"/>
      <c r="D94" s="253"/>
      <c r="E94" s="219"/>
      <c r="F94" s="214">
        <f t="shared" si="9"/>
        <v>0</v>
      </c>
      <c r="G94" s="253"/>
      <c r="H94" s="219"/>
      <c r="I94" s="214"/>
      <c r="J94" s="253"/>
      <c r="K94" s="219"/>
      <c r="L94" s="162"/>
      <c r="M94" s="158">
        <f t="shared" si="5"/>
        <v>0</v>
      </c>
      <c r="N94" s="267">
        <f t="shared" si="6"/>
        <v>0</v>
      </c>
      <c r="O94" s="268">
        <f t="shared" si="7"/>
        <v>0</v>
      </c>
      <c r="P94" s="264">
        <f t="shared" si="8"/>
        <v>0</v>
      </c>
      <c r="Q94" s="7"/>
      <c r="R94" s="7"/>
      <c r="S94" s="7"/>
      <c r="T94" s="7"/>
      <c r="U94" s="7"/>
      <c r="V94" s="7"/>
    </row>
    <row r="95" spans="1:22" s="5" customFormat="1" ht="37.5" hidden="1">
      <c r="A95" s="171" t="s">
        <v>111</v>
      </c>
      <c r="B95" s="172" t="s">
        <v>112</v>
      </c>
      <c r="C95" s="214"/>
      <c r="D95" s="253"/>
      <c r="E95" s="219"/>
      <c r="F95" s="214">
        <f t="shared" si="9"/>
        <v>0</v>
      </c>
      <c r="G95" s="253"/>
      <c r="H95" s="219"/>
      <c r="I95" s="214"/>
      <c r="J95" s="253"/>
      <c r="K95" s="219"/>
      <c r="L95" s="162"/>
      <c r="M95" s="158">
        <f t="shared" si="5"/>
        <v>0</v>
      </c>
      <c r="N95" s="267">
        <f t="shared" si="6"/>
        <v>0</v>
      </c>
      <c r="O95" s="268">
        <f t="shared" si="7"/>
        <v>0</v>
      </c>
      <c r="P95" s="264">
        <f t="shared" si="8"/>
        <v>0</v>
      </c>
      <c r="Q95" s="7"/>
      <c r="R95" s="7"/>
      <c r="S95" s="7"/>
      <c r="T95" s="7"/>
      <c r="U95" s="7"/>
      <c r="V95" s="7"/>
    </row>
    <row r="96" spans="1:22" s="5" customFormat="1" ht="18.75" hidden="1">
      <c r="A96" s="171" t="s">
        <v>113</v>
      </c>
      <c r="B96" s="172" t="s">
        <v>54</v>
      </c>
      <c r="C96" s="214"/>
      <c r="D96" s="253"/>
      <c r="E96" s="219"/>
      <c r="F96" s="214">
        <f t="shared" si="9"/>
        <v>0</v>
      </c>
      <c r="G96" s="253"/>
      <c r="H96" s="219"/>
      <c r="I96" s="214"/>
      <c r="J96" s="253"/>
      <c r="K96" s="219"/>
      <c r="L96" s="162"/>
      <c r="M96" s="158">
        <f t="shared" si="5"/>
        <v>0</v>
      </c>
      <c r="N96" s="267">
        <f t="shared" si="6"/>
        <v>0</v>
      </c>
      <c r="O96" s="268">
        <f t="shared" si="7"/>
        <v>0</v>
      </c>
      <c r="P96" s="264">
        <f t="shared" si="8"/>
        <v>0</v>
      </c>
      <c r="Q96" s="7"/>
      <c r="R96" s="7"/>
      <c r="S96" s="7"/>
      <c r="T96" s="7"/>
      <c r="U96" s="7"/>
      <c r="V96" s="7"/>
    </row>
    <row r="97" spans="1:22" s="5" customFormat="1" ht="37.5" hidden="1">
      <c r="A97" s="171" t="s">
        <v>114</v>
      </c>
      <c r="B97" s="172" t="s">
        <v>115</v>
      </c>
      <c r="C97" s="214"/>
      <c r="D97" s="253"/>
      <c r="E97" s="219"/>
      <c r="F97" s="214">
        <f t="shared" si="9"/>
        <v>0</v>
      </c>
      <c r="G97" s="253"/>
      <c r="H97" s="219"/>
      <c r="I97" s="214"/>
      <c r="J97" s="253"/>
      <c r="K97" s="219"/>
      <c r="L97" s="162"/>
      <c r="M97" s="158">
        <f t="shared" si="5"/>
        <v>0</v>
      </c>
      <c r="N97" s="267">
        <f t="shared" si="6"/>
        <v>0</v>
      </c>
      <c r="O97" s="268">
        <f t="shared" si="7"/>
        <v>0</v>
      </c>
      <c r="P97" s="264">
        <f t="shared" si="8"/>
        <v>0</v>
      </c>
      <c r="Q97" s="7"/>
      <c r="R97" s="7"/>
      <c r="S97" s="7"/>
      <c r="T97" s="7"/>
      <c r="U97" s="7"/>
      <c r="V97" s="7"/>
    </row>
    <row r="98" spans="1:22" s="187" customFormat="1" ht="19.5" hidden="1" thickBot="1">
      <c r="A98" s="186"/>
      <c r="B98" s="161" t="s">
        <v>45</v>
      </c>
      <c r="C98" s="224"/>
      <c r="D98" s="255"/>
      <c r="E98" s="219"/>
      <c r="F98" s="214">
        <f t="shared" si="9"/>
        <v>0</v>
      </c>
      <c r="G98" s="253"/>
      <c r="H98" s="219"/>
      <c r="I98" s="224"/>
      <c r="J98" s="255"/>
      <c r="K98" s="219"/>
      <c r="L98" s="162"/>
      <c r="M98" s="158">
        <f t="shared" si="5"/>
        <v>0</v>
      </c>
      <c r="N98" s="267">
        <f t="shared" si="6"/>
        <v>0</v>
      </c>
      <c r="O98" s="268">
        <f t="shared" si="7"/>
        <v>0</v>
      </c>
      <c r="P98" s="264">
        <f t="shared" si="8"/>
        <v>0</v>
      </c>
      <c r="Q98" s="181"/>
      <c r="R98" s="181"/>
      <c r="S98" s="181"/>
      <c r="T98" s="181"/>
      <c r="U98" s="181"/>
      <c r="V98" s="181"/>
    </row>
    <row r="99" spans="1:22" s="5" customFormat="1" ht="18.75" hidden="1">
      <c r="A99" s="160" t="s">
        <v>116</v>
      </c>
      <c r="B99" s="161" t="s">
        <v>117</v>
      </c>
      <c r="C99" s="214"/>
      <c r="D99" s="253"/>
      <c r="E99" s="219"/>
      <c r="F99" s="214">
        <f t="shared" si="9"/>
        <v>0</v>
      </c>
      <c r="G99" s="253"/>
      <c r="H99" s="219"/>
      <c r="I99" s="214"/>
      <c r="J99" s="253"/>
      <c r="K99" s="219"/>
      <c r="L99" s="162"/>
      <c r="M99" s="158">
        <f t="shared" si="5"/>
        <v>0</v>
      </c>
      <c r="N99" s="267">
        <f t="shared" si="6"/>
        <v>0</v>
      </c>
      <c r="O99" s="268">
        <f t="shared" si="7"/>
        <v>0</v>
      </c>
      <c r="P99" s="264">
        <f t="shared" si="8"/>
        <v>0</v>
      </c>
      <c r="Q99" s="7"/>
      <c r="R99" s="7"/>
      <c r="S99" s="7"/>
      <c r="T99" s="7"/>
      <c r="U99" s="7"/>
      <c r="V99" s="7"/>
    </row>
    <row r="100" spans="1:22" s="5" customFormat="1" ht="18.75" hidden="1">
      <c r="A100" s="160" t="s">
        <v>118</v>
      </c>
      <c r="B100" s="178" t="s">
        <v>74</v>
      </c>
      <c r="C100" s="258"/>
      <c r="D100" s="256"/>
      <c r="E100" s="219"/>
      <c r="F100" s="214">
        <f t="shared" si="9"/>
        <v>0</v>
      </c>
      <c r="G100" s="253"/>
      <c r="H100" s="219"/>
      <c r="I100" s="258"/>
      <c r="J100" s="256"/>
      <c r="K100" s="219"/>
      <c r="L100" s="162"/>
      <c r="M100" s="158">
        <f t="shared" si="5"/>
        <v>0</v>
      </c>
      <c r="N100" s="267">
        <f t="shared" si="6"/>
        <v>0</v>
      </c>
      <c r="O100" s="268">
        <f t="shared" si="7"/>
        <v>0</v>
      </c>
      <c r="P100" s="264">
        <f t="shared" si="8"/>
        <v>0</v>
      </c>
      <c r="Q100" s="7"/>
      <c r="R100" s="7"/>
      <c r="S100" s="7"/>
      <c r="T100" s="7"/>
      <c r="U100" s="7"/>
      <c r="V100" s="7"/>
    </row>
    <row r="101" spans="1:22" s="5" customFormat="1" ht="18.75" hidden="1">
      <c r="A101" s="160" t="s">
        <v>119</v>
      </c>
      <c r="B101" s="178" t="s">
        <v>76</v>
      </c>
      <c r="C101" s="214"/>
      <c r="D101" s="253"/>
      <c r="E101" s="219"/>
      <c r="F101" s="214">
        <f t="shared" si="9"/>
        <v>0</v>
      </c>
      <c r="G101" s="253"/>
      <c r="H101" s="219"/>
      <c r="I101" s="214"/>
      <c r="J101" s="253"/>
      <c r="K101" s="219"/>
      <c r="L101" s="162"/>
      <c r="M101" s="158">
        <f t="shared" si="5"/>
        <v>0</v>
      </c>
      <c r="N101" s="267">
        <f t="shared" si="6"/>
        <v>0</v>
      </c>
      <c r="O101" s="268">
        <f t="shared" si="7"/>
        <v>0</v>
      </c>
      <c r="P101" s="264">
        <f t="shared" si="8"/>
        <v>0</v>
      </c>
      <c r="Q101" s="7"/>
      <c r="R101" s="7"/>
      <c r="S101" s="7"/>
      <c r="T101" s="7"/>
      <c r="U101" s="7"/>
      <c r="V101" s="7"/>
    </row>
    <row r="102" spans="1:22" s="159" customFormat="1" ht="18.75">
      <c r="A102" s="153" t="s">
        <v>120</v>
      </c>
      <c r="B102" s="154" t="s">
        <v>121</v>
      </c>
      <c r="C102" s="211">
        <f>C105+C104</f>
        <v>345230.45469999994</v>
      </c>
      <c r="D102" s="251">
        <f>D105+D104</f>
        <v>110.47039669999999</v>
      </c>
      <c r="E102" s="218"/>
      <c r="F102" s="211">
        <f t="shared" si="9"/>
        <v>293344.57594000007</v>
      </c>
      <c r="G102" s="251">
        <f>G105+G104</f>
        <v>93.90143759999998</v>
      </c>
      <c r="H102" s="218"/>
      <c r="I102" s="211">
        <f>I105+I104</f>
        <v>638575.03064000001</v>
      </c>
      <c r="J102" s="251">
        <f>J105+J104</f>
        <v>102.1859197</v>
      </c>
      <c r="K102" s="218"/>
      <c r="L102" s="155"/>
      <c r="M102" s="158">
        <f t="shared" si="5"/>
        <v>102.18591714999999</v>
      </c>
      <c r="N102" s="267">
        <f t="shared" si="6"/>
        <v>2.5500000049305527E-6</v>
      </c>
      <c r="O102" s="268">
        <f t="shared" si="7"/>
        <v>638575.03064000001</v>
      </c>
      <c r="P102" s="264">
        <f t="shared" si="8"/>
        <v>0</v>
      </c>
      <c r="Q102" s="158"/>
      <c r="R102" s="158"/>
      <c r="S102" s="158"/>
      <c r="T102" s="158"/>
      <c r="U102" s="158"/>
      <c r="V102" s="158"/>
    </row>
    <row r="103" spans="1:22" s="5" customFormat="1" ht="18.75">
      <c r="A103" s="160"/>
      <c r="B103" s="161" t="s">
        <v>11</v>
      </c>
      <c r="C103" s="214"/>
      <c r="D103" s="253"/>
      <c r="E103" s="219"/>
      <c r="F103" s="214"/>
      <c r="G103" s="253"/>
      <c r="H103" s="219"/>
      <c r="I103" s="214"/>
      <c r="J103" s="253"/>
      <c r="K103" s="219"/>
      <c r="L103" s="162"/>
      <c r="M103" s="158">
        <f t="shared" si="5"/>
        <v>0</v>
      </c>
      <c r="N103" s="267">
        <f t="shared" si="6"/>
        <v>0</v>
      </c>
      <c r="O103" s="268">
        <f t="shared" si="7"/>
        <v>0</v>
      </c>
      <c r="P103" s="264">
        <f t="shared" si="8"/>
        <v>0</v>
      </c>
      <c r="Q103" s="7"/>
      <c r="R103" s="7"/>
      <c r="S103" s="7"/>
      <c r="T103" s="7"/>
      <c r="U103" s="7"/>
      <c r="V103" s="7"/>
    </row>
    <row r="104" spans="1:22" s="5" customFormat="1" ht="18.75">
      <c r="A104" s="160" t="s">
        <v>122</v>
      </c>
      <c r="B104" s="161" t="s">
        <v>13</v>
      </c>
      <c r="C104" s="214"/>
      <c r="D104" s="253"/>
      <c r="E104" s="219"/>
      <c r="F104" s="214"/>
      <c r="G104" s="253"/>
      <c r="H104" s="219"/>
      <c r="I104" s="214"/>
      <c r="J104" s="253"/>
      <c r="K104" s="219"/>
      <c r="L104" s="162"/>
      <c r="M104" s="158">
        <f t="shared" si="5"/>
        <v>0</v>
      </c>
      <c r="N104" s="267">
        <f t="shared" si="6"/>
        <v>0</v>
      </c>
      <c r="O104" s="268">
        <f t="shared" si="7"/>
        <v>0</v>
      </c>
      <c r="P104" s="264">
        <f t="shared" si="8"/>
        <v>0</v>
      </c>
      <c r="Q104" s="7"/>
      <c r="R104" s="7"/>
      <c r="S104" s="7"/>
      <c r="T104" s="7"/>
      <c r="U104" s="7"/>
      <c r="V104" s="7"/>
    </row>
    <row r="105" spans="1:22" s="5" customFormat="1" ht="18.75">
      <c r="A105" s="160" t="s">
        <v>123</v>
      </c>
      <c r="B105" s="161" t="s">
        <v>15</v>
      </c>
      <c r="C105" s="214">
        <f>C107+C108+C109+C110+C111+C112</f>
        <v>345230.45469999994</v>
      </c>
      <c r="D105" s="253">
        <f>D107+D108+D109+D110+D111+D112</f>
        <v>110.47039669999999</v>
      </c>
      <c r="E105" s="219"/>
      <c r="F105" s="214">
        <f>F107+F108+F109+F110+F111+F112</f>
        <v>293344.57594000001</v>
      </c>
      <c r="G105" s="253">
        <f>G107+G108+G109+G110+G111+G112</f>
        <v>93.90143759999998</v>
      </c>
      <c r="H105" s="219"/>
      <c r="I105" s="214">
        <f>I107+I108+I109+I110+I111+I112</f>
        <v>638575.03064000001</v>
      </c>
      <c r="J105" s="253">
        <f>J107+J108+J109+J110+J111+J112</f>
        <v>102.1859197</v>
      </c>
      <c r="K105" s="219"/>
      <c r="L105" s="162"/>
      <c r="M105" s="158">
        <f t="shared" si="5"/>
        <v>102.18591714999999</v>
      </c>
      <c r="N105" s="267">
        <f t="shared" si="6"/>
        <v>2.5500000049305527E-6</v>
      </c>
      <c r="O105" s="268">
        <f t="shared" si="7"/>
        <v>638575.03064000001</v>
      </c>
      <c r="P105" s="264">
        <f t="shared" si="8"/>
        <v>0</v>
      </c>
      <c r="Q105" s="7"/>
      <c r="R105" s="7"/>
      <c r="S105" s="7"/>
      <c r="T105" s="7"/>
      <c r="U105" s="7"/>
      <c r="V105" s="7"/>
    </row>
    <row r="106" spans="1:22" s="5" customFormat="1" ht="18.75">
      <c r="A106" s="160"/>
      <c r="B106" s="161" t="s">
        <v>11</v>
      </c>
      <c r="C106" s="214"/>
      <c r="D106" s="253"/>
      <c r="E106" s="219"/>
      <c r="F106" s="214">
        <f t="shared" si="9"/>
        <v>0</v>
      </c>
      <c r="G106" s="253"/>
      <c r="H106" s="219"/>
      <c r="I106" s="214"/>
      <c r="J106" s="253"/>
      <c r="K106" s="219"/>
      <c r="L106" s="162"/>
      <c r="M106" s="158">
        <f t="shared" si="5"/>
        <v>0</v>
      </c>
      <c r="N106" s="267">
        <f t="shared" si="6"/>
        <v>0</v>
      </c>
      <c r="O106" s="268">
        <f t="shared" si="7"/>
        <v>0</v>
      </c>
      <c r="P106" s="264">
        <f t="shared" si="8"/>
        <v>0</v>
      </c>
      <c r="Q106" s="7"/>
      <c r="R106" s="7"/>
      <c r="S106" s="7"/>
      <c r="T106" s="7"/>
      <c r="U106" s="7"/>
      <c r="V106" s="7"/>
    </row>
    <row r="107" spans="1:22" s="5" customFormat="1" ht="18.75">
      <c r="A107" s="160" t="s">
        <v>124</v>
      </c>
      <c r="B107" s="161" t="s">
        <v>243</v>
      </c>
      <c r="C107" s="211">
        <v>22276.35</v>
      </c>
      <c r="D107" s="253">
        <v>7.6794000000000002</v>
      </c>
      <c r="E107" s="219"/>
      <c r="F107" s="211">
        <v>16937.79</v>
      </c>
      <c r="G107" s="253">
        <v>6.4005999999999998</v>
      </c>
      <c r="H107" s="219"/>
      <c r="I107" s="214">
        <f>C107+F107</f>
        <v>39214.14</v>
      </c>
      <c r="J107" s="253">
        <v>7.04</v>
      </c>
      <c r="K107" s="219"/>
      <c r="L107" s="162"/>
      <c r="M107" s="158">
        <f t="shared" si="5"/>
        <v>7.04</v>
      </c>
      <c r="N107" s="267">
        <f t="shared" si="6"/>
        <v>0</v>
      </c>
      <c r="O107" s="268">
        <f t="shared" si="7"/>
        <v>39214.14</v>
      </c>
      <c r="P107" s="264">
        <f t="shared" si="8"/>
        <v>0</v>
      </c>
      <c r="Q107" s="7"/>
      <c r="R107" s="7"/>
      <c r="S107" s="7"/>
      <c r="T107" s="7"/>
      <c r="U107" s="7"/>
      <c r="V107" s="7"/>
    </row>
    <row r="108" spans="1:22" s="5" customFormat="1" ht="18.75">
      <c r="A108" s="160" t="s">
        <v>125</v>
      </c>
      <c r="B108" s="161" t="s">
        <v>17</v>
      </c>
      <c r="C108" s="214">
        <f>318180.3*0.949</f>
        <v>301953.10469999997</v>
      </c>
      <c r="D108" s="253">
        <f>101.8883*0.949</f>
        <v>96.69199669999999</v>
      </c>
      <c r="E108" s="219"/>
      <c r="F108" s="214">
        <f>I108-C108</f>
        <v>254550.28594000003</v>
      </c>
      <c r="G108" s="253">
        <f>85.1424*0.949</f>
        <v>80.800137599999985</v>
      </c>
      <c r="H108" s="219"/>
      <c r="I108" s="214">
        <f>586401.36*0.949+8.5</f>
        <v>556503.39064</v>
      </c>
      <c r="J108" s="253">
        <f>93.5153*0.949</f>
        <v>88.746019699999991</v>
      </c>
      <c r="K108" s="219"/>
      <c r="L108" s="162"/>
      <c r="M108" s="158">
        <f t="shared" si="5"/>
        <v>88.746067149999988</v>
      </c>
      <c r="N108" s="267">
        <f t="shared" si="6"/>
        <v>-4.7449999996729275E-5</v>
      </c>
      <c r="O108" s="268">
        <f t="shared" si="7"/>
        <v>556503.39064</v>
      </c>
      <c r="P108" s="264">
        <f t="shared" si="8"/>
        <v>0</v>
      </c>
      <c r="Q108" s="7"/>
      <c r="R108" s="7"/>
      <c r="S108" s="7"/>
      <c r="T108" s="7"/>
      <c r="U108" s="7"/>
      <c r="V108" s="7"/>
    </row>
    <row r="109" spans="1:22" s="5" customFormat="1" ht="18.75">
      <c r="A109" s="160" t="s">
        <v>126</v>
      </c>
      <c r="B109" s="161" t="s">
        <v>19</v>
      </c>
      <c r="C109" s="214">
        <v>0</v>
      </c>
      <c r="D109" s="253">
        <v>0</v>
      </c>
      <c r="E109" s="219"/>
      <c r="F109" s="214">
        <f t="shared" si="9"/>
        <v>0</v>
      </c>
      <c r="G109" s="253"/>
      <c r="H109" s="219"/>
      <c r="I109" s="214">
        <v>0</v>
      </c>
      <c r="J109" s="253">
        <v>0</v>
      </c>
      <c r="K109" s="219"/>
      <c r="L109" s="162"/>
      <c r="M109" s="158">
        <f t="shared" si="5"/>
        <v>0</v>
      </c>
      <c r="N109" s="267">
        <f t="shared" si="6"/>
        <v>0</v>
      </c>
      <c r="O109" s="268">
        <f t="shared" si="7"/>
        <v>0</v>
      </c>
      <c r="P109" s="264">
        <f t="shared" si="8"/>
        <v>0</v>
      </c>
      <c r="Q109" s="7"/>
      <c r="R109" s="7"/>
      <c r="S109" s="7"/>
      <c r="T109" s="7"/>
      <c r="U109" s="7"/>
      <c r="V109" s="7"/>
    </row>
    <row r="110" spans="1:22" s="5" customFormat="1" ht="18.75">
      <c r="A110" s="160" t="s">
        <v>127</v>
      </c>
      <c r="B110" s="161" t="s">
        <v>172</v>
      </c>
      <c r="C110" s="214">
        <f>I110*54%</f>
        <v>1701</v>
      </c>
      <c r="D110" s="253">
        <f>J110*2*C110/I110</f>
        <v>0.51839999999999997</v>
      </c>
      <c r="E110" s="219"/>
      <c r="F110" s="214">
        <f>I110-C110</f>
        <v>1449</v>
      </c>
      <c r="G110" s="253">
        <f>J110*2*F110/I110</f>
        <v>0.44159999999999999</v>
      </c>
      <c r="H110" s="219"/>
      <c r="I110" s="214">
        <f>1950+1200</f>
        <v>3150</v>
      </c>
      <c r="J110" s="253">
        <v>0.48</v>
      </c>
      <c r="K110" s="219"/>
      <c r="L110" s="162"/>
      <c r="M110" s="158">
        <f t="shared" si="5"/>
        <v>0.48</v>
      </c>
      <c r="N110" s="267">
        <f t="shared" si="6"/>
        <v>0</v>
      </c>
      <c r="O110" s="268">
        <f t="shared" si="7"/>
        <v>3150</v>
      </c>
      <c r="P110" s="264">
        <f t="shared" si="8"/>
        <v>0</v>
      </c>
      <c r="Q110" s="7"/>
      <c r="R110" s="7"/>
      <c r="S110" s="7"/>
      <c r="T110" s="7"/>
      <c r="U110" s="7"/>
      <c r="V110" s="7"/>
    </row>
    <row r="111" spans="1:22" s="5" customFormat="1" ht="18.75">
      <c r="A111" s="160" t="s">
        <v>244</v>
      </c>
      <c r="B111" s="161" t="s">
        <v>247</v>
      </c>
      <c r="C111" s="214"/>
      <c r="D111" s="253"/>
      <c r="E111" s="219"/>
      <c r="F111" s="214"/>
      <c r="G111" s="253"/>
      <c r="H111" s="219"/>
      <c r="I111" s="214"/>
      <c r="J111" s="253"/>
      <c r="K111" s="219"/>
      <c r="L111" s="162"/>
      <c r="M111" s="158">
        <f t="shared" si="5"/>
        <v>0</v>
      </c>
      <c r="N111" s="267">
        <f t="shared" si="6"/>
        <v>0</v>
      </c>
      <c r="O111" s="268">
        <f t="shared" si="7"/>
        <v>0</v>
      </c>
      <c r="P111" s="264">
        <f t="shared" si="8"/>
        <v>0</v>
      </c>
      <c r="Q111" s="7"/>
      <c r="R111" s="7"/>
      <c r="S111" s="7"/>
      <c r="T111" s="7"/>
      <c r="U111" s="7"/>
      <c r="V111" s="7"/>
    </row>
    <row r="112" spans="1:22" s="5" customFormat="1" ht="18.75">
      <c r="A112" s="160" t="s">
        <v>22</v>
      </c>
      <c r="B112" s="161" t="s">
        <v>23</v>
      </c>
      <c r="C112" s="214">
        <v>19300</v>
      </c>
      <c r="D112" s="253">
        <v>5.5805999999999996</v>
      </c>
      <c r="E112" s="214"/>
      <c r="F112" s="214">
        <f>I112-C112</f>
        <v>20407.5</v>
      </c>
      <c r="G112" s="253">
        <v>6.2591000000000001</v>
      </c>
      <c r="H112" s="214"/>
      <c r="I112" s="214">
        <v>39707.5</v>
      </c>
      <c r="J112" s="253">
        <v>5.9199000000000002</v>
      </c>
      <c r="K112" s="214"/>
      <c r="L112" s="162"/>
      <c r="M112" s="158">
        <f t="shared" si="5"/>
        <v>5.9198500000000003</v>
      </c>
      <c r="N112" s="267">
        <f t="shared" si="6"/>
        <v>4.9999999999883471E-5</v>
      </c>
      <c r="O112" s="268">
        <f t="shared" si="7"/>
        <v>39707.5</v>
      </c>
      <c r="P112" s="264">
        <f t="shared" si="8"/>
        <v>0</v>
      </c>
      <c r="Q112" s="7"/>
      <c r="R112" s="7"/>
      <c r="S112" s="7"/>
      <c r="T112" s="7"/>
      <c r="U112" s="7"/>
      <c r="V112" s="7"/>
    </row>
    <row r="113" spans="1:22" s="159" customFormat="1" ht="18.75">
      <c r="A113" s="153" t="s">
        <v>128</v>
      </c>
      <c r="B113" s="154" t="s">
        <v>56</v>
      </c>
      <c r="C113" s="211">
        <f>(22301.774-1960-1317.5)*0.9534</f>
        <v>18137.7428316</v>
      </c>
      <c r="D113" s="251">
        <f>(7.263-0.645-1.0295)*0.9534</f>
        <v>5.3280759</v>
      </c>
      <c r="E113" s="218"/>
      <c r="F113" s="211">
        <f>I113-C113</f>
        <v>16253.441164800002</v>
      </c>
      <c r="G113" s="251">
        <f>(5.617+0.3356)*0.9534</f>
        <v>5.6752088400000007</v>
      </c>
      <c r="H113" s="218"/>
      <c r="I113" s="211">
        <f>(36063.246+8.9)*0.9534</f>
        <v>34391.183996400003</v>
      </c>
      <c r="J113" s="251">
        <f>5.7706*0.9534</f>
        <v>5.5016900399999997</v>
      </c>
      <c r="K113" s="218"/>
      <c r="L113" s="155"/>
      <c r="M113" s="158">
        <f t="shared" si="5"/>
        <v>5.5016423700000008</v>
      </c>
      <c r="N113" s="267">
        <f t="shared" si="6"/>
        <v>4.7669999998944945E-5</v>
      </c>
      <c r="O113" s="268">
        <f t="shared" si="7"/>
        <v>34391.183996400003</v>
      </c>
      <c r="P113" s="264">
        <f t="shared" si="8"/>
        <v>0</v>
      </c>
      <c r="Q113" s="158"/>
      <c r="R113" s="158"/>
      <c r="S113" s="158"/>
      <c r="T113" s="158"/>
      <c r="U113" s="158"/>
      <c r="V113" s="158"/>
    </row>
    <row r="114" spans="1:22" s="182" customFormat="1" ht="18.75">
      <c r="A114" s="153" t="s">
        <v>129</v>
      </c>
      <c r="B114" s="154" t="s">
        <v>58</v>
      </c>
      <c r="C114" s="211">
        <f>C116+C117</f>
        <v>86882.988829854003</v>
      </c>
      <c r="D114" s="251">
        <f>D116+D117</f>
        <v>29.24879392761018</v>
      </c>
      <c r="E114" s="218"/>
      <c r="F114" s="211">
        <f t="shared" si="9"/>
        <v>78437.062182545982</v>
      </c>
      <c r="G114" s="251">
        <f>G116+G117</f>
        <v>24.632709498468706</v>
      </c>
      <c r="H114" s="218"/>
      <c r="I114" s="211">
        <f>I116+I117</f>
        <v>165320.05101239998</v>
      </c>
      <c r="J114" s="251">
        <f>J116+J117</f>
        <v>26.940751536</v>
      </c>
      <c r="K114" s="218"/>
      <c r="L114" s="155"/>
      <c r="M114" s="158">
        <f t="shared" si="5"/>
        <v>26.940751713039443</v>
      </c>
      <c r="N114" s="267">
        <f t="shared" si="6"/>
        <v>-1.7703944266145299E-7</v>
      </c>
      <c r="O114" s="268">
        <f t="shared" si="7"/>
        <v>165320.05101239998</v>
      </c>
      <c r="P114" s="264">
        <f t="shared" si="8"/>
        <v>0</v>
      </c>
      <c r="Q114" s="181"/>
      <c r="R114" s="181"/>
      <c r="S114" s="181"/>
      <c r="T114" s="181"/>
      <c r="U114" s="181"/>
      <c r="V114" s="181"/>
    </row>
    <row r="115" spans="1:22" s="5" customFormat="1" ht="18.75">
      <c r="A115" s="160"/>
      <c r="B115" s="161" t="s">
        <v>28</v>
      </c>
      <c r="C115" s="214"/>
      <c r="D115" s="253"/>
      <c r="E115" s="219"/>
      <c r="F115" s="214"/>
      <c r="G115" s="253"/>
      <c r="H115" s="219"/>
      <c r="I115" s="214"/>
      <c r="J115" s="253"/>
      <c r="K115" s="219"/>
      <c r="L115" s="162"/>
      <c r="M115" s="158">
        <f t="shared" si="5"/>
        <v>0</v>
      </c>
      <c r="N115" s="267">
        <f t="shared" si="6"/>
        <v>0</v>
      </c>
      <c r="O115" s="268">
        <f t="shared" si="7"/>
        <v>0</v>
      </c>
      <c r="P115" s="264">
        <f t="shared" si="8"/>
        <v>0</v>
      </c>
      <c r="Q115" s="7"/>
      <c r="R115" s="7"/>
      <c r="S115" s="7"/>
      <c r="T115" s="7"/>
      <c r="U115" s="7"/>
      <c r="V115" s="7"/>
    </row>
    <row r="116" spans="1:22" s="5" customFormat="1" ht="18.75">
      <c r="A116" s="160" t="s">
        <v>130</v>
      </c>
      <c r="B116" s="161" t="s">
        <v>30</v>
      </c>
      <c r="C116" s="214">
        <f>80313.4711992598*0.9538</f>
        <v>76602.988829854003</v>
      </c>
      <c r="D116" s="253">
        <f>27.1501299303944*0.9538</f>
        <v>25.895793927610178</v>
      </c>
      <c r="E116" s="219"/>
      <c r="F116" s="214">
        <f>72139.9268007402*0.9538</f>
        <v>68807.062182545997</v>
      </c>
      <c r="G116" s="253">
        <f>23.0433104408353*0.9538</f>
        <v>21.978709498468707</v>
      </c>
      <c r="H116" s="219"/>
      <c r="I116" s="214">
        <f>152453.398*0.9538</f>
        <v>145410.05101239998</v>
      </c>
      <c r="J116" s="253">
        <f>25.09672*0.9538</f>
        <v>23.937251536000002</v>
      </c>
      <c r="K116" s="219"/>
      <c r="L116" s="162"/>
      <c r="M116" s="158">
        <f t="shared" si="5"/>
        <v>23.937251713039444</v>
      </c>
      <c r="N116" s="267">
        <f t="shared" si="6"/>
        <v>-1.7703944266145299E-7</v>
      </c>
      <c r="O116" s="268">
        <f t="shared" si="7"/>
        <v>145410.05101240001</v>
      </c>
      <c r="P116" s="264">
        <f t="shared" si="8"/>
        <v>0</v>
      </c>
      <c r="Q116" s="7"/>
      <c r="R116" s="7"/>
      <c r="S116" s="7"/>
      <c r="T116" s="7"/>
      <c r="U116" s="7"/>
      <c r="V116" s="7"/>
    </row>
    <row r="117" spans="1:22" s="185" customFormat="1" ht="19.5">
      <c r="A117" s="160" t="s">
        <v>131</v>
      </c>
      <c r="B117" s="161" t="s">
        <v>32</v>
      </c>
      <c r="C117" s="214">
        <f>C119+C121+C123+C125</f>
        <v>10280</v>
      </c>
      <c r="D117" s="253">
        <f>D119+D121+D123+D125</f>
        <v>3.3530000000000002</v>
      </c>
      <c r="E117" s="220"/>
      <c r="F117" s="215">
        <f t="shared" si="9"/>
        <v>9630</v>
      </c>
      <c r="G117" s="260">
        <f>G119+G121+G123+G125</f>
        <v>2.6539999999999999</v>
      </c>
      <c r="H117" s="220"/>
      <c r="I117" s="214">
        <f>I119+I121+I123+I125</f>
        <v>19910</v>
      </c>
      <c r="J117" s="253">
        <f>J119+J121+J123+J125</f>
        <v>3.0034999999999998</v>
      </c>
      <c r="K117" s="220"/>
      <c r="L117" s="190"/>
      <c r="M117" s="158">
        <f t="shared" si="5"/>
        <v>3.0034999999999998</v>
      </c>
      <c r="N117" s="267">
        <f t="shared" si="6"/>
        <v>0</v>
      </c>
      <c r="O117" s="268">
        <f t="shared" si="7"/>
        <v>19910</v>
      </c>
      <c r="P117" s="264">
        <f t="shared" si="8"/>
        <v>0</v>
      </c>
      <c r="Q117" s="184"/>
      <c r="R117" s="184"/>
      <c r="S117" s="184"/>
      <c r="T117" s="184"/>
      <c r="U117" s="184"/>
      <c r="V117" s="184"/>
    </row>
    <row r="118" spans="1:22" s="5" customFormat="1" ht="18.75">
      <c r="A118" s="160"/>
      <c r="B118" s="161" t="s">
        <v>28</v>
      </c>
      <c r="C118" s="214"/>
      <c r="D118" s="253"/>
      <c r="E118" s="219"/>
      <c r="F118" s="214"/>
      <c r="G118" s="253"/>
      <c r="H118" s="219"/>
      <c r="I118" s="214"/>
      <c r="J118" s="253"/>
      <c r="K118" s="219"/>
      <c r="L118" s="162"/>
      <c r="M118" s="158">
        <f t="shared" si="5"/>
        <v>0</v>
      </c>
      <c r="N118" s="267">
        <f t="shared" si="6"/>
        <v>0</v>
      </c>
      <c r="O118" s="268">
        <f t="shared" si="7"/>
        <v>0</v>
      </c>
      <c r="P118" s="264">
        <f t="shared" si="8"/>
        <v>0</v>
      </c>
      <c r="Q118" s="7"/>
      <c r="R118" s="7"/>
      <c r="S118" s="7"/>
      <c r="T118" s="7"/>
      <c r="U118" s="7"/>
      <c r="V118" s="7"/>
    </row>
    <row r="119" spans="1:22" s="5" customFormat="1" ht="18.75">
      <c r="A119" s="153" t="s">
        <v>132</v>
      </c>
      <c r="B119" s="161" t="s">
        <v>17</v>
      </c>
      <c r="C119" s="214"/>
      <c r="D119" s="253"/>
      <c r="E119" s="219"/>
      <c r="F119" s="214"/>
      <c r="G119" s="253"/>
      <c r="H119" s="219"/>
      <c r="I119" s="214"/>
      <c r="J119" s="253"/>
      <c r="K119" s="219"/>
      <c r="L119" s="162"/>
      <c r="M119" s="158">
        <f t="shared" si="5"/>
        <v>0</v>
      </c>
      <c r="N119" s="267">
        <f t="shared" si="6"/>
        <v>0</v>
      </c>
      <c r="O119" s="268">
        <f t="shared" si="7"/>
        <v>0</v>
      </c>
      <c r="P119" s="264">
        <f t="shared" si="8"/>
        <v>0</v>
      </c>
      <c r="Q119" s="7"/>
      <c r="R119" s="7"/>
      <c r="S119" s="7"/>
      <c r="T119" s="7"/>
      <c r="U119" s="7"/>
      <c r="V119" s="7"/>
    </row>
    <row r="120" spans="1:22" s="5" customFormat="1" ht="37.5">
      <c r="A120" s="171" t="s">
        <v>133</v>
      </c>
      <c r="B120" s="172" t="s">
        <v>134</v>
      </c>
      <c r="C120" s="214">
        <f>C119-C108</f>
        <v>-301953.10469999997</v>
      </c>
      <c r="D120" s="253">
        <f>D119-D108</f>
        <v>-96.69199669999999</v>
      </c>
      <c r="E120" s="219"/>
      <c r="F120" s="214">
        <f t="shared" si="9"/>
        <v>-254550.28594000003</v>
      </c>
      <c r="G120" s="253">
        <f>G119-G108</f>
        <v>-80.800137599999985</v>
      </c>
      <c r="H120" s="219"/>
      <c r="I120" s="214">
        <f>I119-I108</f>
        <v>-556503.39064</v>
      </c>
      <c r="J120" s="253">
        <f>J119-J108</f>
        <v>-88.746019699999991</v>
      </c>
      <c r="K120" s="219"/>
      <c r="L120" s="162"/>
      <c r="M120" s="158">
        <f t="shared" si="5"/>
        <v>-88.746067149999988</v>
      </c>
      <c r="N120" s="267">
        <f t="shared" si="6"/>
        <v>4.7449999996729275E-5</v>
      </c>
      <c r="O120" s="268">
        <f t="shared" si="7"/>
        <v>-556503.39064</v>
      </c>
      <c r="P120" s="264">
        <f t="shared" si="8"/>
        <v>0</v>
      </c>
      <c r="Q120" s="7"/>
      <c r="R120" s="7"/>
      <c r="S120" s="7"/>
      <c r="T120" s="7"/>
      <c r="U120" s="7"/>
      <c r="V120" s="7"/>
    </row>
    <row r="121" spans="1:22" s="187" customFormat="1" ht="19.5" thickBot="1">
      <c r="A121" s="153" t="s">
        <v>135</v>
      </c>
      <c r="B121" s="161" t="s">
        <v>19</v>
      </c>
      <c r="C121" s="214"/>
      <c r="D121" s="253"/>
      <c r="E121" s="218"/>
      <c r="F121" s="211"/>
      <c r="G121" s="251"/>
      <c r="H121" s="218"/>
      <c r="I121" s="214"/>
      <c r="J121" s="253"/>
      <c r="K121" s="218"/>
      <c r="L121" s="155"/>
      <c r="M121" s="158">
        <f t="shared" si="5"/>
        <v>0</v>
      </c>
      <c r="N121" s="267">
        <f t="shared" si="6"/>
        <v>0</v>
      </c>
      <c r="O121" s="268">
        <f t="shared" si="7"/>
        <v>0</v>
      </c>
      <c r="P121" s="264">
        <f t="shared" si="8"/>
        <v>0</v>
      </c>
      <c r="Q121" s="181"/>
      <c r="R121" s="181"/>
      <c r="S121" s="181"/>
      <c r="T121" s="181"/>
      <c r="U121" s="181"/>
      <c r="V121" s="181"/>
    </row>
    <row r="122" spans="1:22" s="181" customFormat="1" ht="37.5">
      <c r="A122" s="171" t="s">
        <v>136</v>
      </c>
      <c r="B122" s="172" t="s">
        <v>137</v>
      </c>
      <c r="C122" s="214">
        <f>C121-C109</f>
        <v>0</v>
      </c>
      <c r="D122" s="253">
        <f>D121-D109</f>
        <v>0</v>
      </c>
      <c r="E122" s="218"/>
      <c r="F122" s="211">
        <f t="shared" si="9"/>
        <v>0</v>
      </c>
      <c r="G122" s="251">
        <f>G121-G109</f>
        <v>0</v>
      </c>
      <c r="H122" s="218"/>
      <c r="I122" s="214">
        <f>I121-I109</f>
        <v>0</v>
      </c>
      <c r="J122" s="253">
        <f>J121-J109</f>
        <v>0</v>
      </c>
      <c r="K122" s="218"/>
      <c r="L122" s="155"/>
      <c r="M122" s="158">
        <f t="shared" si="5"/>
        <v>0</v>
      </c>
      <c r="N122" s="267">
        <f t="shared" si="6"/>
        <v>0</v>
      </c>
      <c r="O122" s="268">
        <f t="shared" si="7"/>
        <v>0</v>
      </c>
      <c r="P122" s="264">
        <f t="shared" si="8"/>
        <v>0</v>
      </c>
    </row>
    <row r="123" spans="1:22" s="159" customFormat="1" ht="18.75">
      <c r="A123" s="153" t="s">
        <v>138</v>
      </c>
      <c r="B123" s="161" t="s">
        <v>172</v>
      </c>
      <c r="C123" s="214">
        <v>10280</v>
      </c>
      <c r="D123" s="253">
        <v>3.3530000000000002</v>
      </c>
      <c r="E123" s="211"/>
      <c r="F123" s="211">
        <v>9630</v>
      </c>
      <c r="G123" s="251">
        <f>3.141-0.487</f>
        <v>2.6539999999999999</v>
      </c>
      <c r="H123" s="211"/>
      <c r="I123" s="214">
        <v>19910</v>
      </c>
      <c r="J123" s="253">
        <v>3.0034999999999998</v>
      </c>
      <c r="K123" s="218"/>
      <c r="L123" s="155"/>
      <c r="M123" s="158">
        <f t="shared" si="5"/>
        <v>3.0034999999999998</v>
      </c>
      <c r="N123" s="267">
        <f t="shared" si="6"/>
        <v>0</v>
      </c>
      <c r="O123" s="268">
        <f t="shared" si="7"/>
        <v>19910</v>
      </c>
      <c r="P123" s="264">
        <f t="shared" si="8"/>
        <v>0</v>
      </c>
      <c r="Q123" s="158"/>
      <c r="R123" s="158"/>
      <c r="S123" s="158"/>
      <c r="T123" s="158"/>
      <c r="U123" s="158"/>
      <c r="V123" s="158"/>
    </row>
    <row r="124" spans="1:22" s="159" customFormat="1" ht="37.5">
      <c r="A124" s="171" t="s">
        <v>139</v>
      </c>
      <c r="B124" s="172" t="s">
        <v>140</v>
      </c>
      <c r="C124" s="214">
        <f>C123-C110</f>
        <v>8579</v>
      </c>
      <c r="D124" s="253">
        <f>D123-D110</f>
        <v>2.8346</v>
      </c>
      <c r="E124" s="218"/>
      <c r="F124" s="211">
        <f t="shared" si="9"/>
        <v>8181</v>
      </c>
      <c r="G124" s="251">
        <f>G123-G110</f>
        <v>2.2123999999999997</v>
      </c>
      <c r="H124" s="218"/>
      <c r="I124" s="214">
        <f>I123-I110</f>
        <v>16760</v>
      </c>
      <c r="J124" s="253">
        <f>J123-J110</f>
        <v>2.5234999999999999</v>
      </c>
      <c r="K124" s="218"/>
      <c r="L124" s="155"/>
      <c r="M124" s="158">
        <f t="shared" si="5"/>
        <v>2.5234999999999999</v>
      </c>
      <c r="N124" s="267">
        <f t="shared" si="6"/>
        <v>0</v>
      </c>
      <c r="O124" s="268">
        <f t="shared" si="7"/>
        <v>16760</v>
      </c>
      <c r="P124" s="264">
        <f t="shared" si="8"/>
        <v>0</v>
      </c>
      <c r="Q124" s="158"/>
      <c r="R124" s="158"/>
      <c r="S124" s="158"/>
      <c r="T124" s="158"/>
      <c r="U124" s="158"/>
      <c r="V124" s="158"/>
    </row>
    <row r="125" spans="1:22" s="159" customFormat="1" ht="18.75">
      <c r="A125" s="153" t="s">
        <v>141</v>
      </c>
      <c r="B125" s="161" t="s">
        <v>247</v>
      </c>
      <c r="C125" s="214"/>
      <c r="D125" s="253"/>
      <c r="E125" s="218"/>
      <c r="F125" s="211"/>
      <c r="G125" s="251"/>
      <c r="H125" s="218"/>
      <c r="I125" s="214"/>
      <c r="J125" s="253"/>
      <c r="K125" s="218"/>
      <c r="L125" s="155"/>
      <c r="M125" s="158">
        <f t="shared" si="5"/>
        <v>0</v>
      </c>
      <c r="N125" s="267">
        <f t="shared" si="6"/>
        <v>0</v>
      </c>
      <c r="O125" s="268">
        <f t="shared" si="7"/>
        <v>0</v>
      </c>
      <c r="P125" s="264">
        <f t="shared" si="8"/>
        <v>0</v>
      </c>
      <c r="Q125" s="158"/>
      <c r="R125" s="158"/>
      <c r="S125" s="158"/>
      <c r="T125" s="158"/>
      <c r="U125" s="158"/>
      <c r="V125" s="158"/>
    </row>
    <row r="126" spans="1:22" s="159" customFormat="1" ht="37.5">
      <c r="A126" s="171" t="s">
        <v>142</v>
      </c>
      <c r="B126" s="172" t="s">
        <v>143</v>
      </c>
      <c r="C126" s="214">
        <f>C125-C111</f>
        <v>0</v>
      </c>
      <c r="D126" s="253"/>
      <c r="E126" s="218"/>
      <c r="F126" s="211">
        <f t="shared" si="9"/>
        <v>0</v>
      </c>
      <c r="G126" s="251"/>
      <c r="H126" s="218"/>
      <c r="I126" s="214">
        <f>I125-I111</f>
        <v>0</v>
      </c>
      <c r="J126" s="253"/>
      <c r="K126" s="218"/>
      <c r="L126" s="155"/>
      <c r="M126" s="158">
        <f t="shared" si="5"/>
        <v>0</v>
      </c>
      <c r="N126" s="267">
        <f t="shared" si="6"/>
        <v>0</v>
      </c>
      <c r="O126" s="268">
        <f t="shared" si="7"/>
        <v>0</v>
      </c>
      <c r="P126" s="264">
        <f t="shared" si="8"/>
        <v>0</v>
      </c>
      <c r="Q126" s="158"/>
      <c r="R126" s="158"/>
      <c r="S126" s="158"/>
      <c r="T126" s="158"/>
      <c r="U126" s="158"/>
      <c r="V126" s="158"/>
    </row>
    <row r="127" spans="1:22" s="181" customFormat="1" ht="18.75">
      <c r="A127" s="186"/>
      <c r="B127" s="161" t="s">
        <v>45</v>
      </c>
      <c r="C127" s="214"/>
      <c r="D127" s="253"/>
      <c r="E127" s="219"/>
      <c r="F127" s="214"/>
      <c r="G127" s="253"/>
      <c r="H127" s="219"/>
      <c r="I127" s="214"/>
      <c r="J127" s="253"/>
      <c r="K127" s="219"/>
      <c r="L127" s="162"/>
      <c r="M127" s="158">
        <f t="shared" si="5"/>
        <v>0</v>
      </c>
      <c r="N127" s="267">
        <f t="shared" si="6"/>
        <v>0</v>
      </c>
      <c r="O127" s="268">
        <f t="shared" si="7"/>
        <v>0</v>
      </c>
      <c r="P127" s="264">
        <f t="shared" si="8"/>
        <v>0</v>
      </c>
    </row>
    <row r="128" spans="1:22" s="5" customFormat="1" ht="18.75">
      <c r="A128" s="160" t="s">
        <v>144</v>
      </c>
      <c r="B128" s="161" t="s">
        <v>145</v>
      </c>
      <c r="C128" s="214"/>
      <c r="D128" s="253"/>
      <c r="E128" s="219"/>
      <c r="F128" s="214"/>
      <c r="G128" s="253"/>
      <c r="H128" s="219"/>
      <c r="I128" s="214"/>
      <c r="J128" s="253"/>
      <c r="K128" s="219"/>
      <c r="L128" s="162"/>
      <c r="M128" s="158">
        <f t="shared" si="5"/>
        <v>0</v>
      </c>
      <c r="N128" s="267">
        <f t="shared" si="6"/>
        <v>0</v>
      </c>
      <c r="O128" s="268">
        <f t="shared" si="7"/>
        <v>0</v>
      </c>
      <c r="P128" s="264">
        <f t="shared" si="8"/>
        <v>0</v>
      </c>
      <c r="Q128" s="7"/>
      <c r="R128" s="7"/>
      <c r="S128" s="7"/>
      <c r="T128" s="7"/>
      <c r="U128" s="7"/>
      <c r="V128" s="7"/>
    </row>
    <row r="129" spans="1:22" s="5" customFormat="1" ht="18.75">
      <c r="A129" s="160" t="s">
        <v>146</v>
      </c>
      <c r="B129" s="178" t="s">
        <v>76</v>
      </c>
      <c r="C129" s="214">
        <f>C102-C113-C114</f>
        <v>240209.72303854593</v>
      </c>
      <c r="D129" s="253">
        <f>D102-D113-D114</f>
        <v>75.893526872389813</v>
      </c>
      <c r="E129" s="219"/>
      <c r="F129" s="214">
        <f t="shared" si="9"/>
        <v>198654.07259265415</v>
      </c>
      <c r="G129" s="253">
        <f>G102-G113-G114</f>
        <v>63.593519261531277</v>
      </c>
      <c r="H129" s="219"/>
      <c r="I129" s="214">
        <f>I102-I113-I114</f>
        <v>438863.79563120008</v>
      </c>
      <c r="J129" s="253">
        <f>J102-J113-J114</f>
        <v>69.743478124000006</v>
      </c>
      <c r="K129" s="219"/>
      <c r="L129" s="162"/>
      <c r="M129" s="158">
        <f t="shared" si="5"/>
        <v>69.743523066960549</v>
      </c>
      <c r="N129" s="267">
        <f t="shared" si="6"/>
        <v>-4.4942960542471155E-5</v>
      </c>
      <c r="O129" s="268">
        <f t="shared" si="7"/>
        <v>438863.79563120008</v>
      </c>
      <c r="P129" s="264">
        <f t="shared" si="8"/>
        <v>0</v>
      </c>
      <c r="Q129" s="7"/>
      <c r="R129" s="7"/>
      <c r="S129" s="7"/>
      <c r="T129" s="7"/>
      <c r="U129" s="7"/>
      <c r="V129" s="7"/>
    </row>
    <row r="130" spans="1:22" s="159" customFormat="1" ht="18.75">
      <c r="A130" s="153" t="s">
        <v>147</v>
      </c>
      <c r="B130" s="154" t="s">
        <v>148</v>
      </c>
      <c r="C130" s="211">
        <f>C133+C132</f>
        <v>1169.8944653000001</v>
      </c>
      <c r="D130" s="251">
        <f>D133+D132</f>
        <v>0.38181339999999997</v>
      </c>
      <c r="E130" s="218"/>
      <c r="F130" s="211">
        <f t="shared" si="9"/>
        <v>1018.1055346999999</v>
      </c>
      <c r="G130" s="251">
        <f>G133+G132</f>
        <v>0.33194010000000002</v>
      </c>
      <c r="H130" s="218"/>
      <c r="I130" s="211">
        <f>I133+I132</f>
        <v>2188</v>
      </c>
      <c r="J130" s="251">
        <f>J133+J132</f>
        <v>0.35682930000000002</v>
      </c>
      <c r="K130" s="218"/>
      <c r="L130" s="155"/>
      <c r="M130" s="158">
        <f t="shared" si="5"/>
        <v>0.35687674999999996</v>
      </c>
      <c r="N130" s="267">
        <f t="shared" si="6"/>
        <v>-4.7449999999948922E-5</v>
      </c>
      <c r="O130" s="268">
        <f t="shared" si="7"/>
        <v>2188</v>
      </c>
      <c r="P130" s="264">
        <f t="shared" si="8"/>
        <v>0</v>
      </c>
      <c r="Q130" s="158"/>
      <c r="R130" s="158"/>
      <c r="S130" s="158"/>
      <c r="T130" s="158"/>
      <c r="U130" s="158"/>
      <c r="V130" s="158"/>
    </row>
    <row r="131" spans="1:22" s="5" customFormat="1" ht="18.75">
      <c r="A131" s="160"/>
      <c r="B131" s="161" t="s">
        <v>11</v>
      </c>
      <c r="C131" s="214"/>
      <c r="D131" s="253"/>
      <c r="E131" s="219"/>
      <c r="F131" s="214"/>
      <c r="G131" s="253"/>
      <c r="H131" s="219"/>
      <c r="I131" s="214"/>
      <c r="J131" s="253"/>
      <c r="K131" s="219"/>
      <c r="L131" s="162"/>
      <c r="M131" s="158">
        <f t="shared" si="5"/>
        <v>0</v>
      </c>
      <c r="N131" s="267">
        <f t="shared" si="6"/>
        <v>0</v>
      </c>
      <c r="O131" s="268">
        <f t="shared" si="7"/>
        <v>0</v>
      </c>
      <c r="P131" s="264">
        <f t="shared" si="8"/>
        <v>0</v>
      </c>
      <c r="Q131" s="7"/>
      <c r="R131" s="7"/>
      <c r="S131" s="7"/>
      <c r="T131" s="7"/>
      <c r="U131" s="7"/>
      <c r="V131" s="7"/>
    </row>
    <row r="132" spans="1:22" s="5" customFormat="1" ht="18.75">
      <c r="A132" s="160" t="s">
        <v>149</v>
      </c>
      <c r="B132" s="161" t="s">
        <v>49</v>
      </c>
      <c r="C132" s="214"/>
      <c r="D132" s="253"/>
      <c r="E132" s="219"/>
      <c r="F132" s="214"/>
      <c r="G132" s="253"/>
      <c r="H132" s="219"/>
      <c r="I132" s="214"/>
      <c r="J132" s="253"/>
      <c r="K132" s="219"/>
      <c r="L132" s="162"/>
      <c r="M132" s="158">
        <f t="shared" si="5"/>
        <v>0</v>
      </c>
      <c r="N132" s="267">
        <f t="shared" si="6"/>
        <v>0</v>
      </c>
      <c r="O132" s="268">
        <f t="shared" si="7"/>
        <v>0</v>
      </c>
      <c r="P132" s="264">
        <f t="shared" si="8"/>
        <v>0</v>
      </c>
      <c r="Q132" s="7"/>
      <c r="R132" s="7"/>
      <c r="S132" s="7"/>
      <c r="T132" s="7"/>
      <c r="U132" s="7"/>
      <c r="V132" s="7"/>
    </row>
    <row r="133" spans="1:22" s="5" customFormat="1" ht="18.75">
      <c r="A133" s="160" t="s">
        <v>150</v>
      </c>
      <c r="B133" s="161" t="s">
        <v>15</v>
      </c>
      <c r="C133" s="214">
        <f>C135+C136+C137</f>
        <v>1169.8944653000001</v>
      </c>
      <c r="D133" s="253">
        <f>D135+D136+D137</f>
        <v>0.38181339999999997</v>
      </c>
      <c r="E133" s="219"/>
      <c r="F133" s="214">
        <f t="shared" si="9"/>
        <v>1018.1055346999999</v>
      </c>
      <c r="G133" s="253">
        <f>G135+G136+G137</f>
        <v>0.33194010000000002</v>
      </c>
      <c r="H133" s="219"/>
      <c r="I133" s="214">
        <f>I135+I136+I137</f>
        <v>2188</v>
      </c>
      <c r="J133" s="253">
        <f>J135+J136+J137</f>
        <v>0.35682930000000002</v>
      </c>
      <c r="K133" s="219"/>
      <c r="L133" s="162"/>
      <c r="M133" s="158">
        <f t="shared" si="5"/>
        <v>0.35687674999999996</v>
      </c>
      <c r="N133" s="267">
        <f t="shared" si="6"/>
        <v>-4.7449999999948922E-5</v>
      </c>
      <c r="O133" s="268">
        <f t="shared" si="7"/>
        <v>2188</v>
      </c>
      <c r="P133" s="264">
        <f t="shared" si="8"/>
        <v>0</v>
      </c>
      <c r="Q133" s="7"/>
      <c r="R133" s="7"/>
      <c r="S133" s="7"/>
      <c r="T133" s="7"/>
      <c r="U133" s="7"/>
      <c r="V133" s="7"/>
    </row>
    <row r="134" spans="1:22" s="5" customFormat="1" ht="18.75">
      <c r="A134" s="160"/>
      <c r="B134" s="161" t="s">
        <v>11</v>
      </c>
      <c r="C134" s="214"/>
      <c r="D134" s="253"/>
      <c r="E134" s="219"/>
      <c r="F134" s="214"/>
      <c r="G134" s="253"/>
      <c r="H134" s="219"/>
      <c r="I134" s="214"/>
      <c r="J134" s="253"/>
      <c r="K134" s="219"/>
      <c r="L134" s="162"/>
      <c r="M134" s="158">
        <f t="shared" si="5"/>
        <v>0</v>
      </c>
      <c r="N134" s="267">
        <f t="shared" si="6"/>
        <v>0</v>
      </c>
      <c r="O134" s="268">
        <f t="shared" si="7"/>
        <v>0</v>
      </c>
      <c r="P134" s="264">
        <f t="shared" si="8"/>
        <v>0</v>
      </c>
      <c r="Q134" s="7"/>
      <c r="R134" s="7"/>
      <c r="S134" s="7"/>
      <c r="T134" s="7"/>
      <c r="U134" s="7"/>
      <c r="V134" s="7"/>
    </row>
    <row r="135" spans="1:22" s="5" customFormat="1" ht="18.75">
      <c r="A135" s="160" t="s">
        <v>151</v>
      </c>
      <c r="B135" s="161" t="s">
        <v>17</v>
      </c>
      <c r="C135" s="214">
        <f>1067.7497*0.949</f>
        <v>1013.2944653000001</v>
      </c>
      <c r="D135" s="253">
        <f>0.3566*0.949</f>
        <v>0.33841339999999998</v>
      </c>
      <c r="E135" s="219"/>
      <c r="F135" s="214">
        <f>I135-C135</f>
        <v>884.70553469999993</v>
      </c>
      <c r="G135" s="253">
        <f>0.3149*0.949</f>
        <v>0.2988401</v>
      </c>
      <c r="H135" s="219"/>
      <c r="I135" s="214">
        <f>2000*0.949</f>
        <v>1898</v>
      </c>
      <c r="J135" s="253">
        <f>0.3357*0.949</f>
        <v>0.31857930000000001</v>
      </c>
      <c r="K135" s="219"/>
      <c r="L135" s="162"/>
      <c r="M135" s="158">
        <f t="shared" si="5"/>
        <v>0.31862674999999996</v>
      </c>
      <c r="N135" s="267">
        <f t="shared" si="6"/>
        <v>-4.7449999999948922E-5</v>
      </c>
      <c r="O135" s="268">
        <f t="shared" si="7"/>
        <v>1898</v>
      </c>
      <c r="P135" s="264">
        <f t="shared" si="8"/>
        <v>0</v>
      </c>
      <c r="Q135" s="7"/>
      <c r="R135" s="7"/>
      <c r="S135" s="7"/>
      <c r="T135" s="7"/>
      <c r="U135" s="7"/>
      <c r="V135" s="7"/>
    </row>
    <row r="136" spans="1:22" s="5" customFormat="1" ht="18.75">
      <c r="A136" s="160" t="s">
        <v>152</v>
      </c>
      <c r="B136" s="161" t="s">
        <v>172</v>
      </c>
      <c r="C136" s="214"/>
      <c r="D136" s="253"/>
      <c r="E136" s="219"/>
      <c r="F136" s="214"/>
      <c r="G136" s="253"/>
      <c r="H136" s="219"/>
      <c r="I136" s="214"/>
      <c r="J136" s="253"/>
      <c r="K136" s="219"/>
      <c r="L136" s="162"/>
      <c r="M136" s="158">
        <f t="shared" ref="M136:M152" si="10">(D136+G136)/2</f>
        <v>0</v>
      </c>
      <c r="N136" s="267">
        <f t="shared" ref="N136:N152" si="11">J136-M136</f>
        <v>0</v>
      </c>
      <c r="O136" s="268">
        <f t="shared" ref="O136:O152" si="12">C136+F136</f>
        <v>0</v>
      </c>
      <c r="P136" s="264">
        <f t="shared" ref="P136:P152" si="13">O136-I136</f>
        <v>0</v>
      </c>
      <c r="Q136" s="7"/>
      <c r="R136" s="7"/>
      <c r="S136" s="7"/>
      <c r="T136" s="7"/>
      <c r="U136" s="7"/>
      <c r="V136" s="7"/>
    </row>
    <row r="137" spans="1:22" s="5" customFormat="1" ht="18.75">
      <c r="A137" s="160" t="s">
        <v>153</v>
      </c>
      <c r="B137" s="161" t="s">
        <v>247</v>
      </c>
      <c r="C137" s="214">
        <v>156.6</v>
      </c>
      <c r="D137" s="253">
        <v>4.3400000000000001E-2</v>
      </c>
      <c r="E137" s="219"/>
      <c r="F137" s="214">
        <v>133.4</v>
      </c>
      <c r="G137" s="253">
        <v>3.3099999999999997E-2</v>
      </c>
      <c r="H137" s="219"/>
      <c r="I137" s="214">
        <v>290</v>
      </c>
      <c r="J137" s="253">
        <v>3.8249999999999999E-2</v>
      </c>
      <c r="K137" s="219"/>
      <c r="L137" s="162"/>
      <c r="M137" s="158">
        <f t="shared" si="10"/>
        <v>3.8249999999999999E-2</v>
      </c>
      <c r="N137" s="267">
        <f t="shared" si="11"/>
        <v>0</v>
      </c>
      <c r="O137" s="268">
        <f t="shared" si="12"/>
        <v>290</v>
      </c>
      <c r="P137" s="264">
        <f t="shared" si="13"/>
        <v>0</v>
      </c>
      <c r="Q137" s="7"/>
      <c r="R137" s="7"/>
      <c r="S137" s="7"/>
      <c r="T137" s="7"/>
      <c r="U137" s="7"/>
      <c r="V137" s="7"/>
    </row>
    <row r="138" spans="1:22" s="5" customFormat="1" ht="18.75">
      <c r="A138" s="160"/>
      <c r="B138" s="161" t="s">
        <v>45</v>
      </c>
      <c r="C138" s="214"/>
      <c r="D138" s="253"/>
      <c r="E138" s="219"/>
      <c r="F138" s="214"/>
      <c r="G138" s="253"/>
      <c r="H138" s="219"/>
      <c r="I138" s="214"/>
      <c r="J138" s="253"/>
      <c r="K138" s="219"/>
      <c r="L138" s="162"/>
      <c r="M138" s="158">
        <f t="shared" si="10"/>
        <v>0</v>
      </c>
      <c r="N138" s="267">
        <f t="shared" si="11"/>
        <v>0</v>
      </c>
      <c r="O138" s="268">
        <f t="shared" si="12"/>
        <v>0</v>
      </c>
      <c r="P138" s="264">
        <f t="shared" si="13"/>
        <v>0</v>
      </c>
      <c r="Q138" s="7"/>
      <c r="R138" s="7"/>
      <c r="S138" s="7"/>
      <c r="T138" s="7"/>
      <c r="U138" s="7"/>
      <c r="V138" s="7"/>
    </row>
    <row r="139" spans="1:22" s="159" customFormat="1" ht="18.75">
      <c r="A139" s="153" t="s">
        <v>154</v>
      </c>
      <c r="B139" s="154" t="s">
        <v>56</v>
      </c>
      <c r="C139" s="269">
        <f>(49638.226-4362.5)*0.9534-27.627</f>
        <v>43138.250168400002</v>
      </c>
      <c r="D139" s="251">
        <f>(14.9915-0.0033)*0.9534</f>
        <v>14.28974988</v>
      </c>
      <c r="E139" s="218"/>
      <c r="F139" s="211">
        <f>I139-C139</f>
        <v>33386.6218352</v>
      </c>
      <c r="G139" s="262">
        <f>10.7007*0.9534</f>
        <v>10.20204738</v>
      </c>
      <c r="H139" s="218"/>
      <c r="I139" s="211">
        <f>80267.854*0.9534-2.5</f>
        <v>76524.872003600001</v>
      </c>
      <c r="J139" s="251">
        <f>12.8444*0.9534</f>
        <v>12.24585096</v>
      </c>
      <c r="K139" s="218"/>
      <c r="L139" s="155"/>
      <c r="M139" s="158">
        <f t="shared" si="10"/>
        <v>12.245898629999999</v>
      </c>
      <c r="N139" s="267">
        <f t="shared" si="11"/>
        <v>-4.7669999998944945E-5</v>
      </c>
      <c r="O139" s="268">
        <f t="shared" si="12"/>
        <v>76524.872003600001</v>
      </c>
      <c r="P139" s="264">
        <f t="shared" si="13"/>
        <v>0</v>
      </c>
      <c r="Q139" s="158"/>
      <c r="R139" s="158"/>
      <c r="S139" s="158"/>
      <c r="T139" s="158"/>
      <c r="U139" s="158"/>
      <c r="V139" s="158"/>
    </row>
    <row r="140" spans="1:22" s="182" customFormat="1" ht="18.75">
      <c r="A140" s="153" t="s">
        <v>155</v>
      </c>
      <c r="B140" s="154" t="s">
        <v>58</v>
      </c>
      <c r="C140" s="211">
        <f>C142+C143</f>
        <v>198241.3667701458</v>
      </c>
      <c r="D140" s="251">
        <f>D142+D143</f>
        <v>62.001663072389817</v>
      </c>
      <c r="E140" s="218"/>
      <c r="F140" s="211">
        <f t="shared" ref="F140:F150" si="14">I140-C140</f>
        <v>166285.48942739997</v>
      </c>
      <c r="G140" s="251">
        <f>G142+G143</f>
        <v>53.656977841531294</v>
      </c>
      <c r="H140" s="218"/>
      <c r="I140" s="211">
        <f>I142+I143</f>
        <v>364526.85619754577</v>
      </c>
      <c r="J140" s="251">
        <f>J142+J143</f>
        <v>57.829320634000005</v>
      </c>
      <c r="K140" s="218"/>
      <c r="L140" s="155"/>
      <c r="M140" s="158">
        <f t="shared" si="10"/>
        <v>57.829320456960559</v>
      </c>
      <c r="N140" s="267">
        <f t="shared" si="11"/>
        <v>1.7703944621416667E-7</v>
      </c>
      <c r="O140" s="268">
        <f t="shared" si="12"/>
        <v>364526.85619754577</v>
      </c>
      <c r="P140" s="264">
        <f t="shared" si="13"/>
        <v>0</v>
      </c>
      <c r="Q140" s="181"/>
      <c r="R140" s="181"/>
      <c r="S140" s="181"/>
      <c r="T140" s="181"/>
      <c r="U140" s="181"/>
      <c r="V140" s="181"/>
    </row>
    <row r="141" spans="1:22" s="5" customFormat="1" ht="18.75">
      <c r="A141" s="160"/>
      <c r="B141" s="161" t="s">
        <v>28</v>
      </c>
      <c r="C141" s="214"/>
      <c r="D141" s="253"/>
      <c r="E141" s="219"/>
      <c r="F141" s="214"/>
      <c r="G141" s="253"/>
      <c r="H141" s="219"/>
      <c r="I141" s="214"/>
      <c r="J141" s="253"/>
      <c r="K141" s="219"/>
      <c r="L141" s="162"/>
      <c r="M141" s="158">
        <f t="shared" si="10"/>
        <v>0</v>
      </c>
      <c r="N141" s="267">
        <f t="shared" si="11"/>
        <v>0</v>
      </c>
      <c r="O141" s="268">
        <f t="shared" si="12"/>
        <v>0</v>
      </c>
      <c r="P141" s="264">
        <f t="shared" si="13"/>
        <v>0</v>
      </c>
      <c r="Q141" s="7"/>
      <c r="R141" s="7"/>
      <c r="S141" s="7"/>
      <c r="T141" s="7"/>
      <c r="U141" s="7"/>
      <c r="V141" s="7"/>
    </row>
    <row r="142" spans="1:22" s="5" customFormat="1" ht="18.75">
      <c r="A142" s="160" t="s">
        <v>156</v>
      </c>
      <c r="B142" s="161" t="s">
        <v>30</v>
      </c>
      <c r="C142" s="214">
        <f>(195186.52880074+6322.5+5139.5)*0.9538</f>
        <v>197101.3667701458</v>
      </c>
      <c r="D142" s="253">
        <f>(64.0808700696056+0.534)*0.9538</f>
        <v>61.629663072389818</v>
      </c>
      <c r="E142" s="219"/>
      <c r="F142" s="211">
        <f>(179886.473-1425.9-5139.5)*0.9538+21.85</f>
        <v>165335.4894274</v>
      </c>
      <c r="G142" s="253">
        <f>(57.7314895591647-1.8005)*0.9538</f>
        <v>53.346977841531292</v>
      </c>
      <c r="H142" s="219"/>
      <c r="I142" s="214">
        <f>C142+F142</f>
        <v>362436.85619754577</v>
      </c>
      <c r="J142" s="253">
        <f>60.27293*0.9538</f>
        <v>57.488320634000004</v>
      </c>
      <c r="K142" s="219"/>
      <c r="L142" s="162"/>
      <c r="M142" s="158">
        <f t="shared" si="10"/>
        <v>57.488320456960551</v>
      </c>
      <c r="N142" s="267">
        <f t="shared" si="11"/>
        <v>1.7703945331959403E-7</v>
      </c>
      <c r="O142" s="268">
        <f t="shared" si="12"/>
        <v>362436.85619754577</v>
      </c>
      <c r="P142" s="264">
        <f t="shared" si="13"/>
        <v>0</v>
      </c>
      <c r="Q142" s="7"/>
      <c r="R142" s="7"/>
      <c r="S142" s="7"/>
      <c r="T142" s="7"/>
      <c r="U142" s="7"/>
      <c r="V142" s="7"/>
    </row>
    <row r="143" spans="1:22" s="185" customFormat="1" ht="19.5">
      <c r="A143" s="160" t="s">
        <v>157</v>
      </c>
      <c r="B143" s="161" t="s">
        <v>32</v>
      </c>
      <c r="C143" s="214">
        <f>C147</f>
        <v>1140</v>
      </c>
      <c r="D143" s="253">
        <f>D147</f>
        <v>0.372</v>
      </c>
      <c r="E143" s="219"/>
      <c r="F143" s="214">
        <f t="shared" si="14"/>
        <v>950</v>
      </c>
      <c r="G143" s="253">
        <f>G147</f>
        <v>0.31</v>
      </c>
      <c r="H143" s="219"/>
      <c r="I143" s="214">
        <f>I147</f>
        <v>2090</v>
      </c>
      <c r="J143" s="253">
        <f>J147</f>
        <v>0.34100000000000003</v>
      </c>
      <c r="K143" s="219"/>
      <c r="L143" s="162"/>
      <c r="M143" s="158">
        <f t="shared" si="10"/>
        <v>0.34099999999999997</v>
      </c>
      <c r="N143" s="267">
        <f t="shared" si="11"/>
        <v>0</v>
      </c>
      <c r="O143" s="268">
        <f t="shared" si="12"/>
        <v>2090</v>
      </c>
      <c r="P143" s="264">
        <f t="shared" si="13"/>
        <v>0</v>
      </c>
      <c r="Q143" s="184"/>
      <c r="R143" s="184"/>
      <c r="S143" s="184"/>
      <c r="T143" s="184"/>
      <c r="U143" s="184"/>
      <c r="V143" s="184"/>
    </row>
    <row r="144" spans="1:22" s="5" customFormat="1" ht="18.75">
      <c r="A144" s="160"/>
      <c r="B144" s="161" t="s">
        <v>28</v>
      </c>
      <c r="C144" s="214"/>
      <c r="D144" s="253"/>
      <c r="E144" s="219"/>
      <c r="F144" s="214"/>
      <c r="G144" s="253"/>
      <c r="H144" s="219"/>
      <c r="I144" s="214"/>
      <c r="J144" s="253"/>
      <c r="K144" s="219"/>
      <c r="L144" s="162"/>
      <c r="M144" s="158">
        <f t="shared" si="10"/>
        <v>0</v>
      </c>
      <c r="N144" s="267">
        <f t="shared" si="11"/>
        <v>0</v>
      </c>
      <c r="O144" s="268">
        <f t="shared" si="12"/>
        <v>0</v>
      </c>
      <c r="P144" s="264">
        <f t="shared" si="13"/>
        <v>0</v>
      </c>
      <c r="Q144" s="7"/>
      <c r="R144" s="7"/>
      <c r="S144" s="7"/>
      <c r="T144" s="7"/>
      <c r="U144" s="7"/>
      <c r="V144" s="7"/>
    </row>
    <row r="145" spans="1:22" s="5" customFormat="1" ht="18.75">
      <c r="A145" s="160" t="s">
        <v>158</v>
      </c>
      <c r="B145" s="161" t="s">
        <v>17</v>
      </c>
      <c r="C145" s="214">
        <v>0</v>
      </c>
      <c r="D145" s="253">
        <v>0</v>
      </c>
      <c r="E145" s="219"/>
      <c r="F145" s="214">
        <f t="shared" si="14"/>
        <v>0</v>
      </c>
      <c r="G145" s="253">
        <v>0</v>
      </c>
      <c r="H145" s="219"/>
      <c r="I145" s="214">
        <v>0</v>
      </c>
      <c r="J145" s="253">
        <v>0</v>
      </c>
      <c r="K145" s="219"/>
      <c r="L145" s="162"/>
      <c r="M145" s="158">
        <f t="shared" si="10"/>
        <v>0</v>
      </c>
      <c r="N145" s="267">
        <f t="shared" si="11"/>
        <v>0</v>
      </c>
      <c r="O145" s="268">
        <f t="shared" si="12"/>
        <v>0</v>
      </c>
      <c r="P145" s="264">
        <f t="shared" si="13"/>
        <v>0</v>
      </c>
      <c r="Q145" s="7"/>
      <c r="R145" s="7"/>
      <c r="S145" s="7"/>
      <c r="T145" s="7"/>
      <c r="U145" s="7"/>
      <c r="V145" s="7"/>
    </row>
    <row r="146" spans="1:22" s="5" customFormat="1" ht="37.5">
      <c r="A146" s="177" t="s">
        <v>159</v>
      </c>
      <c r="B146" s="161" t="s">
        <v>160</v>
      </c>
      <c r="C146" s="214">
        <f>C145-C135</f>
        <v>-1013.2944653000001</v>
      </c>
      <c r="D146" s="253">
        <f>D145-D135</f>
        <v>-0.33841339999999998</v>
      </c>
      <c r="E146" s="219"/>
      <c r="F146" s="214">
        <f t="shared" si="14"/>
        <v>-884.70553469999993</v>
      </c>
      <c r="G146" s="253">
        <f>G145-G135</f>
        <v>-0.2988401</v>
      </c>
      <c r="H146" s="219"/>
      <c r="I146" s="214">
        <f>I145-I135</f>
        <v>-1898</v>
      </c>
      <c r="J146" s="253">
        <f>J145-J135</f>
        <v>-0.31857930000000001</v>
      </c>
      <c r="K146" s="219"/>
      <c r="L146" s="162"/>
      <c r="M146" s="158">
        <f t="shared" si="10"/>
        <v>-0.31862674999999996</v>
      </c>
      <c r="N146" s="267">
        <f t="shared" si="11"/>
        <v>4.7449999999948922E-5</v>
      </c>
      <c r="O146" s="268">
        <f t="shared" si="12"/>
        <v>-1898</v>
      </c>
      <c r="P146" s="264">
        <f t="shared" si="13"/>
        <v>0</v>
      </c>
      <c r="Q146" s="7"/>
      <c r="R146" s="7"/>
      <c r="S146" s="7"/>
      <c r="T146" s="7"/>
      <c r="U146" s="7"/>
      <c r="V146" s="7"/>
    </row>
    <row r="147" spans="1:22" s="5" customFormat="1" ht="18.75">
      <c r="A147" s="160" t="s">
        <v>161</v>
      </c>
      <c r="B147" s="161" t="s">
        <v>172</v>
      </c>
      <c r="C147" s="214">
        <v>1140</v>
      </c>
      <c r="D147" s="253">
        <v>0.372</v>
      </c>
      <c r="E147" s="219"/>
      <c r="F147" s="214">
        <f t="shared" si="14"/>
        <v>950</v>
      </c>
      <c r="G147" s="253">
        <v>0.31</v>
      </c>
      <c r="H147" s="219"/>
      <c r="I147" s="214">
        <v>2090</v>
      </c>
      <c r="J147" s="253">
        <v>0.34100000000000003</v>
      </c>
      <c r="K147" s="219"/>
      <c r="L147" s="162"/>
      <c r="M147" s="158">
        <f t="shared" si="10"/>
        <v>0.34099999999999997</v>
      </c>
      <c r="N147" s="267">
        <f t="shared" si="11"/>
        <v>0</v>
      </c>
      <c r="O147" s="268">
        <f t="shared" si="12"/>
        <v>2090</v>
      </c>
      <c r="P147" s="264">
        <f t="shared" si="13"/>
        <v>0</v>
      </c>
      <c r="Q147" s="7"/>
      <c r="R147" s="7"/>
      <c r="S147" s="7"/>
      <c r="T147" s="7"/>
      <c r="U147" s="7"/>
      <c r="V147" s="7"/>
    </row>
    <row r="148" spans="1:22" s="5" customFormat="1" ht="37.5">
      <c r="A148" s="177" t="s">
        <v>162</v>
      </c>
      <c r="B148" s="161" t="s">
        <v>163</v>
      </c>
      <c r="C148" s="214">
        <f>C147-C136</f>
        <v>1140</v>
      </c>
      <c r="D148" s="253">
        <f>D147-D136</f>
        <v>0.372</v>
      </c>
      <c r="E148" s="219"/>
      <c r="F148" s="214">
        <f t="shared" si="14"/>
        <v>950</v>
      </c>
      <c r="G148" s="253">
        <f>G147-G136</f>
        <v>0.31</v>
      </c>
      <c r="H148" s="219"/>
      <c r="I148" s="214">
        <f>I147-I136</f>
        <v>2090</v>
      </c>
      <c r="J148" s="253">
        <f>J147-J136</f>
        <v>0.34100000000000003</v>
      </c>
      <c r="K148" s="219"/>
      <c r="L148" s="162"/>
      <c r="M148" s="158">
        <f t="shared" si="10"/>
        <v>0.34099999999999997</v>
      </c>
      <c r="N148" s="267">
        <f t="shared" si="11"/>
        <v>0</v>
      </c>
      <c r="O148" s="268">
        <f t="shared" si="12"/>
        <v>2090</v>
      </c>
      <c r="P148" s="264">
        <f t="shared" si="13"/>
        <v>0</v>
      </c>
      <c r="Q148" s="7"/>
      <c r="R148" s="7"/>
      <c r="S148" s="7"/>
      <c r="T148" s="7"/>
      <c r="U148" s="7"/>
      <c r="V148" s="7"/>
    </row>
    <row r="149" spans="1:22" s="5" customFormat="1" ht="18.75">
      <c r="A149" s="160" t="s">
        <v>164</v>
      </c>
      <c r="B149" s="161" t="s">
        <v>247</v>
      </c>
      <c r="C149" s="214">
        <v>0</v>
      </c>
      <c r="D149" s="253">
        <v>0</v>
      </c>
      <c r="E149" s="219"/>
      <c r="F149" s="214">
        <f t="shared" si="14"/>
        <v>0</v>
      </c>
      <c r="G149" s="253">
        <v>0</v>
      </c>
      <c r="H149" s="219"/>
      <c r="I149" s="214">
        <v>0</v>
      </c>
      <c r="J149" s="253">
        <v>0</v>
      </c>
      <c r="K149" s="219"/>
      <c r="L149" s="162"/>
      <c r="M149" s="158">
        <f t="shared" si="10"/>
        <v>0</v>
      </c>
      <c r="N149" s="267">
        <f t="shared" si="11"/>
        <v>0</v>
      </c>
      <c r="O149" s="268">
        <f t="shared" si="12"/>
        <v>0</v>
      </c>
      <c r="P149" s="264">
        <f t="shared" si="13"/>
        <v>0</v>
      </c>
      <c r="Q149" s="7"/>
      <c r="R149" s="7"/>
      <c r="S149" s="7"/>
      <c r="T149" s="7"/>
      <c r="U149" s="7"/>
      <c r="V149" s="7"/>
    </row>
    <row r="150" spans="1:22" s="5" customFormat="1" ht="37.5">
      <c r="A150" s="177" t="s">
        <v>166</v>
      </c>
      <c r="B150" s="161" t="s">
        <v>167</v>
      </c>
      <c r="C150" s="214">
        <f>C149-C137</f>
        <v>-156.6</v>
      </c>
      <c r="D150" s="256">
        <f>D149-D137</f>
        <v>-4.3400000000000001E-2</v>
      </c>
      <c r="E150" s="219"/>
      <c r="F150" s="214">
        <f t="shared" si="14"/>
        <v>-133.4</v>
      </c>
      <c r="G150" s="253">
        <f>G149-G137</f>
        <v>-3.3099999999999997E-2</v>
      </c>
      <c r="H150" s="219"/>
      <c r="I150" s="214">
        <f>I149-I137</f>
        <v>-290</v>
      </c>
      <c r="J150" s="256">
        <f>J149-J137</f>
        <v>-3.8249999999999999E-2</v>
      </c>
      <c r="K150" s="219"/>
      <c r="L150" s="162"/>
      <c r="M150" s="158">
        <f t="shared" si="10"/>
        <v>-3.8249999999999999E-2</v>
      </c>
      <c r="N150" s="267">
        <f t="shared" si="11"/>
        <v>0</v>
      </c>
      <c r="O150" s="268">
        <f t="shared" si="12"/>
        <v>-290</v>
      </c>
      <c r="P150" s="264">
        <f t="shared" si="13"/>
        <v>0</v>
      </c>
      <c r="Q150" s="7"/>
      <c r="R150" s="7"/>
      <c r="S150" s="7"/>
      <c r="T150" s="7"/>
      <c r="U150" s="7"/>
      <c r="V150" s="7"/>
    </row>
    <row r="151" spans="1:22" ht="24.95" hidden="1" customHeight="1">
      <c r="D151" s="205"/>
      <c r="J151" s="205"/>
      <c r="M151" s="158">
        <f t="shared" si="10"/>
        <v>0</v>
      </c>
      <c r="N151" s="267">
        <f t="shared" si="11"/>
        <v>0</v>
      </c>
      <c r="O151" s="268">
        <f t="shared" si="12"/>
        <v>0</v>
      </c>
      <c r="P151" s="264">
        <f t="shared" si="13"/>
        <v>0</v>
      </c>
    </row>
    <row r="152" spans="1:22" ht="24.75" hidden="1" customHeight="1">
      <c r="D152" s="205"/>
      <c r="J152" s="205"/>
      <c r="M152" s="158">
        <f t="shared" si="10"/>
        <v>0</v>
      </c>
      <c r="N152" s="267">
        <f t="shared" si="11"/>
        <v>0</v>
      </c>
      <c r="O152" s="268">
        <f t="shared" si="12"/>
        <v>0</v>
      </c>
      <c r="P152" s="264">
        <f t="shared" si="13"/>
        <v>0</v>
      </c>
    </row>
    <row r="153" spans="1:22" ht="24.75" customHeight="1">
      <c r="C153" s="270">
        <f>C139+C140-C130-C129</f>
        <v>-5.6530011352151632E-4</v>
      </c>
      <c r="D153" s="270">
        <f t="shared" ref="D153:J153" si="15">D139+D140-D130-D129</f>
        <v>1.6072680000007722E-2</v>
      </c>
      <c r="E153" s="271">
        <f t="shared" si="15"/>
        <v>0</v>
      </c>
      <c r="F153" s="271">
        <f t="shared" si="15"/>
        <v>-6.6864754189737141E-2</v>
      </c>
      <c r="G153" s="271">
        <f t="shared" si="15"/>
        <v>-6.6434139999977049E-2</v>
      </c>
      <c r="H153" s="271">
        <f t="shared" si="15"/>
        <v>0</v>
      </c>
      <c r="I153" s="270">
        <f t="shared" si="15"/>
        <v>-6.7430054303258657E-2</v>
      </c>
      <c r="J153" s="270">
        <f t="shared" si="15"/>
        <v>-2.5135829999996417E-2</v>
      </c>
      <c r="M153" s="158"/>
      <c r="N153" s="267"/>
      <c r="O153" s="268"/>
      <c r="P153" s="264"/>
    </row>
    <row r="154" spans="1:22" s="13" customFormat="1" ht="77.25" customHeight="1">
      <c r="A154" s="13" t="s">
        <v>168</v>
      </c>
      <c r="B154" s="14"/>
      <c r="C154" s="17"/>
      <c r="D154" s="229"/>
      <c r="I154" s="13" t="s">
        <v>246</v>
      </c>
      <c r="M154" s="16"/>
      <c r="N154" s="16"/>
      <c r="O154" s="230"/>
      <c r="P154" s="16"/>
      <c r="Q154" s="16"/>
      <c r="R154" s="16"/>
      <c r="S154" s="16"/>
      <c r="T154" s="16"/>
      <c r="U154" s="16"/>
      <c r="V154" s="16"/>
    </row>
    <row r="155" spans="1:22" s="13" customFormat="1" ht="39.6" customHeight="1">
      <c r="B155" s="14"/>
      <c r="C155" s="17"/>
      <c r="D155" s="229"/>
      <c r="I155" s="17"/>
      <c r="M155" s="16"/>
      <c r="N155" s="16"/>
      <c r="O155" s="230"/>
      <c r="P155" s="16"/>
      <c r="Q155" s="16"/>
      <c r="R155" s="16"/>
      <c r="S155" s="16"/>
      <c r="T155" s="16"/>
      <c r="U155" s="16"/>
      <c r="V155" s="16"/>
    </row>
    <row r="156" spans="1:22" s="13" customFormat="1" ht="43.9" customHeight="1">
      <c r="A156" s="13" t="s">
        <v>252</v>
      </c>
      <c r="B156" s="14"/>
      <c r="C156" s="17"/>
      <c r="D156" s="229"/>
      <c r="I156" s="17"/>
      <c r="M156" s="16"/>
      <c r="N156" s="16"/>
      <c r="O156" s="230"/>
      <c r="P156" s="16"/>
      <c r="Q156" s="16"/>
      <c r="R156" s="16"/>
      <c r="S156" s="16"/>
      <c r="T156" s="16"/>
      <c r="U156" s="16"/>
      <c r="V156" s="16"/>
    </row>
    <row r="157" spans="1:22" s="13" customFormat="1" ht="28.9" customHeight="1">
      <c r="B157" s="14"/>
      <c r="C157" s="17"/>
      <c r="D157" s="229"/>
      <c r="I157" s="17"/>
      <c r="M157" s="16"/>
      <c r="N157" s="16"/>
      <c r="O157" s="230"/>
      <c r="P157" s="16"/>
      <c r="Q157" s="16"/>
      <c r="R157" s="16"/>
      <c r="S157" s="16"/>
      <c r="T157" s="16"/>
      <c r="U157" s="16"/>
      <c r="V157" s="16"/>
    </row>
    <row r="158" spans="1:22" s="13" customFormat="1" ht="50.45" customHeight="1">
      <c r="A158" s="13" t="s">
        <v>245</v>
      </c>
      <c r="B158" s="14"/>
      <c r="C158" s="17"/>
      <c r="D158" s="229"/>
      <c r="E158" s="14"/>
      <c r="F158" s="14"/>
      <c r="G158" s="14"/>
      <c r="H158" s="14"/>
      <c r="I158" s="17"/>
      <c r="J158" s="14"/>
      <c r="M158" s="16"/>
      <c r="N158" s="16"/>
      <c r="O158" s="230"/>
      <c r="P158" s="16"/>
      <c r="Q158" s="16"/>
      <c r="R158" s="16"/>
      <c r="S158" s="16"/>
      <c r="T158" s="16"/>
      <c r="U158" s="16"/>
      <c r="V158" s="16"/>
    </row>
    <row r="162" spans="2:15" s="147" customFormat="1">
      <c r="B162" s="4"/>
      <c r="C162" s="205"/>
      <c r="D162" s="206"/>
      <c r="E162" s="145"/>
      <c r="F162" s="145"/>
      <c r="G162" s="145"/>
      <c r="H162" s="145"/>
      <c r="I162" s="205"/>
      <c r="J162" s="206"/>
      <c r="K162" s="145"/>
      <c r="L162" s="148"/>
      <c r="O162" s="207"/>
    </row>
    <row r="163" spans="2:15" s="147" customFormat="1">
      <c r="B163" s="4"/>
      <c r="C163" s="205"/>
      <c r="D163" s="206"/>
      <c r="E163" s="145"/>
      <c r="F163" s="145"/>
      <c r="G163" s="145"/>
      <c r="H163" s="145"/>
      <c r="I163" s="205"/>
      <c r="J163" s="206"/>
      <c r="K163" s="145"/>
      <c r="L163" s="148"/>
      <c r="O163" s="207"/>
    </row>
    <row r="164" spans="2:15" s="147" customFormat="1">
      <c r="B164" s="4"/>
      <c r="C164" s="205"/>
      <c r="D164" s="206"/>
      <c r="E164" s="145"/>
      <c r="F164" s="145"/>
      <c r="G164" s="145"/>
      <c r="H164" s="145"/>
      <c r="I164" s="205"/>
      <c r="J164" s="206"/>
      <c r="K164" s="145"/>
      <c r="L164" s="148"/>
      <c r="O164" s="207"/>
    </row>
    <row r="165" spans="2:15" s="147" customFormat="1">
      <c r="B165" s="4"/>
      <c r="C165" s="205">
        <f>C116+C142</f>
        <v>273704.35559999978</v>
      </c>
      <c r="D165" s="206"/>
      <c r="E165" s="145"/>
      <c r="F165" s="145"/>
      <c r="G165" s="145"/>
      <c r="H165" s="145"/>
      <c r="I165" s="205"/>
      <c r="J165" s="206"/>
      <c r="K165" s="145"/>
      <c r="L165" s="148"/>
      <c r="O165" s="207"/>
    </row>
    <row r="166" spans="2:15" s="147" customFormat="1">
      <c r="B166" s="4"/>
      <c r="C166" s="205"/>
      <c r="D166" s="206"/>
      <c r="E166" s="145"/>
      <c r="F166" s="145"/>
      <c r="G166" s="145"/>
      <c r="H166" s="145"/>
      <c r="I166" s="205"/>
      <c r="J166" s="206"/>
      <c r="K166" s="145"/>
      <c r="L166" s="148"/>
      <c r="O166" s="207"/>
    </row>
    <row r="167" spans="2:15" s="147" customFormat="1">
      <c r="B167" s="4"/>
      <c r="C167" s="205"/>
      <c r="D167" s="206"/>
      <c r="E167" s="145"/>
      <c r="F167" s="145"/>
      <c r="G167" s="145"/>
      <c r="H167" s="145"/>
      <c r="I167" s="205"/>
      <c r="J167" s="206"/>
      <c r="K167" s="145"/>
      <c r="L167" s="148"/>
      <c r="O167" s="207"/>
    </row>
    <row r="168" spans="2:15" s="147" customFormat="1">
      <c r="B168" s="4"/>
      <c r="C168" s="205"/>
      <c r="D168" s="206"/>
      <c r="E168" s="145"/>
      <c r="F168" s="145"/>
      <c r="G168" s="145"/>
      <c r="H168" s="145"/>
      <c r="I168" s="205"/>
      <c r="J168" s="206"/>
      <c r="K168" s="145"/>
      <c r="L168" s="148"/>
      <c r="O168" s="207"/>
    </row>
    <row r="169" spans="2:15" s="147" customFormat="1">
      <c r="B169" s="4"/>
      <c r="C169" s="205"/>
      <c r="D169" s="206"/>
      <c r="E169" s="145"/>
      <c r="F169" s="145"/>
      <c r="G169" s="145"/>
      <c r="H169" s="145"/>
      <c r="I169" s="205"/>
      <c r="J169" s="206"/>
      <c r="K169" s="145"/>
      <c r="L169" s="148"/>
      <c r="O169" s="207"/>
    </row>
    <row r="170" spans="2:15" s="147" customFormat="1">
      <c r="B170" s="4"/>
      <c r="C170" s="205"/>
      <c r="D170" s="206"/>
      <c r="E170" s="145"/>
      <c r="F170" s="145"/>
      <c r="G170" s="145"/>
      <c r="H170" s="145"/>
      <c r="I170" s="205"/>
      <c r="J170" s="206"/>
      <c r="K170" s="145"/>
      <c r="L170" s="148"/>
      <c r="O170" s="207"/>
    </row>
    <row r="171" spans="2:15" s="147" customFormat="1">
      <c r="B171" s="4"/>
      <c r="C171" s="205"/>
      <c r="D171" s="206"/>
      <c r="E171" s="145"/>
      <c r="F171" s="145"/>
      <c r="G171" s="145"/>
      <c r="H171" s="145"/>
      <c r="I171" s="205"/>
      <c r="J171" s="206"/>
      <c r="K171" s="145"/>
      <c r="L171" s="148"/>
      <c r="O171" s="207"/>
    </row>
    <row r="172" spans="2:15" s="147" customFormat="1">
      <c r="B172" s="4"/>
      <c r="C172" s="205"/>
      <c r="D172" s="206"/>
      <c r="E172" s="145"/>
      <c r="F172" s="145"/>
      <c r="G172" s="145"/>
      <c r="H172" s="145"/>
      <c r="I172" s="205"/>
      <c r="J172" s="206"/>
      <c r="K172" s="145"/>
      <c r="L172" s="148"/>
      <c r="O172" s="207"/>
    </row>
    <row r="173" spans="2:15" s="147" customFormat="1">
      <c r="B173" s="4"/>
      <c r="C173" s="205"/>
      <c r="D173" s="206"/>
      <c r="E173" s="145"/>
      <c r="F173" s="145"/>
      <c r="G173" s="145"/>
      <c r="H173" s="145"/>
      <c r="I173" s="205"/>
      <c r="J173" s="206"/>
      <c r="K173" s="145"/>
      <c r="L173" s="148"/>
      <c r="O173" s="207"/>
    </row>
    <row r="174" spans="2:15" s="147" customFormat="1">
      <c r="B174" s="4"/>
      <c r="C174" s="205"/>
      <c r="D174" s="206"/>
      <c r="E174" s="145"/>
      <c r="F174" s="145"/>
      <c r="G174" s="145"/>
      <c r="H174" s="145"/>
      <c r="I174" s="205"/>
      <c r="J174" s="206"/>
      <c r="K174" s="145"/>
      <c r="L174" s="148"/>
      <c r="O174" s="207"/>
    </row>
    <row r="175" spans="2:15" s="147" customFormat="1">
      <c r="B175" s="4"/>
      <c r="C175" s="205"/>
      <c r="D175" s="206"/>
      <c r="E175" s="145"/>
      <c r="F175" s="145"/>
      <c r="G175" s="145"/>
      <c r="H175" s="145"/>
      <c r="I175" s="205"/>
      <c r="J175" s="206"/>
      <c r="K175" s="145"/>
      <c r="L175" s="148"/>
      <c r="O175" s="207"/>
    </row>
    <row r="176" spans="2:15" s="147" customFormat="1">
      <c r="B176" s="4"/>
      <c r="C176" s="205"/>
      <c r="D176" s="206"/>
      <c r="E176" s="145"/>
      <c r="F176" s="145"/>
      <c r="G176" s="145"/>
      <c r="H176" s="145"/>
      <c r="I176" s="205"/>
      <c r="J176" s="206"/>
      <c r="K176" s="145"/>
      <c r="L176" s="148"/>
      <c r="O176" s="207"/>
    </row>
    <row r="177" spans="2:15" s="147" customFormat="1">
      <c r="B177" s="4"/>
      <c r="C177" s="205"/>
      <c r="D177" s="206"/>
      <c r="E177" s="145"/>
      <c r="F177" s="145"/>
      <c r="G177" s="145"/>
      <c r="H177" s="145"/>
      <c r="I177" s="205"/>
      <c r="J177" s="206"/>
      <c r="K177" s="145"/>
      <c r="L177" s="148"/>
      <c r="O177" s="207"/>
    </row>
    <row r="178" spans="2:15" s="147" customFormat="1">
      <c r="B178" s="4"/>
      <c r="C178" s="205"/>
      <c r="D178" s="206"/>
      <c r="E178" s="145"/>
      <c r="F178" s="145"/>
      <c r="G178" s="145"/>
      <c r="H178" s="145"/>
      <c r="I178" s="205"/>
      <c r="J178" s="206"/>
      <c r="K178" s="145"/>
      <c r="L178" s="148"/>
      <c r="O178" s="207"/>
    </row>
    <row r="179" spans="2:15" s="147" customFormat="1">
      <c r="B179" s="4"/>
      <c r="C179" s="205"/>
      <c r="D179" s="206"/>
      <c r="E179" s="145"/>
      <c r="F179" s="145"/>
      <c r="G179" s="145"/>
      <c r="H179" s="145"/>
      <c r="I179" s="205"/>
      <c r="J179" s="206"/>
      <c r="K179" s="145"/>
      <c r="L179" s="148"/>
      <c r="O179" s="207"/>
    </row>
    <row r="180" spans="2:15" s="147" customFormat="1">
      <c r="B180" s="4"/>
      <c r="C180" s="205"/>
      <c r="D180" s="206"/>
      <c r="E180" s="145"/>
      <c r="F180" s="145"/>
      <c r="G180" s="145"/>
      <c r="H180" s="145"/>
      <c r="I180" s="205"/>
      <c r="J180" s="206"/>
      <c r="K180" s="145"/>
      <c r="L180" s="148"/>
      <c r="O180" s="207"/>
    </row>
    <row r="181" spans="2:15" s="147" customFormat="1">
      <c r="B181" s="4"/>
      <c r="C181" s="205"/>
      <c r="D181" s="206"/>
      <c r="E181" s="145"/>
      <c r="F181" s="145"/>
      <c r="G181" s="145"/>
      <c r="H181" s="145"/>
      <c r="I181" s="205"/>
      <c r="J181" s="206"/>
      <c r="K181" s="145"/>
      <c r="L181" s="148"/>
      <c r="O181" s="207"/>
    </row>
    <row r="182" spans="2:15" s="147" customFormat="1">
      <c r="B182" s="4"/>
      <c r="C182" s="205"/>
      <c r="D182" s="206"/>
      <c r="E182" s="145"/>
      <c r="F182" s="145"/>
      <c r="G182" s="145"/>
      <c r="H182" s="145"/>
      <c r="I182" s="205"/>
      <c r="J182" s="206"/>
      <c r="K182" s="145"/>
      <c r="L182" s="148"/>
      <c r="O182" s="207"/>
    </row>
    <row r="183" spans="2:15" s="147" customFormat="1">
      <c r="B183" s="4"/>
      <c r="C183" s="205"/>
      <c r="D183" s="206"/>
      <c r="E183" s="145"/>
      <c r="F183" s="145"/>
      <c r="G183" s="145"/>
      <c r="H183" s="145"/>
      <c r="I183" s="205"/>
      <c r="J183" s="206"/>
      <c r="K183" s="145"/>
      <c r="L183" s="148"/>
      <c r="O183" s="207"/>
    </row>
    <row r="184" spans="2:15" s="147" customFormat="1">
      <c r="B184" s="4"/>
      <c r="C184" s="205"/>
      <c r="D184" s="206"/>
      <c r="E184" s="145"/>
      <c r="F184" s="145"/>
      <c r="G184" s="145"/>
      <c r="H184" s="145"/>
      <c r="I184" s="205"/>
      <c r="J184" s="206"/>
      <c r="K184" s="145"/>
      <c r="L184" s="148"/>
      <c r="O184" s="207"/>
    </row>
    <row r="185" spans="2:15" s="147" customFormat="1">
      <c r="B185" s="4"/>
      <c r="C185" s="205"/>
      <c r="D185" s="206"/>
      <c r="E185" s="145"/>
      <c r="F185" s="145"/>
      <c r="G185" s="145"/>
      <c r="H185" s="145"/>
      <c r="I185" s="205"/>
      <c r="J185" s="206"/>
      <c r="K185" s="145"/>
      <c r="L185" s="148"/>
      <c r="O185" s="207"/>
    </row>
    <row r="186" spans="2:15" s="147" customFormat="1">
      <c r="B186" s="4"/>
      <c r="C186" s="205"/>
      <c r="D186" s="206"/>
      <c r="E186" s="145"/>
      <c r="F186" s="145"/>
      <c r="G186" s="145"/>
      <c r="H186" s="145"/>
      <c r="I186" s="205"/>
      <c r="J186" s="206"/>
      <c r="K186" s="145"/>
      <c r="L186" s="148"/>
      <c r="O186" s="207"/>
    </row>
    <row r="187" spans="2:15" s="147" customFormat="1">
      <c r="B187" s="4"/>
      <c r="C187" s="205"/>
      <c r="D187" s="206"/>
      <c r="E187" s="145"/>
      <c r="F187" s="145"/>
      <c r="G187" s="145"/>
      <c r="H187" s="145"/>
      <c r="I187" s="205"/>
      <c r="J187" s="206"/>
      <c r="K187" s="145"/>
      <c r="L187" s="148"/>
      <c r="O187" s="207"/>
    </row>
    <row r="188" spans="2:15" s="147" customFormat="1">
      <c r="B188" s="4"/>
      <c r="C188" s="205"/>
      <c r="D188" s="206"/>
      <c r="E188" s="145"/>
      <c r="F188" s="145"/>
      <c r="G188" s="145"/>
      <c r="H188" s="145"/>
      <c r="I188" s="205"/>
      <c r="J188" s="206"/>
      <c r="K188" s="145"/>
      <c r="L188" s="148"/>
      <c r="O188" s="207"/>
    </row>
    <row r="189" spans="2:15" s="147" customFormat="1">
      <c r="B189" s="4"/>
      <c r="C189" s="205"/>
      <c r="D189" s="206"/>
      <c r="E189" s="145"/>
      <c r="F189" s="145"/>
      <c r="G189" s="145"/>
      <c r="H189" s="145"/>
      <c r="I189" s="205"/>
      <c r="J189" s="206"/>
      <c r="K189" s="145"/>
      <c r="L189" s="148"/>
      <c r="O189" s="207"/>
    </row>
    <row r="190" spans="2:15" s="147" customFormat="1">
      <c r="B190" s="4"/>
      <c r="C190" s="205"/>
      <c r="D190" s="206"/>
      <c r="E190" s="145"/>
      <c r="F190" s="145"/>
      <c r="G190" s="145"/>
      <c r="H190" s="145"/>
      <c r="I190" s="205"/>
      <c r="J190" s="206"/>
      <c r="K190" s="145"/>
      <c r="L190" s="148"/>
      <c r="O190" s="207"/>
    </row>
    <row r="191" spans="2:15" s="147" customFormat="1">
      <c r="B191" s="4"/>
      <c r="C191" s="205"/>
      <c r="D191" s="206"/>
      <c r="E191" s="145"/>
      <c r="F191" s="145"/>
      <c r="G191" s="145"/>
      <c r="H191" s="145"/>
      <c r="I191" s="205"/>
      <c r="J191" s="206"/>
      <c r="K191" s="145"/>
      <c r="L191" s="148"/>
      <c r="O191" s="207"/>
    </row>
    <row r="192" spans="2:15" s="147" customFormat="1">
      <c r="B192" s="4"/>
      <c r="C192" s="205"/>
      <c r="D192" s="206"/>
      <c r="E192" s="145"/>
      <c r="F192" s="145"/>
      <c r="G192" s="145"/>
      <c r="H192" s="145"/>
      <c r="I192" s="205"/>
      <c r="J192" s="206"/>
      <c r="K192" s="145"/>
      <c r="L192" s="148"/>
      <c r="O192" s="207"/>
    </row>
    <row r="193" spans="2:15" s="147" customFormat="1">
      <c r="B193" s="4"/>
      <c r="C193" s="205"/>
      <c r="D193" s="206"/>
      <c r="E193" s="145"/>
      <c r="F193" s="145"/>
      <c r="G193" s="145"/>
      <c r="H193" s="145"/>
      <c r="I193" s="205"/>
      <c r="J193" s="206"/>
      <c r="K193" s="145"/>
      <c r="L193" s="148"/>
      <c r="O193" s="207"/>
    </row>
    <row r="194" spans="2:15" s="147" customFormat="1">
      <c r="B194" s="4"/>
      <c r="C194" s="205"/>
      <c r="D194" s="206"/>
      <c r="E194" s="145"/>
      <c r="F194" s="145"/>
      <c r="G194" s="145"/>
      <c r="H194" s="145"/>
      <c r="I194" s="205"/>
      <c r="J194" s="206"/>
      <c r="K194" s="145"/>
      <c r="L194" s="148"/>
      <c r="O194" s="207"/>
    </row>
    <row r="195" spans="2:15" s="147" customFormat="1">
      <c r="B195" s="4"/>
      <c r="C195" s="205"/>
      <c r="D195" s="206"/>
      <c r="E195" s="145"/>
      <c r="F195" s="145"/>
      <c r="G195" s="145"/>
      <c r="H195" s="145"/>
      <c r="I195" s="205"/>
      <c r="J195" s="206"/>
      <c r="K195" s="145"/>
      <c r="L195" s="148"/>
      <c r="O195" s="207"/>
    </row>
    <row r="196" spans="2:15" s="147" customFormat="1">
      <c r="B196" s="4"/>
      <c r="C196" s="205"/>
      <c r="D196" s="206"/>
      <c r="E196" s="145"/>
      <c r="F196" s="145"/>
      <c r="G196" s="145"/>
      <c r="H196" s="145"/>
      <c r="I196" s="205"/>
      <c r="J196" s="206"/>
      <c r="K196" s="145"/>
      <c r="L196" s="148"/>
      <c r="O196" s="207"/>
    </row>
    <row r="197" spans="2:15" s="147" customFormat="1">
      <c r="B197" s="4"/>
      <c r="C197" s="205"/>
      <c r="D197" s="206"/>
      <c r="E197" s="145"/>
      <c r="F197" s="145"/>
      <c r="G197" s="145"/>
      <c r="H197" s="145"/>
      <c r="I197" s="205"/>
      <c r="J197" s="206"/>
      <c r="K197" s="145"/>
      <c r="L197" s="148"/>
      <c r="O197" s="207"/>
    </row>
    <row r="198" spans="2:15" s="147" customFormat="1">
      <c r="B198" s="4"/>
      <c r="C198" s="205"/>
      <c r="D198" s="206"/>
      <c r="E198" s="145"/>
      <c r="F198" s="145"/>
      <c r="G198" s="145"/>
      <c r="H198" s="145"/>
      <c r="I198" s="205"/>
      <c r="J198" s="206"/>
      <c r="K198" s="145"/>
      <c r="L198" s="148"/>
      <c r="O198" s="207"/>
    </row>
    <row r="199" spans="2:15" s="147" customFormat="1">
      <c r="B199" s="4"/>
      <c r="C199" s="205"/>
      <c r="D199" s="206"/>
      <c r="E199" s="145"/>
      <c r="F199" s="145"/>
      <c r="G199" s="145"/>
      <c r="H199" s="145"/>
      <c r="I199" s="205"/>
      <c r="J199" s="206"/>
      <c r="K199" s="145"/>
      <c r="L199" s="148"/>
      <c r="O199" s="207"/>
    </row>
  </sheetData>
  <mergeCells count="8">
    <mergeCell ref="A1:L1"/>
    <mergeCell ref="A2:L2"/>
    <mergeCell ref="I3:L3"/>
    <mergeCell ref="A4:A5"/>
    <mergeCell ref="B4:B5"/>
    <mergeCell ref="C4:E4"/>
    <mergeCell ref="F4:H4"/>
    <mergeCell ref="I4:K4"/>
  </mergeCells>
  <printOptions horizontalCentered="1" verticalCentered="1"/>
  <pageMargins left="0" right="0" top="0" bottom="0" header="0" footer="0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198"/>
  <sheetViews>
    <sheetView showWhiteSpace="0" topLeftCell="C1" zoomScale="80" zoomScaleNormal="80" zoomScaleSheetLayoutView="70" zoomScalePageLayoutView="30" workbookViewId="0">
      <selection activeCell="T10" sqref="T10"/>
    </sheetView>
  </sheetViews>
  <sheetFormatPr defaultRowHeight="15"/>
  <cols>
    <col min="1" max="1" width="12.140625" style="148" customWidth="1"/>
    <col min="2" max="2" width="67.7109375" style="4" customWidth="1"/>
    <col min="3" max="3" width="22.5703125" style="205" customWidth="1"/>
    <col min="4" max="4" width="16.7109375" style="206" customWidth="1"/>
    <col min="5" max="5" width="14.42578125" style="145" customWidth="1"/>
    <col min="6" max="6" width="21" style="145" customWidth="1"/>
    <col min="7" max="7" width="16" style="145" customWidth="1"/>
    <col min="8" max="8" width="14.42578125" style="145" customWidth="1"/>
    <col min="9" max="9" width="21" style="205" customWidth="1"/>
    <col min="10" max="10" width="15.5703125" style="206" customWidth="1"/>
    <col min="11" max="11" width="16.5703125" style="145" customWidth="1"/>
    <col min="12" max="12" width="11.85546875" style="148" customWidth="1"/>
    <col min="13" max="13" width="14.140625" style="147" hidden="1" customWidth="1"/>
    <col min="14" max="14" width="18.5703125" style="147" hidden="1" customWidth="1"/>
    <col min="15" max="15" width="20.140625" style="207" hidden="1" customWidth="1"/>
    <col min="16" max="16" width="19.5703125" style="147" hidden="1" customWidth="1"/>
    <col min="17" max="17" width="7.5703125" style="147" customWidth="1"/>
    <col min="18" max="18" width="21.140625" style="279" customWidth="1"/>
    <col min="19" max="19" width="17.5703125" style="147" customWidth="1"/>
    <col min="20" max="20" width="24.42578125" style="147" customWidth="1"/>
    <col min="21" max="21" width="11.7109375" style="147" customWidth="1"/>
    <col min="22" max="22" width="7.5703125" style="147" customWidth="1"/>
    <col min="23" max="16384" width="9.140625" style="148"/>
  </cols>
  <sheetData>
    <row r="1" spans="1:22" s="5" customFormat="1" ht="24" customHeight="1">
      <c r="A1" s="485" t="s">
        <v>241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7"/>
      <c r="N1" s="7"/>
      <c r="O1" s="208"/>
      <c r="P1" s="7"/>
      <c r="Q1" s="7"/>
      <c r="R1" s="274"/>
      <c r="S1" s="7"/>
      <c r="T1" s="7"/>
      <c r="U1" s="7"/>
      <c r="V1" s="7"/>
    </row>
    <row r="2" spans="1:22" s="5" customFormat="1" ht="23.25" customHeight="1">
      <c r="A2" s="485" t="s">
        <v>251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7"/>
      <c r="N2" s="7"/>
      <c r="O2" s="208"/>
      <c r="P2" s="7"/>
      <c r="Q2" s="7"/>
      <c r="R2" s="274"/>
      <c r="S2" s="7"/>
      <c r="T2" s="7"/>
      <c r="U2" s="7"/>
      <c r="V2" s="7"/>
    </row>
    <row r="3" spans="1:22" s="5" customFormat="1" ht="21" customHeight="1">
      <c r="A3" s="8"/>
      <c r="B3" s="8"/>
      <c r="C3" s="8"/>
      <c r="D3" s="8"/>
      <c r="E3" s="8"/>
      <c r="F3" s="8"/>
      <c r="G3" s="8"/>
      <c r="H3" s="8"/>
      <c r="I3" s="486"/>
      <c r="J3" s="486"/>
      <c r="K3" s="486"/>
      <c r="L3" s="486"/>
      <c r="M3" s="7"/>
      <c r="N3" s="7"/>
      <c r="O3" s="208"/>
      <c r="P3" s="7"/>
      <c r="Q3" s="7"/>
      <c r="R3" s="274"/>
      <c r="S3" s="7"/>
      <c r="T3" s="7"/>
      <c r="U3" s="7"/>
      <c r="V3" s="7"/>
    </row>
    <row r="4" spans="1:22" s="12" customFormat="1" ht="24.75" customHeight="1">
      <c r="A4" s="487" t="s">
        <v>3</v>
      </c>
      <c r="B4" s="487" t="s">
        <v>4</v>
      </c>
      <c r="C4" s="488" t="s">
        <v>248</v>
      </c>
      <c r="D4" s="488"/>
      <c r="E4" s="488"/>
      <c r="F4" s="488" t="s">
        <v>249</v>
      </c>
      <c r="G4" s="488"/>
      <c r="H4" s="488"/>
      <c r="I4" s="488" t="s">
        <v>250</v>
      </c>
      <c r="J4" s="488"/>
      <c r="K4" s="488"/>
      <c r="L4" s="250"/>
      <c r="M4" s="11"/>
      <c r="N4" s="11"/>
      <c r="O4" s="209"/>
      <c r="P4" s="11"/>
      <c r="Q4" s="11"/>
      <c r="R4" s="275"/>
      <c r="S4" s="11"/>
      <c r="T4" s="11"/>
      <c r="U4" s="11"/>
      <c r="V4" s="11"/>
    </row>
    <row r="5" spans="1:22" s="12" customFormat="1" ht="85.5" customHeight="1">
      <c r="A5" s="487"/>
      <c r="B5" s="487"/>
      <c r="C5" s="149" t="s">
        <v>5</v>
      </c>
      <c r="D5" s="150" t="s">
        <v>6</v>
      </c>
      <c r="E5" s="150" t="s">
        <v>7</v>
      </c>
      <c r="F5" s="150" t="s">
        <v>5</v>
      </c>
      <c r="G5" s="150" t="s">
        <v>6</v>
      </c>
      <c r="H5" s="150" t="s">
        <v>7</v>
      </c>
      <c r="I5" s="149" t="s">
        <v>5</v>
      </c>
      <c r="J5" s="150" t="s">
        <v>6</v>
      </c>
      <c r="K5" s="150" t="s">
        <v>7</v>
      </c>
      <c r="L5" s="9" t="s">
        <v>8</v>
      </c>
      <c r="M5" s="11"/>
      <c r="N5" s="11"/>
      <c r="O5" s="209"/>
      <c r="P5" s="11"/>
      <c r="Q5" s="11"/>
      <c r="R5" s="275"/>
      <c r="S5" s="11"/>
      <c r="T5" s="11"/>
      <c r="U5" s="11"/>
      <c r="V5" s="11"/>
    </row>
    <row r="6" spans="1:22" s="152" customFormat="1" ht="24.9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151"/>
      <c r="N6" s="151"/>
      <c r="O6" s="210"/>
      <c r="P6" s="151"/>
      <c r="Q6" s="151"/>
      <c r="R6" s="276"/>
      <c r="S6" s="151"/>
      <c r="T6" s="151"/>
      <c r="U6" s="151"/>
      <c r="V6" s="151"/>
    </row>
    <row r="7" spans="1:22" s="159" customFormat="1" ht="18.75">
      <c r="A7" s="153" t="s">
        <v>9</v>
      </c>
      <c r="B7" s="154" t="s">
        <v>10</v>
      </c>
      <c r="C7" s="211">
        <f>C9+C10</f>
        <v>346400.34869999991</v>
      </c>
      <c r="D7" s="251">
        <f>D9+D10</f>
        <v>110.85221009999999</v>
      </c>
      <c r="E7" s="212">
        <v>288.3</v>
      </c>
      <c r="F7" s="212">
        <f>F9+F10</f>
        <v>294362.68193999998</v>
      </c>
      <c r="G7" s="259">
        <f>G9+G10</f>
        <v>94.23318789999999</v>
      </c>
      <c r="H7" s="212">
        <v>289.96699999999998</v>
      </c>
      <c r="I7" s="211">
        <f>I9+I10</f>
        <v>640763.03064000001</v>
      </c>
      <c r="J7" s="251">
        <f>J9+J10</f>
        <v>102.542749</v>
      </c>
      <c r="K7" s="212">
        <v>289.13299999999998</v>
      </c>
      <c r="L7" s="155"/>
      <c r="M7" s="158">
        <f>(D7+G7)/2</f>
        <v>102.542699</v>
      </c>
      <c r="N7" s="267">
        <f>J7-M7</f>
        <v>5.0000000001659828E-5</v>
      </c>
      <c r="O7" s="268">
        <f>C7+F7</f>
        <v>640763.0306399999</v>
      </c>
      <c r="P7" s="264">
        <f>O7-I7</f>
        <v>0</v>
      </c>
      <c r="Q7" s="158"/>
      <c r="R7" s="277">
        <f>I7/J7</f>
        <v>6248.7405193320883</v>
      </c>
      <c r="S7" s="272">
        <f>S15/R7</f>
        <v>96.979543017538163</v>
      </c>
      <c r="T7" s="158"/>
      <c r="U7" s="158"/>
      <c r="V7" s="158"/>
    </row>
    <row r="8" spans="1:22" s="5" customFormat="1" ht="18.75">
      <c r="A8" s="160"/>
      <c r="B8" s="161" t="s">
        <v>11</v>
      </c>
      <c r="C8" s="214"/>
      <c r="D8" s="253"/>
      <c r="E8" s="215"/>
      <c r="F8" s="215"/>
      <c r="G8" s="260"/>
      <c r="H8" s="215"/>
      <c r="I8" s="214"/>
      <c r="J8" s="253"/>
      <c r="K8" s="215"/>
      <c r="L8" s="162"/>
      <c r="M8" s="158">
        <f t="shared" ref="M8:M71" si="0">(D8+G8)/2</f>
        <v>0</v>
      </c>
      <c r="N8" s="267">
        <f t="shared" ref="N8:N71" si="1">J8-M8</f>
        <v>0</v>
      </c>
      <c r="O8" s="268">
        <f t="shared" ref="O8:O71" si="2">C8+F8</f>
        <v>0</v>
      </c>
      <c r="P8" s="264">
        <f t="shared" ref="P8:P71" si="3">O8-I8</f>
        <v>0</v>
      </c>
      <c r="Q8" s="7"/>
      <c r="R8" s="277"/>
      <c r="S8" s="7"/>
      <c r="T8" s="7"/>
      <c r="U8" s="7"/>
      <c r="V8" s="7"/>
    </row>
    <row r="9" spans="1:22" s="5" customFormat="1" ht="18.75">
      <c r="A9" s="160" t="s">
        <v>12</v>
      </c>
      <c r="B9" s="161" t="s">
        <v>13</v>
      </c>
      <c r="C9" s="214"/>
      <c r="D9" s="253"/>
      <c r="E9" s="215"/>
      <c r="F9" s="215"/>
      <c r="G9" s="260"/>
      <c r="H9" s="215"/>
      <c r="I9" s="214"/>
      <c r="J9" s="253"/>
      <c r="K9" s="215"/>
      <c r="L9" s="162"/>
      <c r="M9" s="158">
        <f t="shared" si="0"/>
        <v>0</v>
      </c>
      <c r="N9" s="267">
        <f t="shared" si="1"/>
        <v>0</v>
      </c>
      <c r="O9" s="268">
        <f t="shared" si="2"/>
        <v>0</v>
      </c>
      <c r="P9" s="264">
        <f t="shared" si="3"/>
        <v>0</v>
      </c>
      <c r="Q9" s="7"/>
      <c r="R9" s="277"/>
      <c r="S9" s="280"/>
      <c r="T9" s="7"/>
      <c r="U9" s="7"/>
      <c r="V9" s="7"/>
    </row>
    <row r="10" spans="1:22" s="5" customFormat="1" ht="18.75">
      <c r="A10" s="160" t="s">
        <v>14</v>
      </c>
      <c r="B10" s="161" t="s">
        <v>15</v>
      </c>
      <c r="C10" s="214">
        <f>C12+C13+C14+C15+C17+C16</f>
        <v>346400.34869999991</v>
      </c>
      <c r="D10" s="253">
        <f>D12+D13+D14+D15+D17+D16</f>
        <v>110.85221009999999</v>
      </c>
      <c r="E10" s="215"/>
      <c r="F10" s="215">
        <f>F12+F13+F14+F15+F17+F16</f>
        <v>294362.68193999998</v>
      </c>
      <c r="G10" s="260">
        <f>G12+G13+G14+G15+G17+G16</f>
        <v>94.23318789999999</v>
      </c>
      <c r="H10" s="215"/>
      <c r="I10" s="214">
        <f>I12+I13+I14+I15+I17+I16</f>
        <v>640763.03064000001</v>
      </c>
      <c r="J10" s="253">
        <f>J12+J13+J14+J15+J17+J16</f>
        <v>102.542749</v>
      </c>
      <c r="K10" s="215"/>
      <c r="L10" s="162"/>
      <c r="M10" s="158">
        <f t="shared" si="0"/>
        <v>102.542699</v>
      </c>
      <c r="N10" s="267">
        <f t="shared" si="1"/>
        <v>5.0000000001659828E-5</v>
      </c>
      <c r="O10" s="268">
        <f t="shared" si="2"/>
        <v>640763.0306399999</v>
      </c>
      <c r="P10" s="264">
        <f t="shared" si="3"/>
        <v>0</v>
      </c>
      <c r="Q10" s="7"/>
      <c r="R10" s="277"/>
      <c r="S10" s="7"/>
      <c r="T10" s="7"/>
      <c r="U10" s="7"/>
      <c r="V10" s="7"/>
    </row>
    <row r="11" spans="1:22" s="5" customFormat="1" ht="18.75">
      <c r="A11" s="160"/>
      <c r="B11" s="161" t="s">
        <v>11</v>
      </c>
      <c r="C11" s="214"/>
      <c r="D11" s="253"/>
      <c r="E11" s="215"/>
      <c r="F11" s="215"/>
      <c r="G11" s="260"/>
      <c r="H11" s="215"/>
      <c r="I11" s="214"/>
      <c r="J11" s="253"/>
      <c r="K11" s="215"/>
      <c r="L11" s="162"/>
      <c r="M11" s="158">
        <f t="shared" si="0"/>
        <v>0</v>
      </c>
      <c r="N11" s="267">
        <f t="shared" si="1"/>
        <v>0</v>
      </c>
      <c r="O11" s="268">
        <f t="shared" si="2"/>
        <v>0</v>
      </c>
      <c r="P11" s="264">
        <f t="shared" si="3"/>
        <v>0</v>
      </c>
      <c r="Q11" s="7"/>
      <c r="R11" s="277"/>
      <c r="S11" s="7"/>
      <c r="T11" s="7"/>
      <c r="U11" s="7"/>
      <c r="V11" s="7"/>
    </row>
    <row r="12" spans="1:22" s="5" customFormat="1" ht="18.75">
      <c r="A12" s="160" t="s">
        <v>16</v>
      </c>
      <c r="B12" s="161" t="s">
        <v>243</v>
      </c>
      <c r="C12" s="211">
        <f>C107</f>
        <v>22276.35</v>
      </c>
      <c r="D12" s="251">
        <f>D107</f>
        <v>7.6794000000000002</v>
      </c>
      <c r="E12" s="212"/>
      <c r="F12" s="212">
        <f>F107</f>
        <v>16937.79</v>
      </c>
      <c r="G12" s="259">
        <f>G107</f>
        <v>6.4005999999999998</v>
      </c>
      <c r="H12" s="212"/>
      <c r="I12" s="211">
        <f>I107</f>
        <v>39214.14</v>
      </c>
      <c r="J12" s="251">
        <f>J107</f>
        <v>7.04</v>
      </c>
      <c r="K12" s="215"/>
      <c r="L12" s="162"/>
      <c r="M12" s="158">
        <f t="shared" si="0"/>
        <v>7.04</v>
      </c>
      <c r="N12" s="267">
        <f t="shared" si="1"/>
        <v>0</v>
      </c>
      <c r="O12" s="268">
        <f t="shared" si="2"/>
        <v>39214.14</v>
      </c>
      <c r="P12" s="264">
        <f t="shared" si="3"/>
        <v>0</v>
      </c>
      <c r="Q12" s="7"/>
      <c r="R12" s="277"/>
      <c r="S12" s="7"/>
      <c r="T12" s="7"/>
      <c r="U12" s="7"/>
      <c r="V12" s="7"/>
    </row>
    <row r="13" spans="1:22" s="5" customFormat="1" ht="18.75">
      <c r="A13" s="160" t="s">
        <v>18</v>
      </c>
      <c r="B13" s="161" t="s">
        <v>17</v>
      </c>
      <c r="C13" s="214">
        <f>C108+C135</f>
        <v>302966.39869999996</v>
      </c>
      <c r="D13" s="253">
        <f>D108+D135</f>
        <v>97.030410099999983</v>
      </c>
      <c r="E13" s="215"/>
      <c r="F13" s="215">
        <f>F108+F135</f>
        <v>255435.19193999999</v>
      </c>
      <c r="G13" s="260">
        <f>G108+G135</f>
        <v>81.078787899999995</v>
      </c>
      <c r="H13" s="215"/>
      <c r="I13" s="214">
        <f>I108+I135</f>
        <v>558401.59063999995</v>
      </c>
      <c r="J13" s="253">
        <f>J108+J135</f>
        <v>89.054598999999996</v>
      </c>
      <c r="K13" s="215"/>
      <c r="L13" s="162"/>
      <c r="M13" s="158">
        <f t="shared" si="0"/>
        <v>89.054598999999996</v>
      </c>
      <c r="N13" s="267">
        <f t="shared" si="1"/>
        <v>0</v>
      </c>
      <c r="O13" s="268">
        <f t="shared" si="2"/>
        <v>558401.59063999995</v>
      </c>
      <c r="P13" s="264">
        <f t="shared" si="3"/>
        <v>0</v>
      </c>
      <c r="Q13" s="7"/>
      <c r="R13" s="277"/>
      <c r="S13" s="7"/>
      <c r="T13" s="7"/>
      <c r="U13" s="7"/>
      <c r="V13" s="7"/>
    </row>
    <row r="14" spans="1:22" s="5" customFormat="1" ht="18.75">
      <c r="A14" s="160" t="s">
        <v>20</v>
      </c>
      <c r="B14" s="161" t="s">
        <v>19</v>
      </c>
      <c r="C14" s="214">
        <f>C109</f>
        <v>0</v>
      </c>
      <c r="D14" s="253">
        <f>D109</f>
        <v>0</v>
      </c>
      <c r="E14" s="214"/>
      <c r="F14" s="214">
        <f t="shared" ref="F14:F78" si="4">I14-C14</f>
        <v>0</v>
      </c>
      <c r="G14" s="253">
        <f>G109</f>
        <v>0</v>
      </c>
      <c r="H14" s="214"/>
      <c r="I14" s="214">
        <f>I109</f>
        <v>0</v>
      </c>
      <c r="J14" s="253"/>
      <c r="K14" s="214"/>
      <c r="L14" s="162"/>
      <c r="M14" s="158">
        <f t="shared" si="0"/>
        <v>0</v>
      </c>
      <c r="N14" s="267">
        <f t="shared" si="1"/>
        <v>0</v>
      </c>
      <c r="O14" s="268">
        <f t="shared" si="2"/>
        <v>0</v>
      </c>
      <c r="P14" s="264">
        <f t="shared" si="3"/>
        <v>0</v>
      </c>
      <c r="Q14" s="7"/>
      <c r="R14" s="277"/>
      <c r="S14" s="7"/>
      <c r="T14" s="7"/>
      <c r="U14" s="7"/>
      <c r="V14" s="7"/>
    </row>
    <row r="15" spans="1:22" s="5" customFormat="1" ht="18.75">
      <c r="A15" s="160" t="s">
        <v>21</v>
      </c>
      <c r="B15" s="161" t="s">
        <v>172</v>
      </c>
      <c r="C15" s="214">
        <f>C110+C136</f>
        <v>1701</v>
      </c>
      <c r="D15" s="253">
        <f>D110+D136</f>
        <v>0.51839999999999997</v>
      </c>
      <c r="E15" s="214"/>
      <c r="F15" s="214">
        <f>F110+F136</f>
        <v>1449</v>
      </c>
      <c r="G15" s="253">
        <f>G110+G136</f>
        <v>0.44159999999999999</v>
      </c>
      <c r="H15" s="214"/>
      <c r="I15" s="214">
        <f>I110+I136</f>
        <v>3150</v>
      </c>
      <c r="J15" s="253">
        <f>J110+J136</f>
        <v>0.48</v>
      </c>
      <c r="K15" s="214"/>
      <c r="L15" s="162"/>
      <c r="M15" s="158">
        <f t="shared" si="0"/>
        <v>0.48</v>
      </c>
      <c r="N15" s="267">
        <f t="shared" si="1"/>
        <v>0</v>
      </c>
      <c r="O15" s="268">
        <f t="shared" si="2"/>
        <v>3150</v>
      </c>
      <c r="P15" s="264">
        <f t="shared" si="3"/>
        <v>0</v>
      </c>
      <c r="Q15" s="7"/>
      <c r="R15" s="277"/>
      <c r="S15" s="7">
        <v>606000</v>
      </c>
      <c r="T15" s="7"/>
      <c r="U15" s="7"/>
      <c r="V15" s="7"/>
    </row>
    <row r="16" spans="1:22" s="5" customFormat="1" ht="18.75">
      <c r="A16" s="160" t="s">
        <v>22</v>
      </c>
      <c r="B16" s="161" t="s">
        <v>247</v>
      </c>
      <c r="C16" s="214">
        <f>C137</f>
        <v>156.6</v>
      </c>
      <c r="D16" s="253">
        <f>D137</f>
        <v>4.3400000000000001E-2</v>
      </c>
      <c r="E16" s="214"/>
      <c r="F16" s="214">
        <f>F137</f>
        <v>133.4</v>
      </c>
      <c r="G16" s="253">
        <f>G137</f>
        <v>5.3100000000000001E-2</v>
      </c>
      <c r="H16" s="214"/>
      <c r="I16" s="214">
        <f>I137</f>
        <v>290</v>
      </c>
      <c r="J16" s="253">
        <f>J137</f>
        <v>4.8250000000000001E-2</v>
      </c>
      <c r="K16" s="214"/>
      <c r="L16" s="162"/>
      <c r="M16" s="158">
        <f t="shared" si="0"/>
        <v>4.8250000000000001E-2</v>
      </c>
      <c r="N16" s="267">
        <f t="shared" si="1"/>
        <v>0</v>
      </c>
      <c r="O16" s="268">
        <f t="shared" si="2"/>
        <v>290</v>
      </c>
      <c r="P16" s="264">
        <f t="shared" si="3"/>
        <v>0</v>
      </c>
      <c r="Q16" s="7"/>
      <c r="R16" s="277"/>
      <c r="S16" s="7"/>
      <c r="T16" s="7"/>
      <c r="U16" s="7"/>
      <c r="V16" s="7"/>
    </row>
    <row r="17" spans="1:22" s="5" customFormat="1" ht="18.75">
      <c r="A17" s="160" t="s">
        <v>242</v>
      </c>
      <c r="B17" s="161" t="s">
        <v>23</v>
      </c>
      <c r="C17" s="214">
        <f>C112</f>
        <v>19300</v>
      </c>
      <c r="D17" s="253">
        <f>D112</f>
        <v>5.5805999999999996</v>
      </c>
      <c r="E17" s="214"/>
      <c r="F17" s="214">
        <f>F112</f>
        <v>20407.300000000003</v>
      </c>
      <c r="G17" s="253">
        <f>G112</f>
        <v>6.2591000000000001</v>
      </c>
      <c r="H17" s="214"/>
      <c r="I17" s="214">
        <f>I112</f>
        <v>39707.300000000003</v>
      </c>
      <c r="J17" s="253">
        <f>J112</f>
        <v>5.9199000000000002</v>
      </c>
      <c r="K17" s="214"/>
      <c r="L17" s="162"/>
      <c r="M17" s="158">
        <f t="shared" si="0"/>
        <v>5.9198500000000003</v>
      </c>
      <c r="N17" s="267">
        <f t="shared" si="1"/>
        <v>4.9999999999883471E-5</v>
      </c>
      <c r="O17" s="268">
        <f t="shared" si="2"/>
        <v>39707.300000000003</v>
      </c>
      <c r="P17" s="264">
        <f t="shared" si="3"/>
        <v>0</v>
      </c>
      <c r="Q17" s="7"/>
      <c r="R17" s="277"/>
      <c r="S17" s="263"/>
      <c r="T17" s="7"/>
      <c r="U17" s="263"/>
      <c r="V17" s="7"/>
    </row>
    <row r="18" spans="1:22" s="159" customFormat="1" ht="18.75">
      <c r="A18" s="153" t="s">
        <v>24</v>
      </c>
      <c r="B18" s="154" t="s">
        <v>25</v>
      </c>
      <c r="C18" s="211">
        <f>C113+C139</f>
        <v>61275.993000000002</v>
      </c>
      <c r="D18" s="251">
        <f>D113+D139</f>
        <v>19.61782578</v>
      </c>
      <c r="E18" s="217"/>
      <c r="F18" s="261">
        <f>F113+F139</f>
        <v>49640.063000000009</v>
      </c>
      <c r="G18" s="252">
        <f>G113+G139</f>
        <v>15.87725622</v>
      </c>
      <c r="H18" s="217"/>
      <c r="I18" s="211">
        <f>I113+I139</f>
        <v>110916.05600000001</v>
      </c>
      <c r="J18" s="251">
        <f>J113+J139</f>
        <v>17.747540999999998</v>
      </c>
      <c r="K18" s="217"/>
      <c r="L18" s="155"/>
      <c r="M18" s="158">
        <f t="shared" si="0"/>
        <v>17.747540999999998</v>
      </c>
      <c r="N18" s="267">
        <f t="shared" si="1"/>
        <v>0</v>
      </c>
      <c r="O18" s="268">
        <f t="shared" si="2"/>
        <v>110916.05600000001</v>
      </c>
      <c r="P18" s="264">
        <f t="shared" si="3"/>
        <v>0</v>
      </c>
      <c r="Q18" s="158"/>
      <c r="R18" s="284">
        <f>I18/I7</f>
        <v>0.17309996160236654</v>
      </c>
      <c r="S18" s="285">
        <v>0.1542</v>
      </c>
      <c r="T18" s="265">
        <f>S15*S18</f>
        <v>93445.2</v>
      </c>
      <c r="U18" s="158"/>
      <c r="V18" s="158"/>
    </row>
    <row r="19" spans="1:22" s="159" customFormat="1" ht="37.5">
      <c r="A19" s="167" t="s">
        <v>26</v>
      </c>
      <c r="B19" s="154" t="s">
        <v>27</v>
      </c>
      <c r="C19" s="211">
        <f>C21+C22</f>
        <v>285124.35570000007</v>
      </c>
      <c r="D19" s="251">
        <f>D21+D22</f>
        <v>91.234384320000004</v>
      </c>
      <c r="E19" s="218"/>
      <c r="F19" s="211">
        <f>F21+F22</f>
        <v>244722.61893999996</v>
      </c>
      <c r="G19" s="252">
        <f>G21+G22</f>
        <v>78.355960020000012</v>
      </c>
      <c r="H19" s="218"/>
      <c r="I19" s="211">
        <f>I21+I22</f>
        <v>529846.97464000003</v>
      </c>
      <c r="J19" s="251">
        <f>J21+J22</f>
        <v>84.795172170000001</v>
      </c>
      <c r="K19" s="218"/>
      <c r="L19" s="155"/>
      <c r="M19" s="158">
        <f t="shared" si="0"/>
        <v>84.795172170000001</v>
      </c>
      <c r="N19" s="267">
        <f t="shared" si="1"/>
        <v>0</v>
      </c>
      <c r="O19" s="268">
        <f t="shared" si="2"/>
        <v>529846.97464000003</v>
      </c>
      <c r="P19" s="264">
        <f t="shared" si="3"/>
        <v>0</v>
      </c>
      <c r="Q19" s="158"/>
      <c r="R19" s="277"/>
      <c r="S19" s="158"/>
      <c r="T19" s="157"/>
      <c r="U19" s="158"/>
      <c r="V19" s="158"/>
    </row>
    <row r="20" spans="1:22" s="5" customFormat="1" ht="18.75">
      <c r="A20" s="160"/>
      <c r="B20" s="161" t="s">
        <v>28</v>
      </c>
      <c r="C20" s="211"/>
      <c r="D20" s="251"/>
      <c r="E20" s="219"/>
      <c r="F20" s="214">
        <f t="shared" si="4"/>
        <v>0</v>
      </c>
      <c r="G20" s="253"/>
      <c r="H20" s="219"/>
      <c r="I20" s="211"/>
      <c r="J20" s="251"/>
      <c r="K20" s="219"/>
      <c r="L20" s="162"/>
      <c r="M20" s="158">
        <f t="shared" si="0"/>
        <v>0</v>
      </c>
      <c r="N20" s="267">
        <f t="shared" si="1"/>
        <v>0</v>
      </c>
      <c r="O20" s="268">
        <f t="shared" si="2"/>
        <v>0</v>
      </c>
      <c r="P20" s="264">
        <f t="shared" si="3"/>
        <v>0</v>
      </c>
      <c r="Q20" s="7"/>
      <c r="R20" s="273"/>
      <c r="S20" s="7"/>
      <c r="T20" s="7"/>
      <c r="U20" s="7"/>
      <c r="V20" s="7"/>
    </row>
    <row r="21" spans="1:22" s="5" customFormat="1" ht="18.75">
      <c r="A21" s="160" t="s">
        <v>29</v>
      </c>
      <c r="B21" s="161" t="s">
        <v>30</v>
      </c>
      <c r="C21" s="214">
        <f>C116+C142</f>
        <v>274704.35570000007</v>
      </c>
      <c r="D21" s="253">
        <f>D116+D142</f>
        <v>87.509384320000009</v>
      </c>
      <c r="E21" s="219"/>
      <c r="F21" s="214">
        <f>F116+F142</f>
        <v>235142.61893999996</v>
      </c>
      <c r="G21" s="253">
        <f>G116+G142</f>
        <v>75.391960020000013</v>
      </c>
      <c r="H21" s="219"/>
      <c r="I21" s="214">
        <f>I116+I142</f>
        <v>509846.97464000003</v>
      </c>
      <c r="J21" s="253">
        <f>J116+J142</f>
        <v>81.450672170000004</v>
      </c>
      <c r="K21" s="219"/>
      <c r="L21" s="162"/>
      <c r="M21" s="158">
        <f t="shared" si="0"/>
        <v>81.450672170000018</v>
      </c>
      <c r="N21" s="267">
        <f t="shared" si="1"/>
        <v>0</v>
      </c>
      <c r="O21" s="268">
        <f t="shared" si="2"/>
        <v>509846.97464000003</v>
      </c>
      <c r="P21" s="264">
        <f t="shared" si="3"/>
        <v>0</v>
      </c>
      <c r="Q21" s="7"/>
      <c r="R21" s="277"/>
      <c r="S21" s="7"/>
      <c r="T21" s="7"/>
      <c r="U21" s="7"/>
      <c r="V21" s="7"/>
    </row>
    <row r="22" spans="1:22" s="5" customFormat="1" ht="18.75">
      <c r="A22" s="160" t="s">
        <v>31</v>
      </c>
      <c r="B22" s="161" t="s">
        <v>32</v>
      </c>
      <c r="C22" s="214">
        <f>C28+C26</f>
        <v>10420</v>
      </c>
      <c r="D22" s="253">
        <f>D28+D26</f>
        <v>3.7250000000000001</v>
      </c>
      <c r="E22" s="220"/>
      <c r="F22" s="215">
        <f>F28+F26</f>
        <v>9580</v>
      </c>
      <c r="G22" s="260">
        <f>G28+G26</f>
        <v>2.9639999999999995</v>
      </c>
      <c r="H22" s="220"/>
      <c r="I22" s="214">
        <f>I28+I26</f>
        <v>20000</v>
      </c>
      <c r="J22" s="253">
        <f>J28+J26</f>
        <v>3.3445</v>
      </c>
      <c r="K22" s="220"/>
      <c r="L22" s="162"/>
      <c r="M22" s="158">
        <f t="shared" si="0"/>
        <v>3.3445</v>
      </c>
      <c r="N22" s="267">
        <f t="shared" si="1"/>
        <v>0</v>
      </c>
      <c r="O22" s="268">
        <f t="shared" si="2"/>
        <v>20000</v>
      </c>
      <c r="P22" s="264">
        <f t="shared" si="3"/>
        <v>0</v>
      </c>
      <c r="Q22" s="7"/>
      <c r="R22" s="277"/>
      <c r="S22" s="7"/>
      <c r="T22" s="7"/>
      <c r="U22" s="7"/>
      <c r="V22" s="7"/>
    </row>
    <row r="23" spans="1:22" s="5" customFormat="1" ht="18.75">
      <c r="A23" s="160"/>
      <c r="B23" s="161" t="s">
        <v>28</v>
      </c>
      <c r="C23" s="214"/>
      <c r="D23" s="253"/>
      <c r="E23" s="219"/>
      <c r="F23" s="214"/>
      <c r="G23" s="253"/>
      <c r="H23" s="219"/>
      <c r="I23" s="214"/>
      <c r="J23" s="253"/>
      <c r="K23" s="219"/>
      <c r="L23" s="162"/>
      <c r="M23" s="158">
        <f t="shared" si="0"/>
        <v>0</v>
      </c>
      <c r="N23" s="267">
        <f t="shared" si="1"/>
        <v>0</v>
      </c>
      <c r="O23" s="268">
        <f t="shared" si="2"/>
        <v>0</v>
      </c>
      <c r="P23" s="264">
        <f t="shared" si="3"/>
        <v>0</v>
      </c>
      <c r="Q23" s="7"/>
      <c r="R23" s="277"/>
      <c r="S23" s="7"/>
      <c r="T23" s="7"/>
      <c r="U23" s="7"/>
      <c r="V23" s="7"/>
    </row>
    <row r="24" spans="1:22" s="5" customFormat="1" ht="18.75">
      <c r="A24" s="160" t="s">
        <v>33</v>
      </c>
      <c r="B24" s="161" t="s">
        <v>17</v>
      </c>
      <c r="C24" s="214"/>
      <c r="D24" s="253"/>
      <c r="E24" s="219"/>
      <c r="F24" s="214"/>
      <c r="G24" s="253"/>
      <c r="H24" s="219"/>
      <c r="I24" s="214"/>
      <c r="J24" s="253"/>
      <c r="K24" s="219"/>
      <c r="L24" s="162"/>
      <c r="M24" s="158">
        <f t="shared" si="0"/>
        <v>0</v>
      </c>
      <c r="N24" s="267">
        <f t="shared" si="1"/>
        <v>0</v>
      </c>
      <c r="O24" s="268">
        <f t="shared" si="2"/>
        <v>0</v>
      </c>
      <c r="P24" s="264">
        <f t="shared" si="3"/>
        <v>0</v>
      </c>
      <c r="Q24" s="7"/>
      <c r="R24" s="277"/>
      <c r="S24" s="7"/>
      <c r="T24" s="7"/>
      <c r="U24" s="7"/>
      <c r="V24" s="7"/>
    </row>
    <row r="25" spans="1:22" s="5" customFormat="1" ht="18.75">
      <c r="A25" s="171" t="s">
        <v>34</v>
      </c>
      <c r="B25" s="172" t="s">
        <v>35</v>
      </c>
      <c r="C25" s="214">
        <f>C24-C13</f>
        <v>-302966.39869999996</v>
      </c>
      <c r="D25" s="253">
        <f>D24-D13</f>
        <v>-97.030410099999983</v>
      </c>
      <c r="E25" s="219"/>
      <c r="F25" s="214">
        <f>F24-F13</f>
        <v>-255435.19193999999</v>
      </c>
      <c r="G25" s="253">
        <f>G24-G13</f>
        <v>-81.078787899999995</v>
      </c>
      <c r="H25" s="219"/>
      <c r="I25" s="214">
        <f>I24-I13</f>
        <v>-558401.59063999995</v>
      </c>
      <c r="J25" s="253">
        <f>J24-J13</f>
        <v>-89.054598999999996</v>
      </c>
      <c r="K25" s="219"/>
      <c r="L25" s="162"/>
      <c r="M25" s="158">
        <f t="shared" si="0"/>
        <v>-89.054598999999996</v>
      </c>
      <c r="N25" s="267">
        <f t="shared" si="1"/>
        <v>0</v>
      </c>
      <c r="O25" s="268">
        <f t="shared" si="2"/>
        <v>-558401.59063999995</v>
      </c>
      <c r="P25" s="264">
        <f t="shared" si="3"/>
        <v>0</v>
      </c>
      <c r="Q25" s="7"/>
      <c r="R25" s="277"/>
      <c r="S25" s="7"/>
      <c r="T25" s="7"/>
      <c r="U25" s="7"/>
      <c r="V25" s="7"/>
    </row>
    <row r="26" spans="1:22" s="5" customFormat="1" ht="18.75">
      <c r="A26" s="160" t="s">
        <v>36</v>
      </c>
      <c r="B26" s="161" t="s">
        <v>37</v>
      </c>
      <c r="C26" s="214"/>
      <c r="D26" s="253"/>
      <c r="E26" s="219"/>
      <c r="F26" s="214"/>
      <c r="G26" s="253"/>
      <c r="H26" s="219"/>
      <c r="I26" s="214"/>
      <c r="J26" s="253"/>
      <c r="K26" s="219"/>
      <c r="L26" s="162"/>
      <c r="M26" s="158">
        <f t="shared" si="0"/>
        <v>0</v>
      </c>
      <c r="N26" s="267">
        <f t="shared" si="1"/>
        <v>0</v>
      </c>
      <c r="O26" s="268">
        <f t="shared" si="2"/>
        <v>0</v>
      </c>
      <c r="P26" s="264">
        <f t="shared" si="3"/>
        <v>0</v>
      </c>
      <c r="Q26" s="7"/>
      <c r="R26" s="277"/>
      <c r="S26" s="7"/>
      <c r="T26" s="7"/>
      <c r="U26" s="7"/>
      <c r="V26" s="7"/>
    </row>
    <row r="27" spans="1:22" s="5" customFormat="1" ht="18.75">
      <c r="A27" s="171" t="s">
        <v>38</v>
      </c>
      <c r="B27" s="172" t="s">
        <v>39</v>
      </c>
      <c r="C27" s="214">
        <f>C26-C14</f>
        <v>0</v>
      </c>
      <c r="D27" s="253">
        <f>D26-D14</f>
        <v>0</v>
      </c>
      <c r="E27" s="219"/>
      <c r="F27" s="214">
        <f t="shared" si="4"/>
        <v>0</v>
      </c>
      <c r="G27" s="253">
        <f>G26-G14</f>
        <v>0</v>
      </c>
      <c r="H27" s="219"/>
      <c r="I27" s="214">
        <f>I26-I14</f>
        <v>0</v>
      </c>
      <c r="J27" s="253">
        <f>J26-J14</f>
        <v>0</v>
      </c>
      <c r="K27" s="219"/>
      <c r="L27" s="162"/>
      <c r="M27" s="158">
        <f t="shared" si="0"/>
        <v>0</v>
      </c>
      <c r="N27" s="267">
        <f t="shared" si="1"/>
        <v>0</v>
      </c>
      <c r="O27" s="268">
        <f t="shared" si="2"/>
        <v>0</v>
      </c>
      <c r="P27" s="264">
        <f t="shared" si="3"/>
        <v>0</v>
      </c>
      <c r="Q27" s="7"/>
      <c r="R27" s="277"/>
      <c r="S27" s="7"/>
      <c r="T27" s="7"/>
      <c r="U27" s="7"/>
      <c r="V27" s="7"/>
    </row>
    <row r="28" spans="1:22" s="5" customFormat="1" ht="18.75">
      <c r="A28" s="160" t="s">
        <v>40</v>
      </c>
      <c r="B28" s="161" t="s">
        <v>172</v>
      </c>
      <c r="C28" s="214">
        <f>C117+C143</f>
        <v>10420</v>
      </c>
      <c r="D28" s="253">
        <f>D117+D143</f>
        <v>3.7250000000000001</v>
      </c>
      <c r="E28" s="219"/>
      <c r="F28" s="214">
        <f>F117+F143</f>
        <v>9580</v>
      </c>
      <c r="G28" s="253">
        <f>G117+G143</f>
        <v>2.9639999999999995</v>
      </c>
      <c r="H28" s="219"/>
      <c r="I28" s="214">
        <f>I117+I143</f>
        <v>20000</v>
      </c>
      <c r="J28" s="253">
        <f>J117+J143</f>
        <v>3.3445</v>
      </c>
      <c r="K28" s="219"/>
      <c r="L28" s="162"/>
      <c r="M28" s="158">
        <f t="shared" si="0"/>
        <v>3.3445</v>
      </c>
      <c r="N28" s="267">
        <f t="shared" si="1"/>
        <v>0</v>
      </c>
      <c r="O28" s="268">
        <f t="shared" si="2"/>
        <v>20000</v>
      </c>
      <c r="P28" s="264">
        <f t="shared" si="3"/>
        <v>0</v>
      </c>
      <c r="Q28" s="7"/>
      <c r="R28" s="277"/>
      <c r="S28" s="7"/>
      <c r="T28" s="7"/>
      <c r="U28" s="7"/>
      <c r="V28" s="7"/>
    </row>
    <row r="29" spans="1:22" s="5" customFormat="1" ht="18.75">
      <c r="A29" s="171" t="s">
        <v>41</v>
      </c>
      <c r="B29" s="172" t="s">
        <v>42</v>
      </c>
      <c r="C29" s="214">
        <f>C28-C15</f>
        <v>8719</v>
      </c>
      <c r="D29" s="253">
        <f>D28-D15</f>
        <v>3.2065999999999999</v>
      </c>
      <c r="E29" s="219"/>
      <c r="F29" s="214">
        <f>F28-F15</f>
        <v>8131</v>
      </c>
      <c r="G29" s="253">
        <f>G28-G15</f>
        <v>2.5223999999999993</v>
      </c>
      <c r="H29" s="219"/>
      <c r="I29" s="214">
        <f>I28-I15</f>
        <v>16850</v>
      </c>
      <c r="J29" s="253">
        <f>J28-J15</f>
        <v>2.8645</v>
      </c>
      <c r="K29" s="219"/>
      <c r="L29" s="162"/>
      <c r="M29" s="158">
        <f t="shared" si="0"/>
        <v>2.8644999999999996</v>
      </c>
      <c r="N29" s="267">
        <f t="shared" si="1"/>
        <v>0</v>
      </c>
      <c r="O29" s="268">
        <f t="shared" si="2"/>
        <v>16850</v>
      </c>
      <c r="P29" s="264">
        <f t="shared" si="3"/>
        <v>0</v>
      </c>
      <c r="Q29" s="7"/>
      <c r="R29" s="277"/>
      <c r="S29" s="7"/>
      <c r="T29" s="7"/>
      <c r="U29" s="7"/>
      <c r="V29" s="7"/>
    </row>
    <row r="30" spans="1:22" s="5" customFormat="1" ht="18.75">
      <c r="A30" s="171" t="s">
        <v>43</v>
      </c>
      <c r="B30" s="161" t="s">
        <v>23</v>
      </c>
      <c r="C30" s="214"/>
      <c r="D30" s="253"/>
      <c r="E30" s="219"/>
      <c r="F30" s="214">
        <f t="shared" si="4"/>
        <v>0</v>
      </c>
      <c r="G30" s="253"/>
      <c r="H30" s="219"/>
      <c r="I30" s="214"/>
      <c r="J30" s="253"/>
      <c r="K30" s="219"/>
      <c r="L30" s="162"/>
      <c r="M30" s="158">
        <f t="shared" si="0"/>
        <v>0</v>
      </c>
      <c r="N30" s="267">
        <f t="shared" si="1"/>
        <v>0</v>
      </c>
      <c r="O30" s="268">
        <f t="shared" si="2"/>
        <v>0</v>
      </c>
      <c r="P30" s="264">
        <f t="shared" si="3"/>
        <v>0</v>
      </c>
      <c r="Q30" s="7"/>
      <c r="R30" s="277"/>
      <c r="S30" s="7"/>
      <c r="T30" s="7"/>
      <c r="U30" s="7"/>
      <c r="V30" s="7"/>
    </row>
    <row r="31" spans="1:22" s="5" customFormat="1" ht="18.75">
      <c r="A31" s="171" t="s">
        <v>44</v>
      </c>
      <c r="B31" s="172" t="s">
        <v>235</v>
      </c>
      <c r="C31" s="214">
        <f>C30-C17</f>
        <v>-19300</v>
      </c>
      <c r="D31" s="253">
        <f>D30-D17</f>
        <v>-5.5805999999999996</v>
      </c>
      <c r="E31" s="219"/>
      <c r="F31" s="214">
        <f t="shared" si="4"/>
        <v>-20407.300000000003</v>
      </c>
      <c r="G31" s="253">
        <f>G30-G17</f>
        <v>-6.2591000000000001</v>
      </c>
      <c r="H31" s="219"/>
      <c r="I31" s="214">
        <f>I30-I17</f>
        <v>-39707.300000000003</v>
      </c>
      <c r="J31" s="253">
        <f>J30-J17</f>
        <v>-5.9199000000000002</v>
      </c>
      <c r="K31" s="219"/>
      <c r="L31" s="162"/>
      <c r="M31" s="158">
        <f t="shared" si="0"/>
        <v>-5.9198500000000003</v>
      </c>
      <c r="N31" s="267">
        <f t="shared" si="1"/>
        <v>-4.9999999999883471E-5</v>
      </c>
      <c r="O31" s="268">
        <f t="shared" si="2"/>
        <v>-39707.300000000003</v>
      </c>
      <c r="P31" s="264">
        <f t="shared" si="3"/>
        <v>0</v>
      </c>
      <c r="Q31" s="7"/>
      <c r="R31" s="277"/>
      <c r="S31" s="7"/>
      <c r="T31" s="7"/>
      <c r="U31" s="7"/>
      <c r="V31" s="7"/>
    </row>
    <row r="32" spans="1:22" s="5" customFormat="1" ht="18.75">
      <c r="A32" s="171"/>
      <c r="B32" s="172" t="s">
        <v>45</v>
      </c>
      <c r="C32" s="214"/>
      <c r="D32" s="253"/>
      <c r="E32" s="219"/>
      <c r="F32" s="214"/>
      <c r="G32" s="253"/>
      <c r="H32" s="219"/>
      <c r="I32" s="214"/>
      <c r="J32" s="253"/>
      <c r="K32" s="219"/>
      <c r="L32" s="162"/>
      <c r="M32" s="158">
        <f t="shared" si="0"/>
        <v>0</v>
      </c>
      <c r="N32" s="267">
        <f t="shared" si="1"/>
        <v>0</v>
      </c>
      <c r="O32" s="268">
        <f t="shared" si="2"/>
        <v>0</v>
      </c>
      <c r="P32" s="264">
        <f t="shared" si="3"/>
        <v>0</v>
      </c>
      <c r="Q32" s="7"/>
      <c r="R32" s="277"/>
      <c r="S32" s="7"/>
      <c r="T32" s="7"/>
      <c r="U32" s="7"/>
      <c r="V32" s="7"/>
    </row>
    <row r="33" spans="1:22" s="159" customFormat="1" ht="18.75" hidden="1">
      <c r="A33" s="153" t="s">
        <v>46</v>
      </c>
      <c r="B33" s="154" t="s">
        <v>47</v>
      </c>
      <c r="C33" s="214"/>
      <c r="D33" s="253"/>
      <c r="E33" s="218"/>
      <c r="F33" s="211">
        <f t="shared" si="4"/>
        <v>0</v>
      </c>
      <c r="G33" s="251"/>
      <c r="H33" s="218"/>
      <c r="I33" s="214"/>
      <c r="J33" s="253"/>
      <c r="K33" s="218"/>
      <c r="L33" s="155"/>
      <c r="M33" s="158">
        <f t="shared" si="0"/>
        <v>0</v>
      </c>
      <c r="N33" s="267">
        <f t="shared" si="1"/>
        <v>0</v>
      </c>
      <c r="O33" s="268">
        <f t="shared" si="2"/>
        <v>0</v>
      </c>
      <c r="P33" s="264">
        <f t="shared" si="3"/>
        <v>0</v>
      </c>
      <c r="Q33" s="158"/>
      <c r="R33" s="277"/>
      <c r="S33" s="158"/>
      <c r="T33" s="158"/>
      <c r="U33" s="158"/>
      <c r="V33" s="158"/>
    </row>
    <row r="34" spans="1:22" s="5" customFormat="1" ht="18.75" hidden="1">
      <c r="A34" s="160"/>
      <c r="B34" s="161" t="s">
        <v>11</v>
      </c>
      <c r="C34" s="214"/>
      <c r="D34" s="253"/>
      <c r="E34" s="219"/>
      <c r="F34" s="214">
        <f t="shared" si="4"/>
        <v>0</v>
      </c>
      <c r="G34" s="253"/>
      <c r="H34" s="219"/>
      <c r="I34" s="214"/>
      <c r="J34" s="253"/>
      <c r="K34" s="219"/>
      <c r="L34" s="162"/>
      <c r="M34" s="158">
        <f t="shared" si="0"/>
        <v>0</v>
      </c>
      <c r="N34" s="267">
        <f t="shared" si="1"/>
        <v>0</v>
      </c>
      <c r="O34" s="268">
        <f t="shared" si="2"/>
        <v>0</v>
      </c>
      <c r="P34" s="264">
        <f t="shared" si="3"/>
        <v>0</v>
      </c>
      <c r="Q34" s="7"/>
      <c r="R34" s="277"/>
      <c r="S34" s="7"/>
      <c r="T34" s="7"/>
      <c r="U34" s="7"/>
      <c r="V34" s="7"/>
    </row>
    <row r="35" spans="1:22" s="5" customFormat="1" ht="18.75" hidden="1">
      <c r="A35" s="160" t="s">
        <v>48</v>
      </c>
      <c r="B35" s="161" t="s">
        <v>49</v>
      </c>
      <c r="C35" s="214"/>
      <c r="D35" s="253"/>
      <c r="E35" s="219"/>
      <c r="F35" s="214">
        <f t="shared" si="4"/>
        <v>0</v>
      </c>
      <c r="G35" s="253"/>
      <c r="H35" s="219"/>
      <c r="I35" s="214"/>
      <c r="J35" s="253"/>
      <c r="K35" s="219"/>
      <c r="L35" s="162"/>
      <c r="M35" s="158">
        <f t="shared" si="0"/>
        <v>0</v>
      </c>
      <c r="N35" s="267">
        <f t="shared" si="1"/>
        <v>0</v>
      </c>
      <c r="O35" s="268">
        <f t="shared" si="2"/>
        <v>0</v>
      </c>
      <c r="P35" s="264">
        <f t="shared" si="3"/>
        <v>0</v>
      </c>
      <c r="Q35" s="7"/>
      <c r="R35" s="277"/>
      <c r="S35" s="7"/>
      <c r="T35" s="7"/>
      <c r="U35" s="7"/>
      <c r="V35" s="7"/>
    </row>
    <row r="36" spans="1:22" s="5" customFormat="1" ht="18.75" hidden="1">
      <c r="A36" s="160" t="s">
        <v>50</v>
      </c>
      <c r="B36" s="161" t="s">
        <v>15</v>
      </c>
      <c r="C36" s="214"/>
      <c r="D36" s="253"/>
      <c r="E36" s="219"/>
      <c r="F36" s="214">
        <f t="shared" si="4"/>
        <v>0</v>
      </c>
      <c r="G36" s="253"/>
      <c r="H36" s="219"/>
      <c r="I36" s="214"/>
      <c r="J36" s="253"/>
      <c r="K36" s="219"/>
      <c r="L36" s="162"/>
      <c r="M36" s="158">
        <f t="shared" si="0"/>
        <v>0</v>
      </c>
      <c r="N36" s="267">
        <f t="shared" si="1"/>
        <v>0</v>
      </c>
      <c r="O36" s="268">
        <f t="shared" si="2"/>
        <v>0</v>
      </c>
      <c r="P36" s="264">
        <f t="shared" si="3"/>
        <v>0</v>
      </c>
      <c r="Q36" s="7"/>
      <c r="R36" s="277"/>
      <c r="S36" s="7"/>
      <c r="T36" s="7"/>
      <c r="U36" s="7"/>
      <c r="V36" s="7"/>
    </row>
    <row r="37" spans="1:22" s="5" customFormat="1" ht="18.75" hidden="1">
      <c r="A37" s="160"/>
      <c r="B37" s="161" t="s">
        <v>11</v>
      </c>
      <c r="C37" s="214"/>
      <c r="D37" s="253"/>
      <c r="E37" s="219"/>
      <c r="F37" s="214">
        <f t="shared" si="4"/>
        <v>0</v>
      </c>
      <c r="G37" s="253"/>
      <c r="H37" s="219"/>
      <c r="I37" s="214"/>
      <c r="J37" s="253"/>
      <c r="K37" s="219"/>
      <c r="L37" s="162"/>
      <c r="M37" s="158">
        <f t="shared" si="0"/>
        <v>0</v>
      </c>
      <c r="N37" s="267">
        <f t="shared" si="1"/>
        <v>0</v>
      </c>
      <c r="O37" s="268">
        <f t="shared" si="2"/>
        <v>0</v>
      </c>
      <c r="P37" s="264">
        <f t="shared" si="3"/>
        <v>0</v>
      </c>
      <c r="Q37" s="7"/>
      <c r="R37" s="277"/>
      <c r="S37" s="7"/>
      <c r="T37" s="7"/>
      <c r="U37" s="7"/>
      <c r="V37" s="7"/>
    </row>
    <row r="38" spans="1:22" s="5" customFormat="1" ht="18.75" hidden="1">
      <c r="A38" s="160" t="s">
        <v>51</v>
      </c>
      <c r="B38" s="161" t="s">
        <v>52</v>
      </c>
      <c r="C38" s="214"/>
      <c r="D38" s="253"/>
      <c r="E38" s="219"/>
      <c r="F38" s="214">
        <f t="shared" si="4"/>
        <v>0</v>
      </c>
      <c r="G38" s="253"/>
      <c r="H38" s="219"/>
      <c r="I38" s="214"/>
      <c r="J38" s="253"/>
      <c r="K38" s="219"/>
      <c r="L38" s="162"/>
      <c r="M38" s="158">
        <f t="shared" si="0"/>
        <v>0</v>
      </c>
      <c r="N38" s="267">
        <f t="shared" si="1"/>
        <v>0</v>
      </c>
      <c r="O38" s="268">
        <f t="shared" si="2"/>
        <v>0</v>
      </c>
      <c r="P38" s="264">
        <f t="shared" si="3"/>
        <v>0</v>
      </c>
      <c r="Q38" s="7"/>
      <c r="R38" s="277"/>
      <c r="S38" s="7"/>
      <c r="T38" s="7"/>
      <c r="U38" s="7"/>
      <c r="V38" s="7"/>
    </row>
    <row r="39" spans="1:22" s="5" customFormat="1" ht="18.75" hidden="1">
      <c r="A39" s="160" t="s">
        <v>53</v>
      </c>
      <c r="B39" s="161" t="s">
        <v>54</v>
      </c>
      <c r="C39" s="214"/>
      <c r="D39" s="253"/>
      <c r="E39" s="219"/>
      <c r="F39" s="214">
        <f t="shared" si="4"/>
        <v>0</v>
      </c>
      <c r="G39" s="253"/>
      <c r="H39" s="219"/>
      <c r="I39" s="214"/>
      <c r="J39" s="253"/>
      <c r="K39" s="219"/>
      <c r="L39" s="162"/>
      <c r="M39" s="158">
        <f t="shared" si="0"/>
        <v>0</v>
      </c>
      <c r="N39" s="267">
        <f t="shared" si="1"/>
        <v>0</v>
      </c>
      <c r="O39" s="268">
        <f t="shared" si="2"/>
        <v>0</v>
      </c>
      <c r="P39" s="264">
        <f t="shared" si="3"/>
        <v>0</v>
      </c>
      <c r="Q39" s="7"/>
      <c r="R39" s="277"/>
      <c r="S39" s="7"/>
      <c r="T39" s="7"/>
      <c r="U39" s="7"/>
      <c r="V39" s="7"/>
    </row>
    <row r="40" spans="1:22" s="176" customFormat="1" ht="19.5" hidden="1" thickBot="1">
      <c r="A40" s="160"/>
      <c r="B40" s="161" t="s">
        <v>45</v>
      </c>
      <c r="C40" s="214"/>
      <c r="D40" s="253"/>
      <c r="E40" s="219"/>
      <c r="F40" s="214">
        <f t="shared" si="4"/>
        <v>0</v>
      </c>
      <c r="G40" s="253"/>
      <c r="H40" s="219"/>
      <c r="I40" s="214"/>
      <c r="J40" s="253"/>
      <c r="K40" s="219"/>
      <c r="L40" s="162"/>
      <c r="M40" s="158">
        <f t="shared" si="0"/>
        <v>0</v>
      </c>
      <c r="N40" s="267">
        <f t="shared" si="1"/>
        <v>0</v>
      </c>
      <c r="O40" s="268">
        <f t="shared" si="2"/>
        <v>0</v>
      </c>
      <c r="P40" s="264">
        <f t="shared" si="3"/>
        <v>0</v>
      </c>
      <c r="Q40" s="7"/>
      <c r="R40" s="277"/>
      <c r="S40" s="7"/>
      <c r="T40" s="7"/>
      <c r="U40" s="7"/>
      <c r="V40" s="7"/>
    </row>
    <row r="41" spans="1:22" s="159" customFormat="1" ht="18.75" hidden="1">
      <c r="A41" s="153" t="s">
        <v>55</v>
      </c>
      <c r="B41" s="154" t="s">
        <v>56</v>
      </c>
      <c r="C41" s="211"/>
      <c r="D41" s="251"/>
      <c r="E41" s="218"/>
      <c r="F41" s="211">
        <f t="shared" si="4"/>
        <v>0</v>
      </c>
      <c r="G41" s="251"/>
      <c r="H41" s="218"/>
      <c r="I41" s="211"/>
      <c r="J41" s="251"/>
      <c r="K41" s="218"/>
      <c r="L41" s="155"/>
      <c r="M41" s="158">
        <f t="shared" si="0"/>
        <v>0</v>
      </c>
      <c r="N41" s="267">
        <f t="shared" si="1"/>
        <v>0</v>
      </c>
      <c r="O41" s="268">
        <f t="shared" si="2"/>
        <v>0</v>
      </c>
      <c r="P41" s="264">
        <f t="shared" si="3"/>
        <v>0</v>
      </c>
      <c r="Q41" s="158"/>
      <c r="R41" s="277"/>
      <c r="S41" s="158"/>
      <c r="T41" s="158"/>
      <c r="U41" s="158"/>
      <c r="V41" s="158"/>
    </row>
    <row r="42" spans="1:22" s="159" customFormat="1" ht="18.75" hidden="1">
      <c r="A42" s="153" t="s">
        <v>57</v>
      </c>
      <c r="B42" s="154" t="s">
        <v>58</v>
      </c>
      <c r="C42" s="211"/>
      <c r="D42" s="251"/>
      <c r="E42" s="218"/>
      <c r="F42" s="211">
        <f t="shared" si="4"/>
        <v>0</v>
      </c>
      <c r="G42" s="251"/>
      <c r="H42" s="218"/>
      <c r="I42" s="211"/>
      <c r="J42" s="251"/>
      <c r="K42" s="218"/>
      <c r="L42" s="155"/>
      <c r="M42" s="158">
        <f t="shared" si="0"/>
        <v>0</v>
      </c>
      <c r="N42" s="267">
        <f t="shared" si="1"/>
        <v>0</v>
      </c>
      <c r="O42" s="268">
        <f t="shared" si="2"/>
        <v>0</v>
      </c>
      <c r="P42" s="264">
        <f t="shared" si="3"/>
        <v>0</v>
      </c>
      <c r="Q42" s="158"/>
      <c r="R42" s="277"/>
      <c r="S42" s="158"/>
      <c r="T42" s="158"/>
      <c r="U42" s="158"/>
      <c r="V42" s="158"/>
    </row>
    <row r="43" spans="1:22" s="5" customFormat="1" ht="18.75" hidden="1">
      <c r="A43" s="160"/>
      <c r="B43" s="161" t="s">
        <v>28</v>
      </c>
      <c r="C43" s="214"/>
      <c r="D43" s="253"/>
      <c r="E43" s="219"/>
      <c r="F43" s="214">
        <f t="shared" si="4"/>
        <v>0</v>
      </c>
      <c r="G43" s="253"/>
      <c r="H43" s="219"/>
      <c r="I43" s="214"/>
      <c r="J43" s="253"/>
      <c r="K43" s="219"/>
      <c r="L43" s="162"/>
      <c r="M43" s="158">
        <f t="shared" si="0"/>
        <v>0</v>
      </c>
      <c r="N43" s="267">
        <f t="shared" si="1"/>
        <v>0</v>
      </c>
      <c r="O43" s="268">
        <f t="shared" si="2"/>
        <v>0</v>
      </c>
      <c r="P43" s="264">
        <f t="shared" si="3"/>
        <v>0</v>
      </c>
      <c r="Q43" s="7"/>
      <c r="R43" s="277"/>
      <c r="S43" s="7"/>
      <c r="T43" s="7"/>
      <c r="U43" s="7"/>
      <c r="V43" s="7"/>
    </row>
    <row r="44" spans="1:22" s="5" customFormat="1" ht="18.75" hidden="1">
      <c r="A44" s="160" t="s">
        <v>59</v>
      </c>
      <c r="B44" s="161" t="s">
        <v>30</v>
      </c>
      <c r="C44" s="214"/>
      <c r="D44" s="253"/>
      <c r="E44" s="219"/>
      <c r="F44" s="214">
        <f t="shared" si="4"/>
        <v>0</v>
      </c>
      <c r="G44" s="253"/>
      <c r="H44" s="219"/>
      <c r="I44" s="214"/>
      <c r="J44" s="253"/>
      <c r="K44" s="219"/>
      <c r="L44" s="162"/>
      <c r="M44" s="158">
        <f t="shared" si="0"/>
        <v>0</v>
      </c>
      <c r="N44" s="267">
        <f t="shared" si="1"/>
        <v>0</v>
      </c>
      <c r="O44" s="268">
        <f t="shared" si="2"/>
        <v>0</v>
      </c>
      <c r="P44" s="264">
        <f t="shared" si="3"/>
        <v>0</v>
      </c>
      <c r="Q44" s="7"/>
      <c r="R44" s="277"/>
      <c r="S44" s="7"/>
      <c r="T44" s="7"/>
      <c r="U44" s="7"/>
      <c r="V44" s="7"/>
    </row>
    <row r="45" spans="1:22" s="5" customFormat="1" ht="18.75" hidden="1">
      <c r="A45" s="160" t="s">
        <v>60</v>
      </c>
      <c r="B45" s="161" t="s">
        <v>32</v>
      </c>
      <c r="C45" s="214"/>
      <c r="D45" s="253"/>
      <c r="E45" s="219"/>
      <c r="F45" s="214">
        <f t="shared" si="4"/>
        <v>0</v>
      </c>
      <c r="G45" s="253"/>
      <c r="H45" s="219"/>
      <c r="I45" s="214"/>
      <c r="J45" s="253"/>
      <c r="K45" s="219"/>
      <c r="L45" s="162"/>
      <c r="M45" s="158">
        <f t="shared" si="0"/>
        <v>0</v>
      </c>
      <c r="N45" s="267">
        <f t="shared" si="1"/>
        <v>0</v>
      </c>
      <c r="O45" s="268">
        <f t="shared" si="2"/>
        <v>0</v>
      </c>
      <c r="P45" s="264">
        <f t="shared" si="3"/>
        <v>0</v>
      </c>
      <c r="Q45" s="7"/>
      <c r="R45" s="277"/>
      <c r="S45" s="7"/>
      <c r="T45" s="7"/>
      <c r="U45" s="7"/>
      <c r="V45" s="7"/>
    </row>
    <row r="46" spans="1:22" s="5" customFormat="1" ht="18.75" hidden="1">
      <c r="A46" s="160"/>
      <c r="B46" s="161" t="s">
        <v>28</v>
      </c>
      <c r="C46" s="214"/>
      <c r="D46" s="253"/>
      <c r="E46" s="219"/>
      <c r="F46" s="214">
        <f t="shared" si="4"/>
        <v>0</v>
      </c>
      <c r="G46" s="253"/>
      <c r="H46" s="219"/>
      <c r="I46" s="214"/>
      <c r="J46" s="253"/>
      <c r="K46" s="219"/>
      <c r="L46" s="162"/>
      <c r="M46" s="158">
        <f t="shared" si="0"/>
        <v>0</v>
      </c>
      <c r="N46" s="267">
        <f t="shared" si="1"/>
        <v>0</v>
      </c>
      <c r="O46" s="268">
        <f t="shared" si="2"/>
        <v>0</v>
      </c>
      <c r="P46" s="264">
        <f t="shared" si="3"/>
        <v>0</v>
      </c>
      <c r="Q46" s="7"/>
      <c r="R46" s="277"/>
      <c r="S46" s="7"/>
      <c r="T46" s="7"/>
      <c r="U46" s="7"/>
      <c r="V46" s="7"/>
    </row>
    <row r="47" spans="1:22" s="5" customFormat="1" ht="18.75" hidden="1">
      <c r="A47" s="160" t="s">
        <v>61</v>
      </c>
      <c r="B47" s="161" t="s">
        <v>52</v>
      </c>
      <c r="C47" s="214"/>
      <c r="D47" s="253"/>
      <c r="E47" s="219"/>
      <c r="F47" s="214">
        <f t="shared" si="4"/>
        <v>0</v>
      </c>
      <c r="G47" s="253"/>
      <c r="H47" s="219"/>
      <c r="I47" s="214"/>
      <c r="J47" s="253"/>
      <c r="K47" s="219"/>
      <c r="L47" s="162"/>
      <c r="M47" s="158">
        <f t="shared" si="0"/>
        <v>0</v>
      </c>
      <c r="N47" s="267">
        <f t="shared" si="1"/>
        <v>0</v>
      </c>
      <c r="O47" s="268">
        <f t="shared" si="2"/>
        <v>0</v>
      </c>
      <c r="P47" s="264">
        <f t="shared" si="3"/>
        <v>0</v>
      </c>
      <c r="Q47" s="7"/>
      <c r="R47" s="277"/>
      <c r="S47" s="7"/>
      <c r="T47" s="7"/>
      <c r="U47" s="7"/>
      <c r="V47" s="7"/>
    </row>
    <row r="48" spans="1:22" s="5" customFormat="1" ht="18.75" hidden="1">
      <c r="A48" s="177" t="s">
        <v>62</v>
      </c>
      <c r="B48" s="161" t="s">
        <v>63</v>
      </c>
      <c r="C48" s="214"/>
      <c r="D48" s="253"/>
      <c r="E48" s="219"/>
      <c r="F48" s="214">
        <f t="shared" si="4"/>
        <v>0</v>
      </c>
      <c r="G48" s="253"/>
      <c r="H48" s="219"/>
      <c r="I48" s="214"/>
      <c r="J48" s="253"/>
      <c r="K48" s="219"/>
      <c r="L48" s="162"/>
      <c r="M48" s="158">
        <f t="shared" si="0"/>
        <v>0</v>
      </c>
      <c r="N48" s="267">
        <f t="shared" si="1"/>
        <v>0</v>
      </c>
      <c r="O48" s="268">
        <f t="shared" si="2"/>
        <v>0</v>
      </c>
      <c r="P48" s="264">
        <f t="shared" si="3"/>
        <v>0</v>
      </c>
      <c r="Q48" s="7"/>
      <c r="R48" s="277"/>
      <c r="S48" s="7"/>
      <c r="T48" s="7"/>
      <c r="U48" s="7"/>
      <c r="V48" s="7"/>
    </row>
    <row r="49" spans="1:22" s="5" customFormat="1" ht="18.75" hidden="1">
      <c r="A49" s="160" t="s">
        <v>64</v>
      </c>
      <c r="B49" s="161" t="s">
        <v>54</v>
      </c>
      <c r="C49" s="214"/>
      <c r="D49" s="253"/>
      <c r="E49" s="219"/>
      <c r="F49" s="214">
        <f t="shared" si="4"/>
        <v>0</v>
      </c>
      <c r="G49" s="253"/>
      <c r="H49" s="219"/>
      <c r="I49" s="214"/>
      <c r="J49" s="253"/>
      <c r="K49" s="219"/>
      <c r="L49" s="162"/>
      <c r="M49" s="158">
        <f t="shared" si="0"/>
        <v>0</v>
      </c>
      <c r="N49" s="267">
        <f t="shared" si="1"/>
        <v>0</v>
      </c>
      <c r="O49" s="268">
        <f t="shared" si="2"/>
        <v>0</v>
      </c>
      <c r="P49" s="264">
        <f t="shared" si="3"/>
        <v>0</v>
      </c>
      <c r="Q49" s="7"/>
      <c r="R49" s="277"/>
      <c r="S49" s="7"/>
      <c r="T49" s="7"/>
      <c r="U49" s="7"/>
      <c r="V49" s="7"/>
    </row>
    <row r="50" spans="1:22" s="5" customFormat="1" ht="18.75" hidden="1">
      <c r="A50" s="177" t="s">
        <v>65</v>
      </c>
      <c r="B50" s="161" t="s">
        <v>66</v>
      </c>
      <c r="C50" s="214"/>
      <c r="D50" s="253"/>
      <c r="E50" s="219"/>
      <c r="F50" s="214">
        <f t="shared" si="4"/>
        <v>0</v>
      </c>
      <c r="G50" s="253"/>
      <c r="H50" s="219"/>
      <c r="I50" s="214"/>
      <c r="J50" s="253"/>
      <c r="K50" s="219"/>
      <c r="L50" s="162"/>
      <c r="M50" s="158">
        <f t="shared" si="0"/>
        <v>0</v>
      </c>
      <c r="N50" s="267">
        <f t="shared" si="1"/>
        <v>0</v>
      </c>
      <c r="O50" s="268">
        <f t="shared" si="2"/>
        <v>0</v>
      </c>
      <c r="P50" s="264">
        <f t="shared" si="3"/>
        <v>0</v>
      </c>
      <c r="Q50" s="7"/>
      <c r="R50" s="277"/>
      <c r="S50" s="7"/>
      <c r="T50" s="7"/>
      <c r="U50" s="7"/>
      <c r="V50" s="7"/>
    </row>
    <row r="51" spans="1:22" s="5" customFormat="1" ht="18.75" hidden="1">
      <c r="A51" s="160"/>
      <c r="B51" s="161" t="s">
        <v>45</v>
      </c>
      <c r="C51" s="214"/>
      <c r="D51" s="253"/>
      <c r="E51" s="219"/>
      <c r="F51" s="214">
        <f t="shared" si="4"/>
        <v>0</v>
      </c>
      <c r="G51" s="253"/>
      <c r="H51" s="219"/>
      <c r="I51" s="214"/>
      <c r="J51" s="253"/>
      <c r="K51" s="219"/>
      <c r="L51" s="162"/>
      <c r="M51" s="158">
        <f t="shared" si="0"/>
        <v>0</v>
      </c>
      <c r="N51" s="267">
        <f t="shared" si="1"/>
        <v>0</v>
      </c>
      <c r="O51" s="268">
        <f t="shared" si="2"/>
        <v>0</v>
      </c>
      <c r="P51" s="264">
        <f t="shared" si="3"/>
        <v>0</v>
      </c>
      <c r="Q51" s="7"/>
      <c r="R51" s="277"/>
      <c r="S51" s="7"/>
      <c r="T51" s="7"/>
      <c r="U51" s="7"/>
      <c r="V51" s="7"/>
    </row>
    <row r="52" spans="1:22" s="5" customFormat="1" ht="18.75" hidden="1">
      <c r="A52" s="160" t="s">
        <v>67</v>
      </c>
      <c r="B52" s="161" t="s">
        <v>68</v>
      </c>
      <c r="C52" s="214"/>
      <c r="D52" s="253"/>
      <c r="E52" s="219"/>
      <c r="F52" s="214">
        <f t="shared" si="4"/>
        <v>0</v>
      </c>
      <c r="G52" s="253"/>
      <c r="H52" s="219"/>
      <c r="I52" s="214"/>
      <c r="J52" s="253"/>
      <c r="K52" s="219"/>
      <c r="L52" s="162"/>
      <c r="M52" s="158">
        <f t="shared" si="0"/>
        <v>0</v>
      </c>
      <c r="N52" s="267">
        <f t="shared" si="1"/>
        <v>0</v>
      </c>
      <c r="O52" s="268">
        <f t="shared" si="2"/>
        <v>0</v>
      </c>
      <c r="P52" s="264">
        <f t="shared" si="3"/>
        <v>0</v>
      </c>
      <c r="Q52" s="7"/>
      <c r="R52" s="277"/>
      <c r="S52" s="7"/>
      <c r="T52" s="7"/>
      <c r="U52" s="7"/>
      <c r="V52" s="7"/>
    </row>
    <row r="53" spans="1:22" s="5" customFormat="1" ht="18.75" hidden="1">
      <c r="A53" s="160" t="s">
        <v>69</v>
      </c>
      <c r="B53" s="178" t="s">
        <v>70</v>
      </c>
      <c r="C53" s="214"/>
      <c r="D53" s="253"/>
      <c r="E53" s="219"/>
      <c r="F53" s="214">
        <f t="shared" si="4"/>
        <v>0</v>
      </c>
      <c r="G53" s="253"/>
      <c r="H53" s="219"/>
      <c r="I53" s="214"/>
      <c r="J53" s="253"/>
      <c r="K53" s="219"/>
      <c r="L53" s="162"/>
      <c r="M53" s="158">
        <f t="shared" si="0"/>
        <v>0</v>
      </c>
      <c r="N53" s="267">
        <f t="shared" si="1"/>
        <v>0</v>
      </c>
      <c r="O53" s="268">
        <f t="shared" si="2"/>
        <v>0</v>
      </c>
      <c r="P53" s="264">
        <f t="shared" si="3"/>
        <v>0</v>
      </c>
      <c r="Q53" s="7"/>
      <c r="R53" s="277"/>
      <c r="S53" s="7"/>
      <c r="T53" s="7"/>
      <c r="U53" s="7"/>
      <c r="V53" s="7"/>
    </row>
    <row r="54" spans="1:22" s="5" customFormat="1" ht="18.75" hidden="1">
      <c r="A54" s="160" t="s">
        <v>71</v>
      </c>
      <c r="B54" s="178" t="s">
        <v>72</v>
      </c>
      <c r="C54" s="214"/>
      <c r="D54" s="253"/>
      <c r="E54" s="219"/>
      <c r="F54" s="214">
        <f t="shared" si="4"/>
        <v>0</v>
      </c>
      <c r="G54" s="253"/>
      <c r="H54" s="219"/>
      <c r="I54" s="214"/>
      <c r="J54" s="253"/>
      <c r="K54" s="219"/>
      <c r="L54" s="162"/>
      <c r="M54" s="158">
        <f t="shared" si="0"/>
        <v>0</v>
      </c>
      <c r="N54" s="267">
        <f t="shared" si="1"/>
        <v>0</v>
      </c>
      <c r="O54" s="268">
        <f t="shared" si="2"/>
        <v>0</v>
      </c>
      <c r="P54" s="264">
        <f t="shared" si="3"/>
        <v>0</v>
      </c>
      <c r="Q54" s="7"/>
      <c r="R54" s="277"/>
      <c r="S54" s="7"/>
      <c r="T54" s="7"/>
      <c r="U54" s="7"/>
      <c r="V54" s="7"/>
    </row>
    <row r="55" spans="1:22" s="5" customFormat="1" ht="18.75" hidden="1">
      <c r="A55" s="160" t="s">
        <v>73</v>
      </c>
      <c r="B55" s="178" t="s">
        <v>74</v>
      </c>
      <c r="C55" s="214"/>
      <c r="D55" s="253"/>
      <c r="E55" s="219"/>
      <c r="F55" s="214">
        <f t="shared" si="4"/>
        <v>0</v>
      </c>
      <c r="G55" s="253"/>
      <c r="H55" s="219"/>
      <c r="I55" s="214"/>
      <c r="J55" s="253"/>
      <c r="K55" s="219"/>
      <c r="L55" s="162"/>
      <c r="M55" s="158">
        <f t="shared" si="0"/>
        <v>0</v>
      </c>
      <c r="N55" s="267">
        <f t="shared" si="1"/>
        <v>0</v>
      </c>
      <c r="O55" s="268">
        <f t="shared" si="2"/>
        <v>0</v>
      </c>
      <c r="P55" s="264">
        <f t="shared" si="3"/>
        <v>0</v>
      </c>
      <c r="Q55" s="7"/>
      <c r="R55" s="277"/>
      <c r="S55" s="7"/>
      <c r="T55" s="7"/>
      <c r="U55" s="7"/>
      <c r="V55" s="7"/>
    </row>
    <row r="56" spans="1:22" s="5" customFormat="1" ht="18.75" hidden="1">
      <c r="A56" s="160" t="s">
        <v>75</v>
      </c>
      <c r="B56" s="178" t="s">
        <v>76</v>
      </c>
      <c r="C56" s="214"/>
      <c r="D56" s="253"/>
      <c r="E56" s="219"/>
      <c r="F56" s="214">
        <f t="shared" si="4"/>
        <v>0</v>
      </c>
      <c r="G56" s="253"/>
      <c r="H56" s="219"/>
      <c r="I56" s="214"/>
      <c r="J56" s="253"/>
      <c r="K56" s="219"/>
      <c r="L56" s="162"/>
      <c r="M56" s="158">
        <f t="shared" si="0"/>
        <v>0</v>
      </c>
      <c r="N56" s="267">
        <f t="shared" si="1"/>
        <v>0</v>
      </c>
      <c r="O56" s="268">
        <f t="shared" si="2"/>
        <v>0</v>
      </c>
      <c r="P56" s="264">
        <f t="shared" si="3"/>
        <v>0</v>
      </c>
      <c r="Q56" s="7"/>
      <c r="R56" s="277"/>
      <c r="S56" s="7"/>
      <c r="T56" s="7"/>
      <c r="U56" s="7"/>
      <c r="V56" s="7"/>
    </row>
    <row r="57" spans="1:22" s="159" customFormat="1" ht="37.5" hidden="1">
      <c r="A57" s="153" t="s">
        <v>77</v>
      </c>
      <c r="B57" s="179" t="s">
        <v>78</v>
      </c>
      <c r="C57" s="211"/>
      <c r="D57" s="251"/>
      <c r="E57" s="218"/>
      <c r="F57" s="211">
        <f t="shared" si="4"/>
        <v>0</v>
      </c>
      <c r="G57" s="251"/>
      <c r="H57" s="218"/>
      <c r="I57" s="211"/>
      <c r="J57" s="251"/>
      <c r="K57" s="218"/>
      <c r="L57" s="155"/>
      <c r="M57" s="158">
        <f t="shared" si="0"/>
        <v>0</v>
      </c>
      <c r="N57" s="267">
        <f t="shared" si="1"/>
        <v>0</v>
      </c>
      <c r="O57" s="268">
        <f t="shared" si="2"/>
        <v>0</v>
      </c>
      <c r="P57" s="264">
        <f t="shared" si="3"/>
        <v>0</v>
      </c>
      <c r="Q57" s="158"/>
      <c r="R57" s="277"/>
      <c r="S57" s="158"/>
      <c r="T57" s="158"/>
      <c r="U57" s="158"/>
      <c r="V57" s="158"/>
    </row>
    <row r="58" spans="1:22" s="5" customFormat="1" ht="18.75" hidden="1">
      <c r="A58" s="160"/>
      <c r="B58" s="161" t="s">
        <v>11</v>
      </c>
      <c r="C58" s="214"/>
      <c r="D58" s="253"/>
      <c r="E58" s="219"/>
      <c r="F58" s="214">
        <f t="shared" si="4"/>
        <v>0</v>
      </c>
      <c r="G58" s="253"/>
      <c r="H58" s="219"/>
      <c r="I58" s="214"/>
      <c r="J58" s="253"/>
      <c r="K58" s="219"/>
      <c r="L58" s="162"/>
      <c r="M58" s="158">
        <f t="shared" si="0"/>
        <v>0</v>
      </c>
      <c r="N58" s="267">
        <f t="shared" si="1"/>
        <v>0</v>
      </c>
      <c r="O58" s="268">
        <f t="shared" si="2"/>
        <v>0</v>
      </c>
      <c r="P58" s="264">
        <f t="shared" si="3"/>
        <v>0</v>
      </c>
      <c r="Q58" s="7"/>
      <c r="R58" s="277"/>
      <c r="S58" s="7"/>
      <c r="T58" s="7"/>
      <c r="U58" s="7"/>
      <c r="V58" s="7"/>
    </row>
    <row r="59" spans="1:22" s="5" customFormat="1" ht="18.75" hidden="1">
      <c r="A59" s="160" t="s">
        <v>79</v>
      </c>
      <c r="B59" s="161" t="s">
        <v>49</v>
      </c>
      <c r="C59" s="214"/>
      <c r="D59" s="253"/>
      <c r="E59" s="219"/>
      <c r="F59" s="214">
        <f t="shared" si="4"/>
        <v>0</v>
      </c>
      <c r="G59" s="253"/>
      <c r="H59" s="219"/>
      <c r="I59" s="214"/>
      <c r="J59" s="253"/>
      <c r="K59" s="219"/>
      <c r="L59" s="162"/>
      <c r="M59" s="158">
        <f t="shared" si="0"/>
        <v>0</v>
      </c>
      <c r="N59" s="267">
        <f t="shared" si="1"/>
        <v>0</v>
      </c>
      <c r="O59" s="268">
        <f t="shared" si="2"/>
        <v>0</v>
      </c>
      <c r="P59" s="264">
        <f t="shared" si="3"/>
        <v>0</v>
      </c>
      <c r="Q59" s="7"/>
      <c r="R59" s="277"/>
      <c r="S59" s="7"/>
      <c r="T59" s="7"/>
      <c r="U59" s="7"/>
      <c r="V59" s="7"/>
    </row>
    <row r="60" spans="1:22" s="5" customFormat="1" ht="18.75" hidden="1">
      <c r="A60" s="160" t="s">
        <v>80</v>
      </c>
      <c r="B60" s="161" t="s">
        <v>15</v>
      </c>
      <c r="C60" s="214"/>
      <c r="D60" s="253"/>
      <c r="E60" s="219"/>
      <c r="F60" s="214">
        <f t="shared" si="4"/>
        <v>0</v>
      </c>
      <c r="G60" s="253"/>
      <c r="H60" s="219"/>
      <c r="I60" s="214"/>
      <c r="J60" s="253"/>
      <c r="K60" s="219"/>
      <c r="L60" s="162"/>
      <c r="M60" s="158">
        <f t="shared" si="0"/>
        <v>0</v>
      </c>
      <c r="N60" s="267">
        <f t="shared" si="1"/>
        <v>0</v>
      </c>
      <c r="O60" s="268">
        <f t="shared" si="2"/>
        <v>0</v>
      </c>
      <c r="P60" s="264">
        <f t="shared" si="3"/>
        <v>0</v>
      </c>
      <c r="Q60" s="7"/>
      <c r="R60" s="277"/>
      <c r="S60" s="7"/>
      <c r="T60" s="7"/>
      <c r="U60" s="7"/>
      <c r="V60" s="7"/>
    </row>
    <row r="61" spans="1:22" s="5" customFormat="1" ht="18.75" hidden="1">
      <c r="A61" s="160"/>
      <c r="B61" s="161" t="s">
        <v>11</v>
      </c>
      <c r="C61" s="214"/>
      <c r="D61" s="253"/>
      <c r="E61" s="219"/>
      <c r="F61" s="214">
        <f t="shared" si="4"/>
        <v>0</v>
      </c>
      <c r="G61" s="253"/>
      <c r="H61" s="219"/>
      <c r="I61" s="214"/>
      <c r="J61" s="253"/>
      <c r="K61" s="219"/>
      <c r="L61" s="162"/>
      <c r="M61" s="158">
        <f t="shared" si="0"/>
        <v>0</v>
      </c>
      <c r="N61" s="267">
        <f t="shared" si="1"/>
        <v>0</v>
      </c>
      <c r="O61" s="268">
        <f t="shared" si="2"/>
        <v>0</v>
      </c>
      <c r="P61" s="264">
        <f t="shared" si="3"/>
        <v>0</v>
      </c>
      <c r="Q61" s="7"/>
      <c r="R61" s="277"/>
      <c r="S61" s="7"/>
      <c r="T61" s="7"/>
      <c r="U61" s="7"/>
      <c r="V61" s="7"/>
    </row>
    <row r="62" spans="1:22" s="5" customFormat="1" ht="18.75" hidden="1">
      <c r="A62" s="160" t="s">
        <v>81</v>
      </c>
      <c r="B62" s="161" t="s">
        <v>17</v>
      </c>
      <c r="C62" s="214"/>
      <c r="D62" s="253"/>
      <c r="E62" s="219"/>
      <c r="F62" s="214">
        <f t="shared" si="4"/>
        <v>0</v>
      </c>
      <c r="G62" s="253"/>
      <c r="H62" s="219"/>
      <c r="I62" s="214"/>
      <c r="J62" s="253"/>
      <c r="K62" s="219"/>
      <c r="L62" s="162"/>
      <c r="M62" s="158">
        <f t="shared" si="0"/>
        <v>0</v>
      </c>
      <c r="N62" s="267">
        <f t="shared" si="1"/>
        <v>0</v>
      </c>
      <c r="O62" s="268">
        <f t="shared" si="2"/>
        <v>0</v>
      </c>
      <c r="P62" s="264">
        <f t="shared" si="3"/>
        <v>0</v>
      </c>
      <c r="Q62" s="7"/>
      <c r="R62" s="277"/>
      <c r="S62" s="7"/>
      <c r="T62" s="7"/>
      <c r="U62" s="7"/>
      <c r="V62" s="7"/>
    </row>
    <row r="63" spans="1:22" s="5" customFormat="1" ht="18.75" hidden="1">
      <c r="A63" s="160" t="s">
        <v>82</v>
      </c>
      <c r="B63" s="161" t="s">
        <v>54</v>
      </c>
      <c r="C63" s="214"/>
      <c r="D63" s="253"/>
      <c r="E63" s="219"/>
      <c r="F63" s="214">
        <f t="shared" si="4"/>
        <v>0</v>
      </c>
      <c r="G63" s="253"/>
      <c r="H63" s="219"/>
      <c r="I63" s="214"/>
      <c r="J63" s="253"/>
      <c r="K63" s="219"/>
      <c r="L63" s="162"/>
      <c r="M63" s="158">
        <f t="shared" si="0"/>
        <v>0</v>
      </c>
      <c r="N63" s="267">
        <f t="shared" si="1"/>
        <v>0</v>
      </c>
      <c r="O63" s="268">
        <f t="shared" si="2"/>
        <v>0</v>
      </c>
      <c r="P63" s="264">
        <f t="shared" si="3"/>
        <v>0</v>
      </c>
      <c r="Q63" s="7"/>
      <c r="R63" s="277"/>
      <c r="S63" s="7"/>
      <c r="T63" s="7"/>
      <c r="U63" s="7"/>
      <c r="V63" s="7"/>
    </row>
    <row r="64" spans="1:22" s="176" customFormat="1" ht="19.5" hidden="1" thickBot="1">
      <c r="A64" s="160"/>
      <c r="B64" s="161" t="s">
        <v>45</v>
      </c>
      <c r="C64" s="214"/>
      <c r="D64" s="253"/>
      <c r="E64" s="219"/>
      <c r="F64" s="214">
        <f t="shared" si="4"/>
        <v>0</v>
      </c>
      <c r="G64" s="253"/>
      <c r="H64" s="219"/>
      <c r="I64" s="214"/>
      <c r="J64" s="253"/>
      <c r="K64" s="219"/>
      <c r="L64" s="162"/>
      <c r="M64" s="158">
        <f t="shared" si="0"/>
        <v>0</v>
      </c>
      <c r="N64" s="267">
        <f t="shared" si="1"/>
        <v>0</v>
      </c>
      <c r="O64" s="268">
        <f t="shared" si="2"/>
        <v>0</v>
      </c>
      <c r="P64" s="264">
        <f t="shared" si="3"/>
        <v>0</v>
      </c>
      <c r="Q64" s="7"/>
      <c r="R64" s="277"/>
      <c r="S64" s="7"/>
      <c r="T64" s="7"/>
      <c r="U64" s="7"/>
      <c r="V64" s="7"/>
    </row>
    <row r="65" spans="1:22" s="182" customFormat="1" ht="18.75" hidden="1">
      <c r="A65" s="153" t="s">
        <v>83</v>
      </c>
      <c r="B65" s="154" t="s">
        <v>56</v>
      </c>
      <c r="C65" s="211"/>
      <c r="D65" s="251"/>
      <c r="E65" s="218"/>
      <c r="F65" s="211">
        <f t="shared" si="4"/>
        <v>0</v>
      </c>
      <c r="G65" s="251"/>
      <c r="H65" s="218"/>
      <c r="I65" s="211"/>
      <c r="J65" s="251"/>
      <c r="K65" s="218"/>
      <c r="L65" s="155"/>
      <c r="M65" s="158">
        <f t="shared" si="0"/>
        <v>0</v>
      </c>
      <c r="N65" s="267">
        <f t="shared" si="1"/>
        <v>0</v>
      </c>
      <c r="O65" s="268">
        <f t="shared" si="2"/>
        <v>0</v>
      </c>
      <c r="P65" s="264">
        <f t="shared" si="3"/>
        <v>0</v>
      </c>
      <c r="Q65" s="181"/>
      <c r="R65" s="277"/>
      <c r="S65" s="181"/>
      <c r="T65" s="181"/>
      <c r="U65" s="181"/>
      <c r="V65" s="181"/>
    </row>
    <row r="66" spans="1:22" s="182" customFormat="1" ht="18.75" hidden="1">
      <c r="A66" s="153" t="s">
        <v>84</v>
      </c>
      <c r="B66" s="154" t="s">
        <v>58</v>
      </c>
      <c r="C66" s="211"/>
      <c r="D66" s="251"/>
      <c r="E66" s="218"/>
      <c r="F66" s="211">
        <f t="shared" si="4"/>
        <v>0</v>
      </c>
      <c r="G66" s="251"/>
      <c r="H66" s="218"/>
      <c r="I66" s="211"/>
      <c r="J66" s="251"/>
      <c r="K66" s="218"/>
      <c r="L66" s="155"/>
      <c r="M66" s="158">
        <f t="shared" si="0"/>
        <v>0</v>
      </c>
      <c r="N66" s="267">
        <f t="shared" si="1"/>
        <v>0</v>
      </c>
      <c r="O66" s="268">
        <f t="shared" si="2"/>
        <v>0</v>
      </c>
      <c r="P66" s="264">
        <f t="shared" si="3"/>
        <v>0</v>
      </c>
      <c r="Q66" s="181"/>
      <c r="R66" s="277"/>
      <c r="S66" s="181"/>
      <c r="T66" s="181"/>
      <c r="U66" s="181"/>
      <c r="V66" s="181"/>
    </row>
    <row r="67" spans="1:22" s="5" customFormat="1" ht="18.75" hidden="1">
      <c r="A67" s="160"/>
      <c r="B67" s="161" t="s">
        <v>28</v>
      </c>
      <c r="C67" s="214"/>
      <c r="D67" s="253"/>
      <c r="E67" s="219"/>
      <c r="F67" s="214">
        <f t="shared" si="4"/>
        <v>0</v>
      </c>
      <c r="G67" s="253"/>
      <c r="H67" s="219"/>
      <c r="I67" s="214"/>
      <c r="J67" s="253"/>
      <c r="K67" s="219"/>
      <c r="L67" s="162"/>
      <c r="M67" s="158">
        <f t="shared" si="0"/>
        <v>0</v>
      </c>
      <c r="N67" s="267">
        <f t="shared" si="1"/>
        <v>0</v>
      </c>
      <c r="O67" s="268">
        <f t="shared" si="2"/>
        <v>0</v>
      </c>
      <c r="P67" s="264">
        <f t="shared" si="3"/>
        <v>0</v>
      </c>
      <c r="Q67" s="7"/>
      <c r="R67" s="277"/>
      <c r="S67" s="7"/>
      <c r="T67" s="7"/>
      <c r="U67" s="7"/>
      <c r="V67" s="7"/>
    </row>
    <row r="68" spans="1:22" s="5" customFormat="1" ht="18.75" hidden="1">
      <c r="A68" s="160" t="s">
        <v>85</v>
      </c>
      <c r="B68" s="161" t="s">
        <v>30</v>
      </c>
      <c r="C68" s="214"/>
      <c r="D68" s="253"/>
      <c r="E68" s="219"/>
      <c r="F68" s="214">
        <f t="shared" si="4"/>
        <v>0</v>
      </c>
      <c r="G68" s="253"/>
      <c r="H68" s="219"/>
      <c r="I68" s="214"/>
      <c r="J68" s="253"/>
      <c r="K68" s="219"/>
      <c r="L68" s="162"/>
      <c r="M68" s="158">
        <f t="shared" si="0"/>
        <v>0</v>
      </c>
      <c r="N68" s="267">
        <f t="shared" si="1"/>
        <v>0</v>
      </c>
      <c r="O68" s="268">
        <f t="shared" si="2"/>
        <v>0</v>
      </c>
      <c r="P68" s="264">
        <f t="shared" si="3"/>
        <v>0</v>
      </c>
      <c r="Q68" s="7"/>
      <c r="R68" s="277"/>
      <c r="S68" s="7"/>
      <c r="T68" s="7"/>
      <c r="U68" s="7"/>
      <c r="V68" s="7"/>
    </row>
    <row r="69" spans="1:22" s="185" customFormat="1" ht="19.5" hidden="1">
      <c r="A69" s="160" t="s">
        <v>86</v>
      </c>
      <c r="B69" s="161" t="s">
        <v>32</v>
      </c>
      <c r="C69" s="214"/>
      <c r="D69" s="253"/>
      <c r="E69" s="220"/>
      <c r="F69" s="215">
        <f t="shared" si="4"/>
        <v>0</v>
      </c>
      <c r="G69" s="260"/>
      <c r="H69" s="220"/>
      <c r="I69" s="214"/>
      <c r="J69" s="253"/>
      <c r="K69" s="220"/>
      <c r="L69" s="162"/>
      <c r="M69" s="158">
        <f t="shared" si="0"/>
        <v>0</v>
      </c>
      <c r="N69" s="267">
        <f t="shared" si="1"/>
        <v>0</v>
      </c>
      <c r="O69" s="268">
        <f t="shared" si="2"/>
        <v>0</v>
      </c>
      <c r="P69" s="264">
        <f t="shared" si="3"/>
        <v>0</v>
      </c>
      <c r="Q69" s="184"/>
      <c r="R69" s="277"/>
      <c r="S69" s="184"/>
      <c r="T69" s="184"/>
      <c r="U69" s="184"/>
      <c r="V69" s="184"/>
    </row>
    <row r="70" spans="1:22" s="5" customFormat="1" ht="18.75" hidden="1">
      <c r="A70" s="160"/>
      <c r="B70" s="161" t="s">
        <v>28</v>
      </c>
      <c r="C70" s="214"/>
      <c r="D70" s="253"/>
      <c r="E70" s="219"/>
      <c r="F70" s="214">
        <f t="shared" si="4"/>
        <v>0</v>
      </c>
      <c r="G70" s="253"/>
      <c r="H70" s="219"/>
      <c r="I70" s="214"/>
      <c r="J70" s="253"/>
      <c r="K70" s="219"/>
      <c r="L70" s="162"/>
      <c r="M70" s="158">
        <f t="shared" si="0"/>
        <v>0</v>
      </c>
      <c r="N70" s="267">
        <f t="shared" si="1"/>
        <v>0</v>
      </c>
      <c r="O70" s="268">
        <f t="shared" si="2"/>
        <v>0</v>
      </c>
      <c r="P70" s="264">
        <f t="shared" si="3"/>
        <v>0</v>
      </c>
      <c r="Q70" s="7"/>
      <c r="R70" s="277"/>
      <c r="S70" s="7"/>
      <c r="T70" s="7"/>
      <c r="U70" s="7"/>
      <c r="V70" s="7"/>
    </row>
    <row r="71" spans="1:22" s="5" customFormat="1" ht="18.75" hidden="1">
      <c r="A71" s="171" t="s">
        <v>87</v>
      </c>
      <c r="B71" s="161" t="s">
        <v>17</v>
      </c>
      <c r="C71" s="214"/>
      <c r="D71" s="253"/>
      <c r="E71" s="219"/>
      <c r="F71" s="214">
        <f t="shared" si="4"/>
        <v>0</v>
      </c>
      <c r="G71" s="253"/>
      <c r="H71" s="219"/>
      <c r="I71" s="214"/>
      <c r="J71" s="253"/>
      <c r="K71" s="219"/>
      <c r="L71" s="162"/>
      <c r="M71" s="158">
        <f t="shared" si="0"/>
        <v>0</v>
      </c>
      <c r="N71" s="267">
        <f t="shared" si="1"/>
        <v>0</v>
      </c>
      <c r="O71" s="268">
        <f t="shared" si="2"/>
        <v>0</v>
      </c>
      <c r="P71" s="264">
        <f t="shared" si="3"/>
        <v>0</v>
      </c>
      <c r="Q71" s="7"/>
      <c r="R71" s="277"/>
      <c r="S71" s="7"/>
      <c r="T71" s="7"/>
      <c r="U71" s="7"/>
      <c r="V71" s="7"/>
    </row>
    <row r="72" spans="1:22" s="5" customFormat="1" ht="37.5" hidden="1">
      <c r="A72" s="171" t="s">
        <v>88</v>
      </c>
      <c r="B72" s="172" t="s">
        <v>89</v>
      </c>
      <c r="C72" s="214"/>
      <c r="D72" s="253"/>
      <c r="E72" s="219"/>
      <c r="F72" s="214">
        <f t="shared" si="4"/>
        <v>0</v>
      </c>
      <c r="G72" s="253"/>
      <c r="H72" s="219"/>
      <c r="I72" s="214"/>
      <c r="J72" s="253"/>
      <c r="K72" s="219"/>
      <c r="L72" s="162"/>
      <c r="M72" s="158">
        <f t="shared" ref="M72:M135" si="5">(D72+G72)/2</f>
        <v>0</v>
      </c>
      <c r="N72" s="267">
        <f t="shared" ref="N72:N135" si="6">J72-M72</f>
        <v>0</v>
      </c>
      <c r="O72" s="268">
        <f t="shared" ref="O72:O135" si="7">C72+F72</f>
        <v>0</v>
      </c>
      <c r="P72" s="264">
        <f t="shared" ref="P72:P135" si="8">O72-I72</f>
        <v>0</v>
      </c>
      <c r="Q72" s="7"/>
      <c r="R72" s="277"/>
      <c r="S72" s="7"/>
      <c r="T72" s="7"/>
      <c r="U72" s="7"/>
      <c r="V72" s="7"/>
    </row>
    <row r="73" spans="1:22" s="5" customFormat="1" ht="18.75" hidden="1">
      <c r="A73" s="171" t="s">
        <v>90</v>
      </c>
      <c r="B73" s="172" t="s">
        <v>54</v>
      </c>
      <c r="C73" s="214"/>
      <c r="D73" s="253"/>
      <c r="E73" s="219"/>
      <c r="F73" s="214">
        <f t="shared" si="4"/>
        <v>0</v>
      </c>
      <c r="G73" s="253"/>
      <c r="H73" s="219"/>
      <c r="I73" s="214"/>
      <c r="J73" s="253"/>
      <c r="K73" s="219"/>
      <c r="L73" s="162"/>
      <c r="M73" s="158">
        <f t="shared" si="5"/>
        <v>0</v>
      </c>
      <c r="N73" s="267">
        <f t="shared" si="6"/>
        <v>0</v>
      </c>
      <c r="O73" s="268">
        <f t="shared" si="7"/>
        <v>0</v>
      </c>
      <c r="P73" s="264">
        <f t="shared" si="8"/>
        <v>0</v>
      </c>
      <c r="Q73" s="7"/>
      <c r="R73" s="277"/>
      <c r="S73" s="7"/>
      <c r="T73" s="7"/>
      <c r="U73" s="7"/>
      <c r="V73" s="7"/>
    </row>
    <row r="74" spans="1:22" s="5" customFormat="1" ht="37.5" hidden="1">
      <c r="A74" s="171" t="s">
        <v>91</v>
      </c>
      <c r="B74" s="172" t="s">
        <v>92</v>
      </c>
      <c r="C74" s="214"/>
      <c r="D74" s="253"/>
      <c r="E74" s="219"/>
      <c r="F74" s="214">
        <f t="shared" si="4"/>
        <v>0</v>
      </c>
      <c r="G74" s="253"/>
      <c r="H74" s="219"/>
      <c r="I74" s="214"/>
      <c r="J74" s="253"/>
      <c r="K74" s="219"/>
      <c r="L74" s="162"/>
      <c r="M74" s="158">
        <f t="shared" si="5"/>
        <v>0</v>
      </c>
      <c r="N74" s="267">
        <f t="shared" si="6"/>
        <v>0</v>
      </c>
      <c r="O74" s="268">
        <f t="shared" si="7"/>
        <v>0</v>
      </c>
      <c r="P74" s="264">
        <f t="shared" si="8"/>
        <v>0</v>
      </c>
      <c r="Q74" s="7"/>
      <c r="R74" s="277"/>
      <c r="S74" s="7"/>
      <c r="T74" s="7"/>
      <c r="U74" s="7"/>
      <c r="V74" s="7"/>
    </row>
    <row r="75" spans="1:22" s="5" customFormat="1" ht="18.75" hidden="1">
      <c r="A75" s="160"/>
      <c r="B75" s="161" t="s">
        <v>45</v>
      </c>
      <c r="C75" s="214"/>
      <c r="D75" s="253"/>
      <c r="E75" s="219"/>
      <c r="F75" s="214">
        <f t="shared" si="4"/>
        <v>0</v>
      </c>
      <c r="G75" s="253"/>
      <c r="H75" s="219"/>
      <c r="I75" s="214"/>
      <c r="J75" s="253"/>
      <c r="K75" s="219"/>
      <c r="L75" s="162"/>
      <c r="M75" s="158">
        <f t="shared" si="5"/>
        <v>0</v>
      </c>
      <c r="N75" s="267">
        <f t="shared" si="6"/>
        <v>0</v>
      </c>
      <c r="O75" s="268">
        <f t="shared" si="7"/>
        <v>0</v>
      </c>
      <c r="P75" s="264">
        <f t="shared" si="8"/>
        <v>0</v>
      </c>
      <c r="Q75" s="7"/>
      <c r="R75" s="277"/>
      <c r="S75" s="7"/>
      <c r="T75" s="7"/>
      <c r="U75" s="7"/>
      <c r="V75" s="7"/>
    </row>
    <row r="76" spans="1:22" s="5" customFormat="1" ht="18.75" hidden="1">
      <c r="A76" s="160" t="s">
        <v>93</v>
      </c>
      <c r="B76" s="161" t="s">
        <v>94</v>
      </c>
      <c r="C76" s="214"/>
      <c r="D76" s="253"/>
      <c r="E76" s="219"/>
      <c r="F76" s="214">
        <f t="shared" si="4"/>
        <v>0</v>
      </c>
      <c r="G76" s="253"/>
      <c r="H76" s="219"/>
      <c r="I76" s="214"/>
      <c r="J76" s="253"/>
      <c r="K76" s="219"/>
      <c r="L76" s="162"/>
      <c r="M76" s="158">
        <f t="shared" si="5"/>
        <v>0</v>
      </c>
      <c r="N76" s="267">
        <f t="shared" si="6"/>
        <v>0</v>
      </c>
      <c r="O76" s="268">
        <f t="shared" si="7"/>
        <v>0</v>
      </c>
      <c r="P76" s="264">
        <f t="shared" si="8"/>
        <v>0</v>
      </c>
      <c r="Q76" s="7"/>
      <c r="R76" s="277"/>
      <c r="S76" s="7"/>
      <c r="T76" s="7"/>
      <c r="U76" s="7"/>
      <c r="V76" s="7"/>
    </row>
    <row r="77" spans="1:22" s="5" customFormat="1" ht="18.75" hidden="1">
      <c r="A77" s="160" t="s">
        <v>95</v>
      </c>
      <c r="B77" s="178" t="s">
        <v>72</v>
      </c>
      <c r="C77" s="214"/>
      <c r="D77" s="253"/>
      <c r="E77" s="219"/>
      <c r="F77" s="214">
        <f t="shared" si="4"/>
        <v>0</v>
      </c>
      <c r="G77" s="253"/>
      <c r="H77" s="219"/>
      <c r="I77" s="214"/>
      <c r="J77" s="253"/>
      <c r="K77" s="219"/>
      <c r="L77" s="162"/>
      <c r="M77" s="158">
        <f t="shared" si="5"/>
        <v>0</v>
      </c>
      <c r="N77" s="267">
        <f t="shared" si="6"/>
        <v>0</v>
      </c>
      <c r="O77" s="268">
        <f t="shared" si="7"/>
        <v>0</v>
      </c>
      <c r="P77" s="264">
        <f t="shared" si="8"/>
        <v>0</v>
      </c>
      <c r="Q77" s="7"/>
      <c r="R77" s="277"/>
      <c r="S77" s="7"/>
      <c r="T77" s="7"/>
      <c r="U77" s="7"/>
      <c r="V77" s="7"/>
    </row>
    <row r="78" spans="1:22" s="5" customFormat="1" ht="18.75" hidden="1">
      <c r="A78" s="160" t="s">
        <v>96</v>
      </c>
      <c r="B78" s="178" t="s">
        <v>74</v>
      </c>
      <c r="C78" s="214"/>
      <c r="D78" s="253"/>
      <c r="E78" s="219"/>
      <c r="F78" s="214">
        <f t="shared" si="4"/>
        <v>0</v>
      </c>
      <c r="G78" s="253"/>
      <c r="H78" s="219"/>
      <c r="I78" s="214"/>
      <c r="J78" s="253"/>
      <c r="K78" s="219"/>
      <c r="L78" s="162"/>
      <c r="M78" s="158">
        <f t="shared" si="5"/>
        <v>0</v>
      </c>
      <c r="N78" s="267">
        <f t="shared" si="6"/>
        <v>0</v>
      </c>
      <c r="O78" s="268">
        <f t="shared" si="7"/>
        <v>0</v>
      </c>
      <c r="P78" s="264">
        <f t="shared" si="8"/>
        <v>0</v>
      </c>
      <c r="Q78" s="7"/>
      <c r="R78" s="277"/>
      <c r="S78" s="7"/>
      <c r="T78" s="7"/>
      <c r="U78" s="7"/>
      <c r="V78" s="7"/>
    </row>
    <row r="79" spans="1:22" s="5" customFormat="1" ht="18.75" hidden="1">
      <c r="A79" s="160" t="s">
        <v>97</v>
      </c>
      <c r="B79" s="178" t="s">
        <v>76</v>
      </c>
      <c r="C79" s="214"/>
      <c r="D79" s="253"/>
      <c r="E79" s="219"/>
      <c r="F79" s="214">
        <f t="shared" ref="F79:F135" si="9">I79-C79</f>
        <v>0</v>
      </c>
      <c r="G79" s="253"/>
      <c r="H79" s="219"/>
      <c r="I79" s="214"/>
      <c r="J79" s="253"/>
      <c r="K79" s="219"/>
      <c r="L79" s="162"/>
      <c r="M79" s="158">
        <f t="shared" si="5"/>
        <v>0</v>
      </c>
      <c r="N79" s="267">
        <f t="shared" si="6"/>
        <v>0</v>
      </c>
      <c r="O79" s="268">
        <f t="shared" si="7"/>
        <v>0</v>
      </c>
      <c r="P79" s="264">
        <f t="shared" si="8"/>
        <v>0</v>
      </c>
      <c r="Q79" s="7"/>
      <c r="R79" s="277"/>
      <c r="S79" s="7"/>
      <c r="T79" s="7"/>
      <c r="U79" s="7"/>
      <c r="V79" s="7"/>
    </row>
    <row r="80" spans="1:22" s="159" customFormat="1" ht="18.75" hidden="1">
      <c r="A80" s="153" t="s">
        <v>98</v>
      </c>
      <c r="B80" s="154" t="s">
        <v>99</v>
      </c>
      <c r="C80" s="257"/>
      <c r="D80" s="254"/>
      <c r="E80" s="218"/>
      <c r="F80" s="211">
        <f t="shared" si="9"/>
        <v>0</v>
      </c>
      <c r="G80" s="251"/>
      <c r="H80" s="218"/>
      <c r="I80" s="257"/>
      <c r="J80" s="254"/>
      <c r="K80" s="218"/>
      <c r="L80" s="155"/>
      <c r="M80" s="158">
        <f t="shared" si="5"/>
        <v>0</v>
      </c>
      <c r="N80" s="267">
        <f t="shared" si="6"/>
        <v>0</v>
      </c>
      <c r="O80" s="268">
        <f t="shared" si="7"/>
        <v>0</v>
      </c>
      <c r="P80" s="264">
        <f t="shared" si="8"/>
        <v>0</v>
      </c>
      <c r="Q80" s="158"/>
      <c r="R80" s="277"/>
      <c r="S80" s="158"/>
      <c r="T80" s="158"/>
      <c r="U80" s="158"/>
      <c r="V80" s="158"/>
    </row>
    <row r="81" spans="1:22" s="5" customFormat="1" ht="18.75" hidden="1">
      <c r="A81" s="160"/>
      <c r="B81" s="161" t="s">
        <v>11</v>
      </c>
      <c r="C81" s="214"/>
      <c r="D81" s="253"/>
      <c r="E81" s="219"/>
      <c r="F81" s="214">
        <f t="shared" si="9"/>
        <v>0</v>
      </c>
      <c r="G81" s="253"/>
      <c r="H81" s="219"/>
      <c r="I81" s="214"/>
      <c r="J81" s="253"/>
      <c r="K81" s="219"/>
      <c r="L81" s="162"/>
      <c r="M81" s="158">
        <f t="shared" si="5"/>
        <v>0</v>
      </c>
      <c r="N81" s="267">
        <f t="shared" si="6"/>
        <v>0</v>
      </c>
      <c r="O81" s="268">
        <f t="shared" si="7"/>
        <v>0</v>
      </c>
      <c r="P81" s="264">
        <f t="shared" si="8"/>
        <v>0</v>
      </c>
      <c r="Q81" s="7"/>
      <c r="R81" s="277"/>
      <c r="S81" s="7"/>
      <c r="T81" s="7"/>
      <c r="U81" s="7"/>
      <c r="V81" s="7"/>
    </row>
    <row r="82" spans="1:22" s="5" customFormat="1" ht="18.75" hidden="1">
      <c r="A82" s="160" t="s">
        <v>100</v>
      </c>
      <c r="B82" s="161" t="s">
        <v>49</v>
      </c>
      <c r="C82" s="214"/>
      <c r="D82" s="253"/>
      <c r="E82" s="219"/>
      <c r="F82" s="214">
        <f t="shared" si="9"/>
        <v>0</v>
      </c>
      <c r="G82" s="253"/>
      <c r="H82" s="219"/>
      <c r="I82" s="214"/>
      <c r="J82" s="253"/>
      <c r="K82" s="219"/>
      <c r="L82" s="162"/>
      <c r="M82" s="158">
        <f t="shared" si="5"/>
        <v>0</v>
      </c>
      <c r="N82" s="267">
        <f t="shared" si="6"/>
        <v>0</v>
      </c>
      <c r="O82" s="268">
        <f t="shared" si="7"/>
        <v>0</v>
      </c>
      <c r="P82" s="264">
        <f t="shared" si="8"/>
        <v>0</v>
      </c>
      <c r="Q82" s="7"/>
      <c r="R82" s="277"/>
      <c r="S82" s="7"/>
      <c r="T82" s="7"/>
      <c r="U82" s="7"/>
      <c r="V82" s="7"/>
    </row>
    <row r="83" spans="1:22" s="5" customFormat="1" ht="18.75" hidden="1">
      <c r="A83" s="160" t="s">
        <v>101</v>
      </c>
      <c r="B83" s="161" t="s">
        <v>15</v>
      </c>
      <c r="C83" s="214">
        <f>C85</f>
        <v>0</v>
      </c>
      <c r="D83" s="253">
        <f>D85</f>
        <v>0</v>
      </c>
      <c r="E83" s="219"/>
      <c r="F83" s="214">
        <f t="shared" si="9"/>
        <v>0</v>
      </c>
      <c r="G83" s="253">
        <f>G85</f>
        <v>0</v>
      </c>
      <c r="H83" s="219"/>
      <c r="I83" s="214">
        <f>I85</f>
        <v>0</v>
      </c>
      <c r="J83" s="253">
        <f>J85</f>
        <v>0</v>
      </c>
      <c r="K83" s="219"/>
      <c r="L83" s="162"/>
      <c r="M83" s="158">
        <f t="shared" si="5"/>
        <v>0</v>
      </c>
      <c r="N83" s="267">
        <f t="shared" si="6"/>
        <v>0</v>
      </c>
      <c r="O83" s="268">
        <f t="shared" si="7"/>
        <v>0</v>
      </c>
      <c r="P83" s="264">
        <f t="shared" si="8"/>
        <v>0</v>
      </c>
      <c r="Q83" s="7"/>
      <c r="R83" s="277"/>
      <c r="S83" s="7"/>
      <c r="T83" s="7"/>
      <c r="U83" s="7"/>
      <c r="V83" s="7"/>
    </row>
    <row r="84" spans="1:22" s="5" customFormat="1" ht="18.75" hidden="1">
      <c r="A84" s="160"/>
      <c r="B84" s="161" t="s">
        <v>102</v>
      </c>
      <c r="C84" s="214"/>
      <c r="D84" s="253"/>
      <c r="E84" s="219"/>
      <c r="F84" s="214">
        <f t="shared" si="9"/>
        <v>0</v>
      </c>
      <c r="G84" s="253"/>
      <c r="H84" s="219"/>
      <c r="I84" s="214"/>
      <c r="J84" s="253"/>
      <c r="K84" s="219"/>
      <c r="L84" s="162"/>
      <c r="M84" s="158">
        <f t="shared" si="5"/>
        <v>0</v>
      </c>
      <c r="N84" s="267">
        <f t="shared" si="6"/>
        <v>0</v>
      </c>
      <c r="O84" s="268">
        <f t="shared" si="7"/>
        <v>0</v>
      </c>
      <c r="P84" s="264">
        <f t="shared" si="8"/>
        <v>0</v>
      </c>
      <c r="Q84" s="7"/>
      <c r="R84" s="277"/>
      <c r="S84" s="7"/>
      <c r="T84" s="7"/>
      <c r="U84" s="7"/>
      <c r="V84" s="7"/>
    </row>
    <row r="85" spans="1:22" s="5" customFormat="1" ht="18.75" hidden="1">
      <c r="A85" s="160" t="s">
        <v>103</v>
      </c>
      <c r="B85" s="161" t="s">
        <v>17</v>
      </c>
      <c r="C85" s="214"/>
      <c r="D85" s="253"/>
      <c r="E85" s="219"/>
      <c r="F85" s="214">
        <f t="shared" si="9"/>
        <v>0</v>
      </c>
      <c r="G85" s="253"/>
      <c r="H85" s="219"/>
      <c r="I85" s="214"/>
      <c r="J85" s="253"/>
      <c r="K85" s="219"/>
      <c r="L85" s="162"/>
      <c r="M85" s="158">
        <f t="shared" si="5"/>
        <v>0</v>
      </c>
      <c r="N85" s="267">
        <f t="shared" si="6"/>
        <v>0</v>
      </c>
      <c r="O85" s="268">
        <f t="shared" si="7"/>
        <v>0</v>
      </c>
      <c r="P85" s="264">
        <f t="shared" si="8"/>
        <v>0</v>
      </c>
      <c r="Q85" s="7"/>
      <c r="R85" s="277"/>
      <c r="S85" s="7"/>
      <c r="T85" s="7"/>
      <c r="U85" s="7"/>
      <c r="V85" s="7"/>
    </row>
    <row r="86" spans="1:22" s="5" customFormat="1" ht="18.75" hidden="1">
      <c r="A86" s="160" t="s">
        <v>104</v>
      </c>
      <c r="B86" s="161" t="s">
        <v>54</v>
      </c>
      <c r="C86" s="214"/>
      <c r="D86" s="253"/>
      <c r="E86" s="219"/>
      <c r="F86" s="214">
        <f t="shared" si="9"/>
        <v>0</v>
      </c>
      <c r="G86" s="253"/>
      <c r="H86" s="219"/>
      <c r="I86" s="214"/>
      <c r="J86" s="253"/>
      <c r="K86" s="219"/>
      <c r="L86" s="162"/>
      <c r="M86" s="158">
        <f t="shared" si="5"/>
        <v>0</v>
      </c>
      <c r="N86" s="267">
        <f t="shared" si="6"/>
        <v>0</v>
      </c>
      <c r="O86" s="268">
        <f t="shared" si="7"/>
        <v>0</v>
      </c>
      <c r="P86" s="264">
        <f t="shared" si="8"/>
        <v>0</v>
      </c>
      <c r="Q86" s="7"/>
      <c r="R86" s="277"/>
      <c r="S86" s="7"/>
      <c r="T86" s="7"/>
      <c r="U86" s="7"/>
      <c r="V86" s="7"/>
    </row>
    <row r="87" spans="1:22" s="5" customFormat="1" ht="18.75" hidden="1">
      <c r="A87" s="160"/>
      <c r="B87" s="161" t="s">
        <v>45</v>
      </c>
      <c r="C87" s="214"/>
      <c r="D87" s="253"/>
      <c r="E87" s="219"/>
      <c r="F87" s="214">
        <f t="shared" si="9"/>
        <v>0</v>
      </c>
      <c r="G87" s="253"/>
      <c r="H87" s="219"/>
      <c r="I87" s="214"/>
      <c r="J87" s="253"/>
      <c r="K87" s="219"/>
      <c r="L87" s="162"/>
      <c r="M87" s="158">
        <f t="shared" si="5"/>
        <v>0</v>
      </c>
      <c r="N87" s="267">
        <f t="shared" si="6"/>
        <v>0</v>
      </c>
      <c r="O87" s="268">
        <f t="shared" si="7"/>
        <v>0</v>
      </c>
      <c r="P87" s="264">
        <f t="shared" si="8"/>
        <v>0</v>
      </c>
      <c r="Q87" s="7"/>
      <c r="R87" s="277"/>
      <c r="S87" s="7"/>
      <c r="T87" s="7"/>
      <c r="U87" s="7"/>
      <c r="V87" s="7"/>
    </row>
    <row r="88" spans="1:22" s="159" customFormat="1" ht="18.75" hidden="1">
      <c r="A88" s="153" t="s">
        <v>105</v>
      </c>
      <c r="B88" s="154" t="s">
        <v>56</v>
      </c>
      <c r="C88" s="214"/>
      <c r="D88" s="253"/>
      <c r="E88" s="218"/>
      <c r="F88" s="211">
        <f t="shared" si="9"/>
        <v>0</v>
      </c>
      <c r="G88" s="251"/>
      <c r="H88" s="218"/>
      <c r="I88" s="214"/>
      <c r="J88" s="253"/>
      <c r="K88" s="218"/>
      <c r="L88" s="155"/>
      <c r="M88" s="158">
        <f t="shared" si="5"/>
        <v>0</v>
      </c>
      <c r="N88" s="267">
        <f t="shared" si="6"/>
        <v>0</v>
      </c>
      <c r="O88" s="268">
        <f t="shared" si="7"/>
        <v>0</v>
      </c>
      <c r="P88" s="264">
        <f t="shared" si="8"/>
        <v>0</v>
      </c>
      <c r="Q88" s="158"/>
      <c r="R88" s="277"/>
      <c r="S88" s="158"/>
      <c r="T88" s="158"/>
      <c r="U88" s="158"/>
      <c r="V88" s="158"/>
    </row>
    <row r="89" spans="1:22" s="182" customFormat="1" ht="18.75" hidden="1">
      <c r="A89" s="153" t="s">
        <v>106</v>
      </c>
      <c r="B89" s="154" t="s">
        <v>58</v>
      </c>
      <c r="C89" s="214"/>
      <c r="D89" s="253"/>
      <c r="E89" s="218"/>
      <c r="F89" s="211">
        <f t="shared" si="9"/>
        <v>0</v>
      </c>
      <c r="G89" s="251"/>
      <c r="H89" s="218"/>
      <c r="I89" s="214"/>
      <c r="J89" s="253"/>
      <c r="K89" s="218"/>
      <c r="L89" s="155"/>
      <c r="M89" s="158">
        <f t="shared" si="5"/>
        <v>0</v>
      </c>
      <c r="N89" s="267">
        <f t="shared" si="6"/>
        <v>0</v>
      </c>
      <c r="O89" s="268">
        <f t="shared" si="7"/>
        <v>0</v>
      </c>
      <c r="P89" s="264">
        <f t="shared" si="8"/>
        <v>0</v>
      </c>
      <c r="Q89" s="181"/>
      <c r="R89" s="277"/>
      <c r="S89" s="181"/>
      <c r="T89" s="181"/>
      <c r="U89" s="181"/>
      <c r="V89" s="181"/>
    </row>
    <row r="90" spans="1:22" s="5" customFormat="1" ht="18.75" hidden="1">
      <c r="A90" s="160"/>
      <c r="B90" s="161" t="s">
        <v>28</v>
      </c>
      <c r="C90" s="214"/>
      <c r="D90" s="253"/>
      <c r="E90" s="219"/>
      <c r="F90" s="214">
        <f t="shared" si="9"/>
        <v>0</v>
      </c>
      <c r="G90" s="253"/>
      <c r="H90" s="219"/>
      <c r="I90" s="214"/>
      <c r="J90" s="253"/>
      <c r="K90" s="219"/>
      <c r="L90" s="162"/>
      <c r="M90" s="158">
        <f t="shared" si="5"/>
        <v>0</v>
      </c>
      <c r="N90" s="267">
        <f t="shared" si="6"/>
        <v>0</v>
      </c>
      <c r="O90" s="268">
        <f t="shared" si="7"/>
        <v>0</v>
      </c>
      <c r="P90" s="264">
        <f t="shared" si="8"/>
        <v>0</v>
      </c>
      <c r="Q90" s="7"/>
      <c r="R90" s="277"/>
      <c r="S90" s="7"/>
      <c r="T90" s="7"/>
      <c r="U90" s="7"/>
      <c r="V90" s="7"/>
    </row>
    <row r="91" spans="1:22" s="5" customFormat="1" ht="18.75" hidden="1">
      <c r="A91" s="160" t="s">
        <v>107</v>
      </c>
      <c r="B91" s="161" t="s">
        <v>30</v>
      </c>
      <c r="C91" s="214"/>
      <c r="D91" s="253"/>
      <c r="E91" s="219"/>
      <c r="F91" s="214">
        <f t="shared" si="9"/>
        <v>0</v>
      </c>
      <c r="G91" s="253"/>
      <c r="H91" s="219"/>
      <c r="I91" s="214"/>
      <c r="J91" s="253"/>
      <c r="K91" s="219"/>
      <c r="L91" s="162"/>
      <c r="M91" s="158">
        <f t="shared" si="5"/>
        <v>0</v>
      </c>
      <c r="N91" s="267">
        <f t="shared" si="6"/>
        <v>0</v>
      </c>
      <c r="O91" s="268">
        <f t="shared" si="7"/>
        <v>0</v>
      </c>
      <c r="P91" s="264">
        <f t="shared" si="8"/>
        <v>0</v>
      </c>
      <c r="Q91" s="7"/>
      <c r="R91" s="277"/>
      <c r="S91" s="7"/>
      <c r="T91" s="7"/>
      <c r="U91" s="7"/>
      <c r="V91" s="7"/>
    </row>
    <row r="92" spans="1:22" s="185" customFormat="1" ht="19.5" hidden="1">
      <c r="A92" s="160" t="s">
        <v>108</v>
      </c>
      <c r="B92" s="161" t="s">
        <v>109</v>
      </c>
      <c r="C92" s="214"/>
      <c r="D92" s="253"/>
      <c r="E92" s="220"/>
      <c r="F92" s="215">
        <f t="shared" si="9"/>
        <v>0</v>
      </c>
      <c r="G92" s="260"/>
      <c r="H92" s="220"/>
      <c r="I92" s="214"/>
      <c r="J92" s="253"/>
      <c r="K92" s="220"/>
      <c r="L92" s="162"/>
      <c r="M92" s="158">
        <f t="shared" si="5"/>
        <v>0</v>
      </c>
      <c r="N92" s="267">
        <f t="shared" si="6"/>
        <v>0</v>
      </c>
      <c r="O92" s="268">
        <f t="shared" si="7"/>
        <v>0</v>
      </c>
      <c r="P92" s="264">
        <f t="shared" si="8"/>
        <v>0</v>
      </c>
      <c r="Q92" s="184"/>
      <c r="R92" s="277"/>
      <c r="S92" s="184"/>
      <c r="T92" s="184"/>
      <c r="U92" s="184"/>
      <c r="V92" s="184"/>
    </row>
    <row r="93" spans="1:22" s="5" customFormat="1" ht="18.75" hidden="1">
      <c r="A93" s="160"/>
      <c r="B93" s="161" t="s">
        <v>28</v>
      </c>
      <c r="C93" s="214"/>
      <c r="D93" s="253"/>
      <c r="E93" s="219"/>
      <c r="F93" s="214">
        <f t="shared" si="9"/>
        <v>0</v>
      </c>
      <c r="G93" s="253"/>
      <c r="H93" s="219"/>
      <c r="I93" s="214"/>
      <c r="J93" s="253"/>
      <c r="K93" s="219"/>
      <c r="L93" s="162"/>
      <c r="M93" s="158">
        <f t="shared" si="5"/>
        <v>0</v>
      </c>
      <c r="N93" s="267">
        <f t="shared" si="6"/>
        <v>0</v>
      </c>
      <c r="O93" s="268">
        <f t="shared" si="7"/>
        <v>0</v>
      </c>
      <c r="P93" s="264">
        <f t="shared" si="8"/>
        <v>0</v>
      </c>
      <c r="Q93" s="7"/>
      <c r="R93" s="277"/>
      <c r="S93" s="7"/>
      <c r="T93" s="7"/>
      <c r="U93" s="7"/>
      <c r="V93" s="7"/>
    </row>
    <row r="94" spans="1:22" s="5" customFormat="1" ht="18.75" hidden="1">
      <c r="A94" s="171" t="s">
        <v>110</v>
      </c>
      <c r="B94" s="161" t="s">
        <v>17</v>
      </c>
      <c r="C94" s="214"/>
      <c r="D94" s="253"/>
      <c r="E94" s="219"/>
      <c r="F94" s="214">
        <f t="shared" si="9"/>
        <v>0</v>
      </c>
      <c r="G94" s="253"/>
      <c r="H94" s="219"/>
      <c r="I94" s="214"/>
      <c r="J94" s="253"/>
      <c r="K94" s="219"/>
      <c r="L94" s="162"/>
      <c r="M94" s="158">
        <f t="shared" si="5"/>
        <v>0</v>
      </c>
      <c r="N94" s="267">
        <f t="shared" si="6"/>
        <v>0</v>
      </c>
      <c r="O94" s="268">
        <f t="shared" si="7"/>
        <v>0</v>
      </c>
      <c r="P94" s="264">
        <f t="shared" si="8"/>
        <v>0</v>
      </c>
      <c r="Q94" s="7"/>
      <c r="R94" s="277"/>
      <c r="S94" s="7"/>
      <c r="T94" s="7"/>
      <c r="U94" s="7"/>
      <c r="V94" s="7"/>
    </row>
    <row r="95" spans="1:22" s="5" customFormat="1" ht="37.5" hidden="1">
      <c r="A95" s="171" t="s">
        <v>111</v>
      </c>
      <c r="B95" s="172" t="s">
        <v>112</v>
      </c>
      <c r="C95" s="214"/>
      <c r="D95" s="253"/>
      <c r="E95" s="219"/>
      <c r="F95" s="214">
        <f t="shared" si="9"/>
        <v>0</v>
      </c>
      <c r="G95" s="253"/>
      <c r="H95" s="219"/>
      <c r="I95" s="214"/>
      <c r="J95" s="253"/>
      <c r="K95" s="219"/>
      <c r="L95" s="162"/>
      <c r="M95" s="158">
        <f t="shared" si="5"/>
        <v>0</v>
      </c>
      <c r="N95" s="267">
        <f t="shared" si="6"/>
        <v>0</v>
      </c>
      <c r="O95" s="268">
        <f t="shared" si="7"/>
        <v>0</v>
      </c>
      <c r="P95" s="264">
        <f t="shared" si="8"/>
        <v>0</v>
      </c>
      <c r="Q95" s="7"/>
      <c r="R95" s="277"/>
      <c r="S95" s="7"/>
      <c r="T95" s="7"/>
      <c r="U95" s="7"/>
      <c r="V95" s="7"/>
    </row>
    <row r="96" spans="1:22" s="5" customFormat="1" ht="18.75" hidden="1">
      <c r="A96" s="171" t="s">
        <v>113</v>
      </c>
      <c r="B96" s="172" t="s">
        <v>54</v>
      </c>
      <c r="C96" s="214"/>
      <c r="D96" s="253"/>
      <c r="E96" s="219"/>
      <c r="F96" s="214">
        <f t="shared" si="9"/>
        <v>0</v>
      </c>
      <c r="G96" s="253"/>
      <c r="H96" s="219"/>
      <c r="I96" s="214"/>
      <c r="J96" s="253"/>
      <c r="K96" s="219"/>
      <c r="L96" s="162"/>
      <c r="M96" s="158">
        <f t="shared" si="5"/>
        <v>0</v>
      </c>
      <c r="N96" s="267">
        <f t="shared" si="6"/>
        <v>0</v>
      </c>
      <c r="O96" s="268">
        <f t="shared" si="7"/>
        <v>0</v>
      </c>
      <c r="P96" s="264">
        <f t="shared" si="8"/>
        <v>0</v>
      </c>
      <c r="Q96" s="7"/>
      <c r="R96" s="277"/>
      <c r="S96" s="7"/>
      <c r="T96" s="7"/>
      <c r="U96" s="7"/>
      <c r="V96" s="7"/>
    </row>
    <row r="97" spans="1:22" s="5" customFormat="1" ht="37.5" hidden="1">
      <c r="A97" s="171" t="s">
        <v>114</v>
      </c>
      <c r="B97" s="172" t="s">
        <v>115</v>
      </c>
      <c r="C97" s="214"/>
      <c r="D97" s="253"/>
      <c r="E97" s="219"/>
      <c r="F97" s="214">
        <f t="shared" si="9"/>
        <v>0</v>
      </c>
      <c r="G97" s="253"/>
      <c r="H97" s="219"/>
      <c r="I97" s="214"/>
      <c r="J97" s="253"/>
      <c r="K97" s="219"/>
      <c r="L97" s="162"/>
      <c r="M97" s="158">
        <f t="shared" si="5"/>
        <v>0</v>
      </c>
      <c r="N97" s="267">
        <f t="shared" si="6"/>
        <v>0</v>
      </c>
      <c r="O97" s="268">
        <f t="shared" si="7"/>
        <v>0</v>
      </c>
      <c r="P97" s="264">
        <f t="shared" si="8"/>
        <v>0</v>
      </c>
      <c r="Q97" s="7"/>
      <c r="R97" s="277"/>
      <c r="S97" s="7"/>
      <c r="T97" s="7"/>
      <c r="U97" s="7"/>
      <c r="V97" s="7"/>
    </row>
    <row r="98" spans="1:22" s="187" customFormat="1" ht="19.5" hidden="1" thickBot="1">
      <c r="A98" s="186"/>
      <c r="B98" s="161" t="s">
        <v>45</v>
      </c>
      <c r="C98" s="224"/>
      <c r="D98" s="255"/>
      <c r="E98" s="219"/>
      <c r="F98" s="214">
        <f t="shared" si="9"/>
        <v>0</v>
      </c>
      <c r="G98" s="253"/>
      <c r="H98" s="219"/>
      <c r="I98" s="224"/>
      <c r="J98" s="255"/>
      <c r="K98" s="219"/>
      <c r="L98" s="162"/>
      <c r="M98" s="158">
        <f t="shared" si="5"/>
        <v>0</v>
      </c>
      <c r="N98" s="267">
        <f t="shared" si="6"/>
        <v>0</v>
      </c>
      <c r="O98" s="268">
        <f t="shared" si="7"/>
        <v>0</v>
      </c>
      <c r="P98" s="264">
        <f t="shared" si="8"/>
        <v>0</v>
      </c>
      <c r="Q98" s="181"/>
      <c r="R98" s="277"/>
      <c r="S98" s="181"/>
      <c r="T98" s="181"/>
      <c r="U98" s="181"/>
      <c r="V98" s="181"/>
    </row>
    <row r="99" spans="1:22" s="5" customFormat="1" ht="18.75" hidden="1">
      <c r="A99" s="160" t="s">
        <v>116</v>
      </c>
      <c r="B99" s="161" t="s">
        <v>117</v>
      </c>
      <c r="C99" s="214"/>
      <c r="D99" s="253"/>
      <c r="E99" s="219"/>
      <c r="F99" s="214">
        <f t="shared" si="9"/>
        <v>0</v>
      </c>
      <c r="G99" s="253"/>
      <c r="H99" s="219"/>
      <c r="I99" s="214"/>
      <c r="J99" s="253"/>
      <c r="K99" s="219"/>
      <c r="L99" s="162"/>
      <c r="M99" s="158">
        <f t="shared" si="5"/>
        <v>0</v>
      </c>
      <c r="N99" s="267">
        <f t="shared" si="6"/>
        <v>0</v>
      </c>
      <c r="O99" s="268">
        <f t="shared" si="7"/>
        <v>0</v>
      </c>
      <c r="P99" s="264">
        <f t="shared" si="8"/>
        <v>0</v>
      </c>
      <c r="Q99" s="7"/>
      <c r="R99" s="277"/>
      <c r="S99" s="7"/>
      <c r="T99" s="7"/>
      <c r="U99" s="7"/>
      <c r="V99" s="7"/>
    </row>
    <row r="100" spans="1:22" s="5" customFormat="1" ht="18.75" hidden="1">
      <c r="A100" s="160" t="s">
        <v>118</v>
      </c>
      <c r="B100" s="178" t="s">
        <v>74</v>
      </c>
      <c r="C100" s="258"/>
      <c r="D100" s="256"/>
      <c r="E100" s="219"/>
      <c r="F100" s="214">
        <f t="shared" si="9"/>
        <v>0</v>
      </c>
      <c r="G100" s="253"/>
      <c r="H100" s="219"/>
      <c r="I100" s="258"/>
      <c r="J100" s="256"/>
      <c r="K100" s="219"/>
      <c r="L100" s="162"/>
      <c r="M100" s="158">
        <f t="shared" si="5"/>
        <v>0</v>
      </c>
      <c r="N100" s="267">
        <f t="shared" si="6"/>
        <v>0</v>
      </c>
      <c r="O100" s="268">
        <f t="shared" si="7"/>
        <v>0</v>
      </c>
      <c r="P100" s="264">
        <f t="shared" si="8"/>
        <v>0</v>
      </c>
      <c r="Q100" s="7"/>
      <c r="R100" s="277"/>
      <c r="S100" s="7"/>
      <c r="T100" s="7"/>
      <c r="U100" s="7"/>
      <c r="V100" s="7"/>
    </row>
    <row r="101" spans="1:22" s="5" customFormat="1" ht="18.75" hidden="1">
      <c r="A101" s="160" t="s">
        <v>119</v>
      </c>
      <c r="B101" s="178" t="s">
        <v>76</v>
      </c>
      <c r="C101" s="214"/>
      <c r="D101" s="253"/>
      <c r="E101" s="219"/>
      <c r="F101" s="214">
        <f t="shared" si="9"/>
        <v>0</v>
      </c>
      <c r="G101" s="253"/>
      <c r="H101" s="219"/>
      <c r="I101" s="214"/>
      <c r="J101" s="253"/>
      <c r="K101" s="219"/>
      <c r="L101" s="162"/>
      <c r="M101" s="158">
        <f t="shared" si="5"/>
        <v>0</v>
      </c>
      <c r="N101" s="267">
        <f t="shared" si="6"/>
        <v>0</v>
      </c>
      <c r="O101" s="268">
        <f t="shared" si="7"/>
        <v>0</v>
      </c>
      <c r="P101" s="264">
        <f t="shared" si="8"/>
        <v>0</v>
      </c>
      <c r="Q101" s="7"/>
      <c r="R101" s="277"/>
      <c r="S101" s="7"/>
      <c r="T101" s="7"/>
      <c r="U101" s="7"/>
      <c r="V101" s="7"/>
    </row>
    <row r="102" spans="1:22" s="159" customFormat="1" ht="18.75">
      <c r="A102" s="153" t="s">
        <v>120</v>
      </c>
      <c r="B102" s="154" t="s">
        <v>121</v>
      </c>
      <c r="C102" s="211">
        <f>C105+C104</f>
        <v>345230.45469999994</v>
      </c>
      <c r="D102" s="251">
        <f>D105+D104</f>
        <v>110.47039669999999</v>
      </c>
      <c r="E102" s="218"/>
      <c r="F102" s="211">
        <f>F105+F104</f>
        <v>293344.57593999995</v>
      </c>
      <c r="G102" s="251">
        <f>G105+G104</f>
        <v>93.901342699999987</v>
      </c>
      <c r="H102" s="218"/>
      <c r="I102" s="211">
        <f>I105+I104</f>
        <v>638575.03064000001</v>
      </c>
      <c r="J102" s="251">
        <f>J105+J104</f>
        <v>102.1859197</v>
      </c>
      <c r="K102" s="218"/>
      <c r="L102" s="155"/>
      <c r="M102" s="158">
        <f t="shared" si="5"/>
        <v>102.18586969999998</v>
      </c>
      <c r="N102" s="267">
        <f t="shared" si="6"/>
        <v>5.0000000015870683E-5</v>
      </c>
      <c r="O102" s="268">
        <f t="shared" si="7"/>
        <v>638575.0306399999</v>
      </c>
      <c r="P102" s="264">
        <f t="shared" si="8"/>
        <v>0</v>
      </c>
      <c r="Q102" s="158"/>
      <c r="R102" s="277"/>
      <c r="S102" s="158"/>
      <c r="T102" s="158"/>
      <c r="U102" s="158"/>
      <c r="V102" s="158"/>
    </row>
    <row r="103" spans="1:22" s="5" customFormat="1" ht="18.75">
      <c r="A103" s="160"/>
      <c r="B103" s="161" t="s">
        <v>11</v>
      </c>
      <c r="C103" s="214"/>
      <c r="D103" s="253"/>
      <c r="E103" s="219"/>
      <c r="F103" s="214"/>
      <c r="G103" s="253"/>
      <c r="H103" s="219"/>
      <c r="I103" s="214"/>
      <c r="J103" s="253"/>
      <c r="K103" s="219"/>
      <c r="L103" s="162"/>
      <c r="M103" s="158">
        <f t="shared" si="5"/>
        <v>0</v>
      </c>
      <c r="N103" s="267">
        <f t="shared" si="6"/>
        <v>0</v>
      </c>
      <c r="O103" s="268">
        <f t="shared" si="7"/>
        <v>0</v>
      </c>
      <c r="P103" s="264">
        <f t="shared" si="8"/>
        <v>0</v>
      </c>
      <c r="Q103" s="7"/>
      <c r="R103" s="277"/>
      <c r="S103" s="7"/>
      <c r="T103" s="7"/>
      <c r="U103" s="7"/>
      <c r="V103" s="7"/>
    </row>
    <row r="104" spans="1:22" s="5" customFormat="1" ht="18.75">
      <c r="A104" s="160" t="s">
        <v>122</v>
      </c>
      <c r="B104" s="161" t="s">
        <v>13</v>
      </c>
      <c r="C104" s="214"/>
      <c r="D104" s="253"/>
      <c r="E104" s="219"/>
      <c r="F104" s="214"/>
      <c r="G104" s="253"/>
      <c r="H104" s="219"/>
      <c r="I104" s="214"/>
      <c r="J104" s="253"/>
      <c r="K104" s="219"/>
      <c r="L104" s="162"/>
      <c r="M104" s="158">
        <f t="shared" si="5"/>
        <v>0</v>
      </c>
      <c r="N104" s="267">
        <f t="shared" si="6"/>
        <v>0</v>
      </c>
      <c r="O104" s="268">
        <f t="shared" si="7"/>
        <v>0</v>
      </c>
      <c r="P104" s="264">
        <f t="shared" si="8"/>
        <v>0</v>
      </c>
      <c r="Q104" s="7"/>
      <c r="R104" s="277"/>
      <c r="S104" s="7"/>
      <c r="T104" s="7"/>
      <c r="U104" s="7"/>
      <c r="V104" s="7"/>
    </row>
    <row r="105" spans="1:22" s="5" customFormat="1" ht="18.75">
      <c r="A105" s="160" t="s">
        <v>123</v>
      </c>
      <c r="B105" s="161" t="s">
        <v>15</v>
      </c>
      <c r="C105" s="214">
        <f>C107+C108+C109+C110+C111+C112</f>
        <v>345230.45469999994</v>
      </c>
      <c r="D105" s="253">
        <f>D107+D108+D109+D110+D111+D112</f>
        <v>110.47039669999999</v>
      </c>
      <c r="E105" s="219"/>
      <c r="F105" s="214">
        <f>F107+F108+F109+F110+F111+F112</f>
        <v>293344.57593999995</v>
      </c>
      <c r="G105" s="253">
        <f>G107+G108+G109+G110+G111+G112</f>
        <v>93.901342699999987</v>
      </c>
      <c r="H105" s="219"/>
      <c r="I105" s="214">
        <f>I107+I108+I109+I110+I111+I112</f>
        <v>638575.03064000001</v>
      </c>
      <c r="J105" s="253">
        <f>J107+J108+J109+J110+J111+J112</f>
        <v>102.1859197</v>
      </c>
      <c r="K105" s="219"/>
      <c r="L105" s="162"/>
      <c r="M105" s="158">
        <f t="shared" si="5"/>
        <v>102.18586969999998</v>
      </c>
      <c r="N105" s="267">
        <f t="shared" si="6"/>
        <v>5.0000000015870683E-5</v>
      </c>
      <c r="O105" s="268">
        <f t="shared" si="7"/>
        <v>638575.0306399999</v>
      </c>
      <c r="P105" s="264">
        <f t="shared" si="8"/>
        <v>0</v>
      </c>
      <c r="Q105" s="7"/>
      <c r="R105" s="277"/>
      <c r="S105" s="7"/>
      <c r="T105" s="7"/>
      <c r="U105" s="7"/>
      <c r="V105" s="7"/>
    </row>
    <row r="106" spans="1:22" s="5" customFormat="1" ht="18.75">
      <c r="A106" s="160"/>
      <c r="B106" s="161" t="s">
        <v>11</v>
      </c>
      <c r="C106" s="214"/>
      <c r="D106" s="253"/>
      <c r="E106" s="219"/>
      <c r="F106" s="214">
        <f t="shared" si="9"/>
        <v>0</v>
      </c>
      <c r="G106" s="253"/>
      <c r="H106" s="219"/>
      <c r="I106" s="214"/>
      <c r="J106" s="253"/>
      <c r="K106" s="219"/>
      <c r="L106" s="162"/>
      <c r="M106" s="158">
        <f t="shared" si="5"/>
        <v>0</v>
      </c>
      <c r="N106" s="267">
        <f t="shared" si="6"/>
        <v>0</v>
      </c>
      <c r="O106" s="268">
        <f t="shared" si="7"/>
        <v>0</v>
      </c>
      <c r="P106" s="264">
        <f t="shared" si="8"/>
        <v>0</v>
      </c>
      <c r="Q106" s="7"/>
      <c r="R106" s="277"/>
      <c r="S106" s="7"/>
      <c r="T106" s="7"/>
      <c r="U106" s="7"/>
      <c r="V106" s="7"/>
    </row>
    <row r="107" spans="1:22" s="5" customFormat="1" ht="18.75">
      <c r="A107" s="160" t="s">
        <v>124</v>
      </c>
      <c r="B107" s="161" t="s">
        <v>243</v>
      </c>
      <c r="C107" s="211">
        <v>22276.35</v>
      </c>
      <c r="D107" s="253">
        <v>7.6794000000000002</v>
      </c>
      <c r="E107" s="219"/>
      <c r="F107" s="211">
        <v>16937.79</v>
      </c>
      <c r="G107" s="253">
        <f>(J107*2)-D107</f>
        <v>6.4005999999999998</v>
      </c>
      <c r="H107" s="219"/>
      <c r="I107" s="214">
        <f>C107+F107</f>
        <v>39214.14</v>
      </c>
      <c r="J107" s="253">
        <v>7.04</v>
      </c>
      <c r="K107" s="219"/>
      <c r="L107" s="162"/>
      <c r="M107" s="158">
        <f t="shared" si="5"/>
        <v>7.04</v>
      </c>
      <c r="N107" s="267">
        <f t="shared" si="6"/>
        <v>0</v>
      </c>
      <c r="O107" s="268">
        <f t="shared" si="7"/>
        <v>39214.14</v>
      </c>
      <c r="P107" s="264">
        <f t="shared" si="8"/>
        <v>0</v>
      </c>
      <c r="Q107" s="7"/>
      <c r="R107" s="277"/>
      <c r="S107" s="7"/>
      <c r="T107" s="7"/>
      <c r="U107" s="7"/>
      <c r="V107" s="7"/>
    </row>
    <row r="108" spans="1:22" s="5" customFormat="1" ht="18.75">
      <c r="A108" s="160" t="s">
        <v>125</v>
      </c>
      <c r="B108" s="161" t="s">
        <v>17</v>
      </c>
      <c r="C108" s="214">
        <v>301953.10469999997</v>
      </c>
      <c r="D108" s="253">
        <f>101.8883*0.949</f>
        <v>96.69199669999999</v>
      </c>
      <c r="E108" s="219"/>
      <c r="F108" s="214">
        <f>I108-C108</f>
        <v>254550.48593999998</v>
      </c>
      <c r="G108" s="253">
        <f>(J108*2)-D108</f>
        <v>80.800042699999992</v>
      </c>
      <c r="H108" s="219"/>
      <c r="I108" s="214">
        <v>556503.59063999995</v>
      </c>
      <c r="J108" s="253">
        <f>93.5153*0.949</f>
        <v>88.746019699999991</v>
      </c>
      <c r="K108" s="219"/>
      <c r="L108" s="162"/>
      <c r="M108" s="158">
        <f t="shared" si="5"/>
        <v>88.746019699999991</v>
      </c>
      <c r="N108" s="267">
        <f t="shared" si="6"/>
        <v>0</v>
      </c>
      <c r="O108" s="268">
        <f t="shared" si="7"/>
        <v>556503.59063999995</v>
      </c>
      <c r="P108" s="264">
        <f t="shared" si="8"/>
        <v>0</v>
      </c>
      <c r="Q108" s="7"/>
      <c r="R108" s="277"/>
      <c r="S108" s="7"/>
      <c r="T108" s="7"/>
      <c r="U108" s="7"/>
      <c r="V108" s="7"/>
    </row>
    <row r="109" spans="1:22" s="5" customFormat="1" ht="18.75">
      <c r="A109" s="160" t="s">
        <v>126</v>
      </c>
      <c r="B109" s="161" t="s">
        <v>19</v>
      </c>
      <c r="C109" s="214">
        <v>0</v>
      </c>
      <c r="D109" s="253">
        <v>0</v>
      </c>
      <c r="E109" s="219"/>
      <c r="F109" s="214">
        <f t="shared" si="9"/>
        <v>0</v>
      </c>
      <c r="G109" s="253"/>
      <c r="H109" s="219"/>
      <c r="I109" s="214">
        <v>0</v>
      </c>
      <c r="J109" s="253">
        <v>0</v>
      </c>
      <c r="K109" s="219"/>
      <c r="L109" s="162"/>
      <c r="M109" s="158">
        <f t="shared" si="5"/>
        <v>0</v>
      </c>
      <c r="N109" s="267">
        <f t="shared" si="6"/>
        <v>0</v>
      </c>
      <c r="O109" s="268">
        <f t="shared" si="7"/>
        <v>0</v>
      </c>
      <c r="P109" s="264">
        <f t="shared" si="8"/>
        <v>0</v>
      </c>
      <c r="Q109" s="7"/>
      <c r="R109" s="277"/>
      <c r="S109" s="7"/>
      <c r="T109" s="7"/>
      <c r="U109" s="7"/>
      <c r="V109" s="7"/>
    </row>
    <row r="110" spans="1:22" s="5" customFormat="1" ht="18.75">
      <c r="A110" s="160" t="s">
        <v>127</v>
      </c>
      <c r="B110" s="161" t="s">
        <v>172</v>
      </c>
      <c r="C110" s="214">
        <f>I110*54%</f>
        <v>1701</v>
      </c>
      <c r="D110" s="253">
        <f>J110*2*C110/I110</f>
        <v>0.51839999999999997</v>
      </c>
      <c r="E110" s="219"/>
      <c r="F110" s="214">
        <f>I110-C110</f>
        <v>1449</v>
      </c>
      <c r="G110" s="253">
        <f>(J110*2)-D110</f>
        <v>0.44159999999999999</v>
      </c>
      <c r="H110" s="219"/>
      <c r="I110" s="214">
        <f>1950+1200</f>
        <v>3150</v>
      </c>
      <c r="J110" s="253">
        <v>0.48</v>
      </c>
      <c r="K110" s="219"/>
      <c r="L110" s="162"/>
      <c r="M110" s="158">
        <f t="shared" si="5"/>
        <v>0.48</v>
      </c>
      <c r="N110" s="267">
        <f t="shared" si="6"/>
        <v>0</v>
      </c>
      <c r="O110" s="268">
        <f t="shared" si="7"/>
        <v>3150</v>
      </c>
      <c r="P110" s="264">
        <f t="shared" si="8"/>
        <v>0</v>
      </c>
      <c r="Q110" s="7"/>
      <c r="R110" s="277"/>
      <c r="S110" s="7"/>
      <c r="T110" s="7"/>
      <c r="U110" s="7"/>
      <c r="V110" s="7"/>
    </row>
    <row r="111" spans="1:22" s="5" customFormat="1" ht="18.75">
      <c r="A111" s="160" t="s">
        <v>244</v>
      </c>
      <c r="B111" s="161" t="s">
        <v>247</v>
      </c>
      <c r="C111" s="214"/>
      <c r="D111" s="253"/>
      <c r="E111" s="219"/>
      <c r="F111" s="214"/>
      <c r="G111" s="253"/>
      <c r="H111" s="219"/>
      <c r="I111" s="214"/>
      <c r="J111" s="253"/>
      <c r="K111" s="219"/>
      <c r="L111" s="162"/>
      <c r="M111" s="158">
        <f t="shared" si="5"/>
        <v>0</v>
      </c>
      <c r="N111" s="267">
        <f t="shared" si="6"/>
        <v>0</v>
      </c>
      <c r="O111" s="268">
        <f t="shared" si="7"/>
        <v>0</v>
      </c>
      <c r="P111" s="264">
        <f t="shared" si="8"/>
        <v>0</v>
      </c>
      <c r="Q111" s="7"/>
      <c r="R111" s="277"/>
      <c r="S111" s="7"/>
      <c r="T111" s="7"/>
      <c r="U111" s="7"/>
      <c r="V111" s="7"/>
    </row>
    <row r="112" spans="1:22" s="5" customFormat="1" ht="18.75">
      <c r="A112" s="160" t="s">
        <v>22</v>
      </c>
      <c r="B112" s="161" t="s">
        <v>23</v>
      </c>
      <c r="C112" s="214">
        <v>19300</v>
      </c>
      <c r="D112" s="253">
        <v>5.5805999999999996</v>
      </c>
      <c r="E112" s="214"/>
      <c r="F112" s="214">
        <f>I112-C112</f>
        <v>20407.300000000003</v>
      </c>
      <c r="G112" s="253">
        <v>6.2591000000000001</v>
      </c>
      <c r="H112" s="214"/>
      <c r="I112" s="214">
        <v>39707.300000000003</v>
      </c>
      <c r="J112" s="253">
        <v>5.9199000000000002</v>
      </c>
      <c r="K112" s="214"/>
      <c r="L112" s="162"/>
      <c r="M112" s="158">
        <f t="shared" si="5"/>
        <v>5.9198500000000003</v>
      </c>
      <c r="N112" s="267">
        <f t="shared" si="6"/>
        <v>4.9999999999883471E-5</v>
      </c>
      <c r="O112" s="268">
        <f t="shared" si="7"/>
        <v>39707.300000000003</v>
      </c>
      <c r="P112" s="264">
        <f t="shared" si="8"/>
        <v>0</v>
      </c>
      <c r="Q112" s="7"/>
      <c r="R112" s="277"/>
      <c r="S112" s="7"/>
      <c r="T112" s="7"/>
      <c r="U112" s="7"/>
      <c r="V112" s="7"/>
    </row>
    <row r="113" spans="1:22" s="159" customFormat="1" ht="18.75">
      <c r="A113" s="153" t="s">
        <v>128</v>
      </c>
      <c r="B113" s="154" t="s">
        <v>56</v>
      </c>
      <c r="C113" s="211">
        <v>18137.742999999999</v>
      </c>
      <c r="D113" s="251">
        <f>(7.263-0.645-1.0295)*0.9534</f>
        <v>5.3280759</v>
      </c>
      <c r="E113" s="218"/>
      <c r="F113" s="211">
        <f t="shared" si="9"/>
        <v>16253.441000000003</v>
      </c>
      <c r="G113" s="251">
        <f>(J113*2)-D113</f>
        <v>5.6753041799999995</v>
      </c>
      <c r="H113" s="218"/>
      <c r="I113" s="211">
        <v>34391.184000000001</v>
      </c>
      <c r="J113" s="251">
        <f>5.7706*0.9534</f>
        <v>5.5016900399999997</v>
      </c>
      <c r="K113" s="218"/>
      <c r="L113" s="155"/>
      <c r="M113" s="158">
        <f t="shared" si="5"/>
        <v>5.5016900399999997</v>
      </c>
      <c r="N113" s="267">
        <f t="shared" si="6"/>
        <v>0</v>
      </c>
      <c r="O113" s="268">
        <f t="shared" si="7"/>
        <v>34391.184000000001</v>
      </c>
      <c r="P113" s="264">
        <f t="shared" si="8"/>
        <v>0</v>
      </c>
      <c r="Q113" s="158"/>
      <c r="R113" s="277"/>
      <c r="S113" s="158"/>
      <c r="T113" s="158"/>
      <c r="U113" s="158"/>
      <c r="V113" s="158"/>
    </row>
    <row r="114" spans="1:22" s="182" customFormat="1" ht="18.75">
      <c r="A114" s="153" t="s">
        <v>129</v>
      </c>
      <c r="B114" s="154" t="s">
        <v>58</v>
      </c>
      <c r="C114" s="211">
        <f>C116+C117</f>
        <v>86882.988700000074</v>
      </c>
      <c r="D114" s="251">
        <f>D116+D117</f>
        <v>29.232721247610186</v>
      </c>
      <c r="E114" s="218"/>
      <c r="F114" s="211">
        <f>F116+F117</f>
        <v>78437.129939999955</v>
      </c>
      <c r="G114" s="251">
        <f>G116+G117</f>
        <v>24.648781824389818</v>
      </c>
      <c r="H114" s="218"/>
      <c r="I114" s="211">
        <f>I116+I117</f>
        <v>165320.11864000003</v>
      </c>
      <c r="J114" s="251">
        <f>J116+J117</f>
        <v>26.940751536</v>
      </c>
      <c r="K114" s="218"/>
      <c r="L114" s="155"/>
      <c r="M114" s="158">
        <f t="shared" si="5"/>
        <v>26.940751536</v>
      </c>
      <c r="N114" s="267">
        <f t="shared" si="6"/>
        <v>0</v>
      </c>
      <c r="O114" s="268">
        <f t="shared" si="7"/>
        <v>165320.11864000003</v>
      </c>
      <c r="P114" s="264">
        <f t="shared" si="8"/>
        <v>0</v>
      </c>
      <c r="Q114" s="181"/>
      <c r="R114" s="277"/>
      <c r="S114" s="181"/>
      <c r="T114" s="181"/>
      <c r="U114" s="181"/>
      <c r="V114" s="181"/>
    </row>
    <row r="115" spans="1:22" s="5" customFormat="1" ht="18.75">
      <c r="A115" s="160"/>
      <c r="B115" s="161" t="s">
        <v>28</v>
      </c>
      <c r="C115" s="214"/>
      <c r="D115" s="253"/>
      <c r="E115" s="219"/>
      <c r="F115" s="214"/>
      <c r="G115" s="253"/>
      <c r="H115" s="219"/>
      <c r="I115" s="214"/>
      <c r="J115" s="253"/>
      <c r="K115" s="219"/>
      <c r="L115" s="162"/>
      <c r="M115" s="158">
        <f t="shared" si="5"/>
        <v>0</v>
      </c>
      <c r="N115" s="267">
        <f t="shared" si="6"/>
        <v>0</v>
      </c>
      <c r="O115" s="268">
        <f t="shared" si="7"/>
        <v>0</v>
      </c>
      <c r="P115" s="264">
        <f t="shared" si="8"/>
        <v>0</v>
      </c>
      <c r="Q115" s="7"/>
      <c r="R115" s="277"/>
      <c r="S115" s="7"/>
      <c r="T115" s="7"/>
      <c r="U115" s="7"/>
      <c r="V115" s="7"/>
    </row>
    <row r="116" spans="1:22" s="5" customFormat="1" ht="18.75">
      <c r="A116" s="160" t="s">
        <v>130</v>
      </c>
      <c r="B116" s="161" t="s">
        <v>30</v>
      </c>
      <c r="C116" s="214">
        <v>77602.988700000074</v>
      </c>
      <c r="D116" s="253">
        <v>25.879721247610185</v>
      </c>
      <c r="E116" s="219"/>
      <c r="F116" s="214">
        <f t="shared" si="9"/>
        <v>69807.129939999955</v>
      </c>
      <c r="G116" s="253">
        <f>(J116*2)-D116</f>
        <v>21.994781824389818</v>
      </c>
      <c r="H116" s="219"/>
      <c r="I116" s="214">
        <v>147410.11864000003</v>
      </c>
      <c r="J116" s="253">
        <f>25.09672*0.9538</f>
        <v>23.937251536000002</v>
      </c>
      <c r="K116" s="219"/>
      <c r="L116" s="162"/>
      <c r="M116" s="158">
        <f t="shared" si="5"/>
        <v>23.937251536000002</v>
      </c>
      <c r="N116" s="267">
        <f t="shared" si="6"/>
        <v>0</v>
      </c>
      <c r="O116" s="268">
        <f t="shared" si="7"/>
        <v>147410.11864000003</v>
      </c>
      <c r="P116" s="264">
        <f t="shared" si="8"/>
        <v>0</v>
      </c>
      <c r="Q116" s="7"/>
      <c r="R116" s="277"/>
      <c r="S116" s="7"/>
      <c r="T116" s="7"/>
      <c r="U116" s="7"/>
      <c r="V116" s="7"/>
    </row>
    <row r="117" spans="1:22" s="185" customFormat="1" ht="19.5">
      <c r="A117" s="160" t="s">
        <v>131</v>
      </c>
      <c r="B117" s="161" t="s">
        <v>32</v>
      </c>
      <c r="C117" s="214">
        <f>C119+C121+C123+C125</f>
        <v>9280</v>
      </c>
      <c r="D117" s="253">
        <f>D119+D121+D123+D125</f>
        <v>3.3530000000000002</v>
      </c>
      <c r="E117" s="220"/>
      <c r="F117" s="215">
        <f t="shared" si="9"/>
        <v>8630</v>
      </c>
      <c r="G117" s="260">
        <f>G119+G121+G123+G125</f>
        <v>2.6539999999999995</v>
      </c>
      <c r="H117" s="220"/>
      <c r="I117" s="214">
        <f>I119+I121+I123+I125</f>
        <v>17910</v>
      </c>
      <c r="J117" s="253">
        <f>J119+J121+J123+J125</f>
        <v>3.0034999999999998</v>
      </c>
      <c r="K117" s="220"/>
      <c r="L117" s="190"/>
      <c r="M117" s="158">
        <f t="shared" si="5"/>
        <v>3.0034999999999998</v>
      </c>
      <c r="N117" s="267">
        <f t="shared" si="6"/>
        <v>0</v>
      </c>
      <c r="O117" s="268">
        <f t="shared" si="7"/>
        <v>17910</v>
      </c>
      <c r="P117" s="264">
        <f t="shared" si="8"/>
        <v>0</v>
      </c>
      <c r="Q117" s="184"/>
      <c r="R117" s="277"/>
      <c r="S117" s="184"/>
      <c r="T117" s="184"/>
      <c r="U117" s="184"/>
      <c r="V117" s="184"/>
    </row>
    <row r="118" spans="1:22" s="5" customFormat="1" ht="18.75">
      <c r="A118" s="160"/>
      <c r="B118" s="161" t="s">
        <v>28</v>
      </c>
      <c r="C118" s="214"/>
      <c r="D118" s="253"/>
      <c r="E118" s="219"/>
      <c r="F118" s="214"/>
      <c r="G118" s="253"/>
      <c r="H118" s="219"/>
      <c r="I118" s="214"/>
      <c r="J118" s="253"/>
      <c r="K118" s="219"/>
      <c r="L118" s="162"/>
      <c r="M118" s="158">
        <f t="shared" si="5"/>
        <v>0</v>
      </c>
      <c r="N118" s="267">
        <f t="shared" si="6"/>
        <v>0</v>
      </c>
      <c r="O118" s="268">
        <f t="shared" si="7"/>
        <v>0</v>
      </c>
      <c r="P118" s="264">
        <f t="shared" si="8"/>
        <v>0</v>
      </c>
      <c r="Q118" s="7"/>
      <c r="R118" s="277"/>
      <c r="S118" s="7"/>
      <c r="T118" s="7"/>
      <c r="U118" s="7"/>
      <c r="V118" s="7"/>
    </row>
    <row r="119" spans="1:22" s="5" customFormat="1" ht="18.75">
      <c r="A119" s="153" t="s">
        <v>132</v>
      </c>
      <c r="B119" s="161" t="s">
        <v>17</v>
      </c>
      <c r="C119" s="214"/>
      <c r="D119" s="253"/>
      <c r="E119" s="219"/>
      <c r="F119" s="214"/>
      <c r="G119" s="253"/>
      <c r="H119" s="219"/>
      <c r="I119" s="214"/>
      <c r="J119" s="253"/>
      <c r="K119" s="219"/>
      <c r="L119" s="162"/>
      <c r="M119" s="158">
        <f t="shared" si="5"/>
        <v>0</v>
      </c>
      <c r="N119" s="267">
        <f t="shared" si="6"/>
        <v>0</v>
      </c>
      <c r="O119" s="268">
        <f t="shared" si="7"/>
        <v>0</v>
      </c>
      <c r="P119" s="264">
        <f t="shared" si="8"/>
        <v>0</v>
      </c>
      <c r="Q119" s="7"/>
      <c r="R119" s="277"/>
      <c r="S119" s="7"/>
      <c r="T119" s="7"/>
      <c r="U119" s="7"/>
      <c r="V119" s="7"/>
    </row>
    <row r="120" spans="1:22" s="5" customFormat="1" ht="37.5">
      <c r="A120" s="171" t="s">
        <v>133</v>
      </c>
      <c r="B120" s="172" t="s">
        <v>134</v>
      </c>
      <c r="C120" s="214">
        <f>C119-C108</f>
        <v>-301953.10469999997</v>
      </c>
      <c r="D120" s="253">
        <f>D119-D108</f>
        <v>-96.69199669999999</v>
      </c>
      <c r="E120" s="219"/>
      <c r="F120" s="214">
        <f t="shared" si="9"/>
        <v>-254550.48593999998</v>
      </c>
      <c r="G120" s="253">
        <f>G119-G108</f>
        <v>-80.800042699999992</v>
      </c>
      <c r="H120" s="219"/>
      <c r="I120" s="214">
        <f>I119-I108</f>
        <v>-556503.59063999995</v>
      </c>
      <c r="J120" s="253">
        <f>J119-J108</f>
        <v>-88.746019699999991</v>
      </c>
      <c r="K120" s="219"/>
      <c r="L120" s="162"/>
      <c r="M120" s="158">
        <f t="shared" si="5"/>
        <v>-88.746019699999991</v>
      </c>
      <c r="N120" s="267">
        <f t="shared" si="6"/>
        <v>0</v>
      </c>
      <c r="O120" s="268">
        <f t="shared" si="7"/>
        <v>-556503.59063999995</v>
      </c>
      <c r="P120" s="264">
        <f t="shared" si="8"/>
        <v>0</v>
      </c>
      <c r="Q120" s="7"/>
      <c r="R120" s="277"/>
      <c r="S120" s="7"/>
      <c r="T120" s="7"/>
      <c r="U120" s="7"/>
      <c r="V120" s="7"/>
    </row>
    <row r="121" spans="1:22" s="187" customFormat="1" ht="19.5" thickBot="1">
      <c r="A121" s="153" t="s">
        <v>135</v>
      </c>
      <c r="B121" s="161" t="s">
        <v>19</v>
      </c>
      <c r="C121" s="214"/>
      <c r="D121" s="253"/>
      <c r="E121" s="218"/>
      <c r="F121" s="211"/>
      <c r="G121" s="251"/>
      <c r="H121" s="218"/>
      <c r="I121" s="214"/>
      <c r="J121" s="253"/>
      <c r="K121" s="218"/>
      <c r="L121" s="155"/>
      <c r="M121" s="158">
        <f t="shared" si="5"/>
        <v>0</v>
      </c>
      <c r="N121" s="267">
        <f t="shared" si="6"/>
        <v>0</v>
      </c>
      <c r="O121" s="268">
        <f t="shared" si="7"/>
        <v>0</v>
      </c>
      <c r="P121" s="264">
        <f t="shared" si="8"/>
        <v>0</v>
      </c>
      <c r="Q121" s="181"/>
      <c r="R121" s="277"/>
      <c r="S121" s="181"/>
      <c r="T121" s="181"/>
      <c r="U121" s="181"/>
      <c r="V121" s="181"/>
    </row>
    <row r="122" spans="1:22" s="181" customFormat="1" ht="37.5">
      <c r="A122" s="171" t="s">
        <v>136</v>
      </c>
      <c r="B122" s="172" t="s">
        <v>137</v>
      </c>
      <c r="C122" s="214">
        <f>C121-C109</f>
        <v>0</v>
      </c>
      <c r="D122" s="253">
        <f>D121-D109</f>
        <v>0</v>
      </c>
      <c r="E122" s="218"/>
      <c r="F122" s="211">
        <f t="shared" si="9"/>
        <v>0</v>
      </c>
      <c r="G122" s="251">
        <f>G121-G109</f>
        <v>0</v>
      </c>
      <c r="H122" s="218"/>
      <c r="I122" s="214">
        <f>I121-I109</f>
        <v>0</v>
      </c>
      <c r="J122" s="253">
        <f>J121-J109</f>
        <v>0</v>
      </c>
      <c r="K122" s="218"/>
      <c r="L122" s="155"/>
      <c r="M122" s="158">
        <f t="shared" si="5"/>
        <v>0</v>
      </c>
      <c r="N122" s="267">
        <f t="shared" si="6"/>
        <v>0</v>
      </c>
      <c r="O122" s="268">
        <f t="shared" si="7"/>
        <v>0</v>
      </c>
      <c r="P122" s="264">
        <f t="shared" si="8"/>
        <v>0</v>
      </c>
      <c r="R122" s="277"/>
    </row>
    <row r="123" spans="1:22" s="159" customFormat="1" ht="18.75">
      <c r="A123" s="153" t="s">
        <v>138</v>
      </c>
      <c r="B123" s="161" t="s">
        <v>172</v>
      </c>
      <c r="C123" s="214">
        <v>9280</v>
      </c>
      <c r="D123" s="253">
        <v>3.3530000000000002</v>
      </c>
      <c r="E123" s="211"/>
      <c r="F123" s="211">
        <f t="shared" si="9"/>
        <v>8630</v>
      </c>
      <c r="G123" s="251">
        <f>(J123*2)-D123</f>
        <v>2.6539999999999995</v>
      </c>
      <c r="H123" s="211"/>
      <c r="I123" s="214">
        <v>17910</v>
      </c>
      <c r="J123" s="253">
        <v>3.0034999999999998</v>
      </c>
      <c r="K123" s="218"/>
      <c r="L123" s="155"/>
      <c r="M123" s="158">
        <f t="shared" si="5"/>
        <v>3.0034999999999998</v>
      </c>
      <c r="N123" s="267">
        <f t="shared" si="6"/>
        <v>0</v>
      </c>
      <c r="O123" s="268">
        <f t="shared" si="7"/>
        <v>17910</v>
      </c>
      <c r="P123" s="264">
        <f t="shared" si="8"/>
        <v>0</v>
      </c>
      <c r="Q123" s="158"/>
      <c r="R123" s="277"/>
      <c r="S123" s="158"/>
      <c r="T123" s="158"/>
      <c r="U123" s="158"/>
      <c r="V123" s="158"/>
    </row>
    <row r="124" spans="1:22" s="159" customFormat="1" ht="37.5">
      <c r="A124" s="171" t="s">
        <v>139</v>
      </c>
      <c r="B124" s="172" t="s">
        <v>140</v>
      </c>
      <c r="C124" s="214">
        <f>C123-C110</f>
        <v>7579</v>
      </c>
      <c r="D124" s="253">
        <f>D123-D110</f>
        <v>2.8346</v>
      </c>
      <c r="E124" s="218"/>
      <c r="F124" s="211">
        <f t="shared" si="9"/>
        <v>7181</v>
      </c>
      <c r="G124" s="251">
        <f>G123-G110</f>
        <v>2.2123999999999997</v>
      </c>
      <c r="H124" s="218"/>
      <c r="I124" s="214">
        <f>I123-I110</f>
        <v>14760</v>
      </c>
      <c r="J124" s="253">
        <f>J123-J110</f>
        <v>2.5234999999999999</v>
      </c>
      <c r="K124" s="218"/>
      <c r="L124" s="155"/>
      <c r="M124" s="158">
        <f t="shared" si="5"/>
        <v>2.5234999999999999</v>
      </c>
      <c r="N124" s="267">
        <f t="shared" si="6"/>
        <v>0</v>
      </c>
      <c r="O124" s="268">
        <f t="shared" si="7"/>
        <v>14760</v>
      </c>
      <c r="P124" s="264">
        <f t="shared" si="8"/>
        <v>0</v>
      </c>
      <c r="Q124" s="158"/>
      <c r="R124" s="277"/>
      <c r="S124" s="158"/>
      <c r="T124" s="158"/>
      <c r="U124" s="158"/>
      <c r="V124" s="158"/>
    </row>
    <row r="125" spans="1:22" s="159" customFormat="1" ht="18.75">
      <c r="A125" s="153" t="s">
        <v>141</v>
      </c>
      <c r="B125" s="161" t="s">
        <v>247</v>
      </c>
      <c r="C125" s="214"/>
      <c r="D125" s="253"/>
      <c r="E125" s="218"/>
      <c r="F125" s="211"/>
      <c r="G125" s="251"/>
      <c r="H125" s="218"/>
      <c r="I125" s="214"/>
      <c r="J125" s="253"/>
      <c r="K125" s="218"/>
      <c r="L125" s="155"/>
      <c r="M125" s="158">
        <f t="shared" si="5"/>
        <v>0</v>
      </c>
      <c r="N125" s="267">
        <f t="shared" si="6"/>
        <v>0</v>
      </c>
      <c r="O125" s="268">
        <f t="shared" si="7"/>
        <v>0</v>
      </c>
      <c r="P125" s="264">
        <f t="shared" si="8"/>
        <v>0</v>
      </c>
      <c r="Q125" s="158"/>
      <c r="R125" s="277"/>
      <c r="S125" s="158"/>
      <c r="T125" s="158"/>
      <c r="U125" s="158"/>
      <c r="V125" s="158"/>
    </row>
    <row r="126" spans="1:22" s="159" customFormat="1" ht="37.5">
      <c r="A126" s="171" t="s">
        <v>142</v>
      </c>
      <c r="B126" s="172" t="s">
        <v>143</v>
      </c>
      <c r="C126" s="214">
        <f>C125-C111</f>
        <v>0</v>
      </c>
      <c r="D126" s="253"/>
      <c r="E126" s="218"/>
      <c r="F126" s="211">
        <f t="shared" si="9"/>
        <v>0</v>
      </c>
      <c r="G126" s="251"/>
      <c r="H126" s="218"/>
      <c r="I126" s="214">
        <f>I125-I111</f>
        <v>0</v>
      </c>
      <c r="J126" s="253"/>
      <c r="K126" s="218"/>
      <c r="L126" s="155"/>
      <c r="M126" s="158">
        <f t="shared" si="5"/>
        <v>0</v>
      </c>
      <c r="N126" s="267">
        <f t="shared" si="6"/>
        <v>0</v>
      </c>
      <c r="O126" s="268">
        <f t="shared" si="7"/>
        <v>0</v>
      </c>
      <c r="P126" s="264">
        <f t="shared" si="8"/>
        <v>0</v>
      </c>
      <c r="Q126" s="158"/>
      <c r="R126" s="277"/>
      <c r="S126" s="158"/>
      <c r="T126" s="158"/>
      <c r="U126" s="158"/>
      <c r="V126" s="158"/>
    </row>
    <row r="127" spans="1:22" s="181" customFormat="1" ht="18.75">
      <c r="A127" s="186"/>
      <c r="B127" s="161" t="s">
        <v>45</v>
      </c>
      <c r="C127" s="214"/>
      <c r="D127" s="253"/>
      <c r="E127" s="219"/>
      <c r="F127" s="214"/>
      <c r="G127" s="253"/>
      <c r="H127" s="219"/>
      <c r="I127" s="214"/>
      <c r="J127" s="253"/>
      <c r="K127" s="219"/>
      <c r="L127" s="162"/>
      <c r="M127" s="158">
        <f t="shared" si="5"/>
        <v>0</v>
      </c>
      <c r="N127" s="267">
        <f t="shared" si="6"/>
        <v>0</v>
      </c>
      <c r="O127" s="268">
        <f t="shared" si="7"/>
        <v>0</v>
      </c>
      <c r="P127" s="264">
        <f t="shared" si="8"/>
        <v>0</v>
      </c>
      <c r="R127" s="277"/>
    </row>
    <row r="128" spans="1:22" s="5" customFormat="1" ht="18.75">
      <c r="A128" s="160" t="s">
        <v>144</v>
      </c>
      <c r="B128" s="161" t="s">
        <v>145</v>
      </c>
      <c r="C128" s="214"/>
      <c r="D128" s="253"/>
      <c r="E128" s="219"/>
      <c r="F128" s="214"/>
      <c r="G128" s="253"/>
      <c r="H128" s="219"/>
      <c r="I128" s="214"/>
      <c r="J128" s="253"/>
      <c r="K128" s="219"/>
      <c r="L128" s="162"/>
      <c r="M128" s="158">
        <f t="shared" si="5"/>
        <v>0</v>
      </c>
      <c r="N128" s="267">
        <f t="shared" si="6"/>
        <v>0</v>
      </c>
      <c r="O128" s="268">
        <f t="shared" si="7"/>
        <v>0</v>
      </c>
      <c r="P128" s="264">
        <f t="shared" si="8"/>
        <v>0</v>
      </c>
      <c r="Q128" s="7"/>
      <c r="R128" s="277"/>
      <c r="S128" s="7"/>
      <c r="T128" s="7"/>
      <c r="U128" s="7"/>
      <c r="V128" s="7"/>
    </row>
    <row r="129" spans="1:22" s="5" customFormat="1" ht="18.75">
      <c r="A129" s="160" t="s">
        <v>146</v>
      </c>
      <c r="B129" s="178" t="s">
        <v>76</v>
      </c>
      <c r="C129" s="214">
        <f>C102-C113-C114</f>
        <v>240209.72299999985</v>
      </c>
      <c r="D129" s="253">
        <f>D102-D113-D114</f>
        <v>75.909599552389807</v>
      </c>
      <c r="E129" s="219"/>
      <c r="F129" s="214">
        <f t="shared" si="9"/>
        <v>198654.00500000015</v>
      </c>
      <c r="G129" s="253">
        <f>G102-G113-G114</f>
        <v>63.577256695610174</v>
      </c>
      <c r="H129" s="219"/>
      <c r="I129" s="214">
        <f>I102-I113-I114</f>
        <v>438863.728</v>
      </c>
      <c r="J129" s="253">
        <f>J102-J113-J114</f>
        <v>69.743478124000006</v>
      </c>
      <c r="K129" s="219"/>
      <c r="L129" s="162"/>
      <c r="M129" s="158">
        <f t="shared" si="5"/>
        <v>69.74342812399999</v>
      </c>
      <c r="N129" s="267">
        <f t="shared" si="6"/>
        <v>5.0000000015870683E-5</v>
      </c>
      <c r="O129" s="268">
        <f t="shared" si="7"/>
        <v>438863.728</v>
      </c>
      <c r="P129" s="264">
        <f t="shared" si="8"/>
        <v>0</v>
      </c>
      <c r="Q129" s="7"/>
      <c r="R129" s="277"/>
      <c r="S129" s="7"/>
      <c r="T129" s="7"/>
      <c r="U129" s="7"/>
      <c r="V129" s="7"/>
    </row>
    <row r="130" spans="1:22" s="159" customFormat="1" ht="18.75">
      <c r="A130" s="153" t="s">
        <v>147</v>
      </c>
      <c r="B130" s="154" t="s">
        <v>148</v>
      </c>
      <c r="C130" s="211">
        <f>C133+C132</f>
        <v>1169.894</v>
      </c>
      <c r="D130" s="251">
        <f>D133+D132</f>
        <v>0.38181339999999997</v>
      </c>
      <c r="E130" s="218"/>
      <c r="F130" s="211">
        <f t="shared" si="9"/>
        <v>1018.106</v>
      </c>
      <c r="G130" s="251">
        <f>G133+G132</f>
        <v>0.33184520000000001</v>
      </c>
      <c r="H130" s="218"/>
      <c r="I130" s="211">
        <f>I133+I132</f>
        <v>2188</v>
      </c>
      <c r="J130" s="251">
        <f>J133+J132</f>
        <v>0.35682930000000002</v>
      </c>
      <c r="K130" s="218"/>
      <c r="L130" s="155"/>
      <c r="M130" s="158">
        <f t="shared" si="5"/>
        <v>0.35682930000000002</v>
      </c>
      <c r="N130" s="267">
        <f t="shared" si="6"/>
        <v>0</v>
      </c>
      <c r="O130" s="268">
        <f t="shared" si="7"/>
        <v>2188</v>
      </c>
      <c r="P130" s="264">
        <f t="shared" si="8"/>
        <v>0</v>
      </c>
      <c r="Q130" s="158"/>
      <c r="R130" s="277"/>
      <c r="S130" s="158"/>
      <c r="T130" s="158"/>
      <c r="U130" s="158"/>
      <c r="V130" s="158"/>
    </row>
    <row r="131" spans="1:22" s="5" customFormat="1" ht="18.75">
      <c r="A131" s="160"/>
      <c r="B131" s="161" t="s">
        <v>11</v>
      </c>
      <c r="C131" s="214"/>
      <c r="D131" s="253"/>
      <c r="E131" s="219"/>
      <c r="F131" s="214"/>
      <c r="G131" s="253"/>
      <c r="H131" s="219"/>
      <c r="I131" s="214"/>
      <c r="J131" s="253"/>
      <c r="K131" s="219"/>
      <c r="L131" s="162"/>
      <c r="M131" s="158">
        <f t="shared" si="5"/>
        <v>0</v>
      </c>
      <c r="N131" s="267">
        <f t="shared" si="6"/>
        <v>0</v>
      </c>
      <c r="O131" s="268">
        <f t="shared" si="7"/>
        <v>0</v>
      </c>
      <c r="P131" s="264">
        <f t="shared" si="8"/>
        <v>0</v>
      </c>
      <c r="Q131" s="7"/>
      <c r="R131" s="277"/>
      <c r="S131" s="7"/>
      <c r="T131" s="7"/>
      <c r="U131" s="7"/>
      <c r="V131" s="7"/>
    </row>
    <row r="132" spans="1:22" s="5" customFormat="1" ht="18.75">
      <c r="A132" s="160" t="s">
        <v>149</v>
      </c>
      <c r="B132" s="161" t="s">
        <v>49</v>
      </c>
      <c r="C132" s="214"/>
      <c r="D132" s="253"/>
      <c r="E132" s="219"/>
      <c r="F132" s="214"/>
      <c r="G132" s="253"/>
      <c r="H132" s="219"/>
      <c r="I132" s="214"/>
      <c r="J132" s="253"/>
      <c r="K132" s="219"/>
      <c r="L132" s="162"/>
      <c r="M132" s="158">
        <f t="shared" si="5"/>
        <v>0</v>
      </c>
      <c r="N132" s="267">
        <f t="shared" si="6"/>
        <v>0</v>
      </c>
      <c r="O132" s="268">
        <f t="shared" si="7"/>
        <v>0</v>
      </c>
      <c r="P132" s="264">
        <f t="shared" si="8"/>
        <v>0</v>
      </c>
      <c r="Q132" s="7"/>
      <c r="R132" s="277"/>
      <c r="S132" s="7"/>
      <c r="T132" s="7"/>
      <c r="U132" s="7"/>
      <c r="V132" s="7"/>
    </row>
    <row r="133" spans="1:22" s="5" customFormat="1" ht="18.75">
      <c r="A133" s="160" t="s">
        <v>150</v>
      </c>
      <c r="B133" s="161" t="s">
        <v>15</v>
      </c>
      <c r="C133" s="214">
        <f>C135+C136+C137</f>
        <v>1169.894</v>
      </c>
      <c r="D133" s="253">
        <f>D135+D136+D137</f>
        <v>0.38181339999999997</v>
      </c>
      <c r="E133" s="219"/>
      <c r="F133" s="214">
        <f t="shared" si="9"/>
        <v>1018.106</v>
      </c>
      <c r="G133" s="253">
        <f>G135+G136+G137</f>
        <v>0.33184520000000001</v>
      </c>
      <c r="H133" s="219"/>
      <c r="I133" s="214">
        <f>I135+I136+I137</f>
        <v>2188</v>
      </c>
      <c r="J133" s="253">
        <f>J135+J136+J137</f>
        <v>0.35682930000000002</v>
      </c>
      <c r="K133" s="219"/>
      <c r="L133" s="162"/>
      <c r="M133" s="158">
        <f t="shared" si="5"/>
        <v>0.35682930000000002</v>
      </c>
      <c r="N133" s="267">
        <f t="shared" si="6"/>
        <v>0</v>
      </c>
      <c r="O133" s="268">
        <f t="shared" si="7"/>
        <v>2188</v>
      </c>
      <c r="P133" s="264">
        <f t="shared" si="8"/>
        <v>0</v>
      </c>
      <c r="Q133" s="7"/>
      <c r="R133" s="277"/>
      <c r="S133" s="7"/>
      <c r="T133" s="7"/>
      <c r="U133" s="7"/>
      <c r="V133" s="7"/>
    </row>
    <row r="134" spans="1:22" s="5" customFormat="1" ht="18.75">
      <c r="A134" s="160"/>
      <c r="B134" s="161" t="s">
        <v>11</v>
      </c>
      <c r="C134" s="214"/>
      <c r="D134" s="253"/>
      <c r="E134" s="219"/>
      <c r="F134" s="214"/>
      <c r="G134" s="253"/>
      <c r="H134" s="219"/>
      <c r="I134" s="214"/>
      <c r="J134" s="253"/>
      <c r="K134" s="219"/>
      <c r="L134" s="162"/>
      <c r="M134" s="158">
        <f t="shared" si="5"/>
        <v>0</v>
      </c>
      <c r="N134" s="267">
        <f t="shared" si="6"/>
        <v>0</v>
      </c>
      <c r="O134" s="268">
        <f t="shared" si="7"/>
        <v>0</v>
      </c>
      <c r="P134" s="264">
        <f t="shared" si="8"/>
        <v>0</v>
      </c>
      <c r="Q134" s="7"/>
      <c r="R134" s="277"/>
      <c r="S134" s="7"/>
      <c r="T134" s="7"/>
      <c r="U134" s="7"/>
      <c r="V134" s="7"/>
    </row>
    <row r="135" spans="1:22" s="5" customFormat="1" ht="18.75">
      <c r="A135" s="160" t="s">
        <v>151</v>
      </c>
      <c r="B135" s="161" t="s">
        <v>17</v>
      </c>
      <c r="C135" s="214">
        <v>1013.294</v>
      </c>
      <c r="D135" s="253">
        <f>0.3566*0.949</f>
        <v>0.33841339999999998</v>
      </c>
      <c r="E135" s="219"/>
      <c r="F135" s="214">
        <f t="shared" si="9"/>
        <v>884.70600000000002</v>
      </c>
      <c r="G135" s="253">
        <f>(J135*2)-D135</f>
        <v>0.27874520000000003</v>
      </c>
      <c r="H135" s="219"/>
      <c r="I135" s="214">
        <v>1898</v>
      </c>
      <c r="J135" s="253">
        <v>0.3085793</v>
      </c>
      <c r="K135" s="219"/>
      <c r="L135" s="162"/>
      <c r="M135" s="158">
        <f t="shared" si="5"/>
        <v>0.3085793</v>
      </c>
      <c r="N135" s="267">
        <f t="shared" si="6"/>
        <v>0</v>
      </c>
      <c r="O135" s="268">
        <f t="shared" si="7"/>
        <v>1898</v>
      </c>
      <c r="P135" s="264">
        <f t="shared" si="8"/>
        <v>0</v>
      </c>
      <c r="Q135" s="7"/>
      <c r="R135" s="277"/>
      <c r="S135" s="7"/>
      <c r="T135" s="7"/>
      <c r="U135" s="7"/>
      <c r="V135" s="7"/>
    </row>
    <row r="136" spans="1:22" s="5" customFormat="1" ht="18.75">
      <c r="A136" s="160" t="s">
        <v>152</v>
      </c>
      <c r="B136" s="161" t="s">
        <v>172</v>
      </c>
      <c r="C136" s="214"/>
      <c r="D136" s="253"/>
      <c r="E136" s="219"/>
      <c r="F136" s="214"/>
      <c r="G136" s="253"/>
      <c r="H136" s="219"/>
      <c r="I136" s="214"/>
      <c r="J136" s="253"/>
      <c r="K136" s="219"/>
      <c r="L136" s="162"/>
      <c r="M136" s="158">
        <f t="shared" ref="M136:M152" si="10">(D136+G136)/2</f>
        <v>0</v>
      </c>
      <c r="N136" s="267">
        <f t="shared" ref="N136:N152" si="11">J136-M136</f>
        <v>0</v>
      </c>
      <c r="O136" s="268">
        <f t="shared" ref="O136:O152" si="12">C136+F136</f>
        <v>0</v>
      </c>
      <c r="P136" s="264">
        <f t="shared" ref="P136:P152" si="13">O136-I136</f>
        <v>0</v>
      </c>
      <c r="Q136" s="7"/>
      <c r="R136" s="277"/>
      <c r="S136" s="7"/>
      <c r="T136" s="7"/>
      <c r="U136" s="7"/>
      <c r="V136" s="7"/>
    </row>
    <row r="137" spans="1:22" s="5" customFormat="1" ht="18.75">
      <c r="A137" s="160" t="s">
        <v>153</v>
      </c>
      <c r="B137" s="161" t="s">
        <v>247</v>
      </c>
      <c r="C137" s="214">
        <v>156.6</v>
      </c>
      <c r="D137" s="253">
        <v>4.3400000000000001E-2</v>
      </c>
      <c r="E137" s="219"/>
      <c r="F137" s="214">
        <v>133.4</v>
      </c>
      <c r="G137" s="253">
        <f>(J137*2)-D137</f>
        <v>5.3100000000000001E-2</v>
      </c>
      <c r="H137" s="219"/>
      <c r="I137" s="214">
        <v>290</v>
      </c>
      <c r="J137" s="253">
        <v>4.8250000000000001E-2</v>
      </c>
      <c r="K137" s="219"/>
      <c r="L137" s="162"/>
      <c r="M137" s="158">
        <f t="shared" si="10"/>
        <v>4.8250000000000001E-2</v>
      </c>
      <c r="N137" s="267">
        <f t="shared" si="11"/>
        <v>0</v>
      </c>
      <c r="O137" s="268">
        <f t="shared" si="12"/>
        <v>290</v>
      </c>
      <c r="P137" s="264">
        <f t="shared" si="13"/>
        <v>0</v>
      </c>
      <c r="Q137" s="7"/>
      <c r="R137" s="277"/>
      <c r="S137" s="7"/>
      <c r="T137" s="7"/>
      <c r="U137" s="7"/>
      <c r="V137" s="7"/>
    </row>
    <row r="138" spans="1:22" s="5" customFormat="1" ht="18.75">
      <c r="A138" s="160"/>
      <c r="B138" s="161" t="s">
        <v>45</v>
      </c>
      <c r="C138" s="214"/>
      <c r="D138" s="253"/>
      <c r="E138" s="219"/>
      <c r="F138" s="214"/>
      <c r="G138" s="253"/>
      <c r="H138" s="219"/>
      <c r="I138" s="214"/>
      <c r="J138" s="253"/>
      <c r="K138" s="219"/>
      <c r="L138" s="162"/>
      <c r="M138" s="158">
        <f t="shared" si="10"/>
        <v>0</v>
      </c>
      <c r="N138" s="267">
        <f t="shared" si="11"/>
        <v>0</v>
      </c>
      <c r="O138" s="268">
        <f t="shared" si="12"/>
        <v>0</v>
      </c>
      <c r="P138" s="264">
        <f t="shared" si="13"/>
        <v>0</v>
      </c>
      <c r="Q138" s="7"/>
      <c r="R138" s="277"/>
      <c r="S138" s="7"/>
      <c r="T138" s="7"/>
      <c r="U138" s="7"/>
      <c r="V138" s="7"/>
    </row>
    <row r="139" spans="1:22" s="159" customFormat="1" ht="18.75">
      <c r="A139" s="153" t="s">
        <v>154</v>
      </c>
      <c r="B139" s="154" t="s">
        <v>56</v>
      </c>
      <c r="C139" s="211">
        <v>43138.25</v>
      </c>
      <c r="D139" s="251">
        <f>(14.9915-0.0033)*0.9534</f>
        <v>14.28974988</v>
      </c>
      <c r="E139" s="218"/>
      <c r="F139" s="211">
        <f>I139-C139</f>
        <v>33386.622000000003</v>
      </c>
      <c r="G139" s="262">
        <f>(J139*2)-D139</f>
        <v>10.20195204</v>
      </c>
      <c r="H139" s="218"/>
      <c r="I139" s="211">
        <v>76524.872000000003</v>
      </c>
      <c r="J139" s="251">
        <f>12.8444*0.9534</f>
        <v>12.24585096</v>
      </c>
      <c r="K139" s="218"/>
      <c r="L139" s="155"/>
      <c r="M139" s="158">
        <f t="shared" si="10"/>
        <v>12.24585096</v>
      </c>
      <c r="N139" s="267">
        <f t="shared" si="11"/>
        <v>0</v>
      </c>
      <c r="O139" s="268">
        <f t="shared" si="12"/>
        <v>76524.872000000003</v>
      </c>
      <c r="P139" s="264">
        <f t="shared" si="13"/>
        <v>0</v>
      </c>
      <c r="Q139" s="158"/>
      <c r="R139" s="277"/>
      <c r="S139" s="158"/>
      <c r="T139" s="158"/>
      <c r="U139" s="158"/>
      <c r="V139" s="158"/>
    </row>
    <row r="140" spans="1:22" s="182" customFormat="1" ht="18.75">
      <c r="A140" s="153" t="s">
        <v>155</v>
      </c>
      <c r="B140" s="154" t="s">
        <v>58</v>
      </c>
      <c r="C140" s="211">
        <f>C142+C143</f>
        <v>198241.367</v>
      </c>
      <c r="D140" s="251">
        <f>D142+D143</f>
        <v>62.001663072389817</v>
      </c>
      <c r="E140" s="218"/>
      <c r="F140" s="211">
        <f t="shared" ref="F140:F150" si="14">I140-C140</f>
        <v>166285.48900000003</v>
      </c>
      <c r="G140" s="251">
        <f>G142+G143</f>
        <v>53.707178195610197</v>
      </c>
      <c r="H140" s="218"/>
      <c r="I140" s="211">
        <f>I142+I143</f>
        <v>364526.85600000003</v>
      </c>
      <c r="J140" s="251">
        <f>J142+J143</f>
        <v>57.854420634000007</v>
      </c>
      <c r="K140" s="218"/>
      <c r="L140" s="155"/>
      <c r="M140" s="158">
        <f t="shared" si="10"/>
        <v>57.854420634000007</v>
      </c>
      <c r="N140" s="267">
        <f t="shared" si="11"/>
        <v>0</v>
      </c>
      <c r="O140" s="268">
        <f t="shared" si="12"/>
        <v>364526.85600000003</v>
      </c>
      <c r="P140" s="264">
        <f t="shared" si="13"/>
        <v>0</v>
      </c>
      <c r="Q140" s="181"/>
      <c r="R140" s="277"/>
      <c r="S140" s="181"/>
      <c r="T140" s="181"/>
      <c r="U140" s="181"/>
      <c r="V140" s="181"/>
    </row>
    <row r="141" spans="1:22" s="5" customFormat="1" ht="18.75">
      <c r="A141" s="160"/>
      <c r="B141" s="161" t="s">
        <v>28</v>
      </c>
      <c r="C141" s="214"/>
      <c r="D141" s="253"/>
      <c r="E141" s="219"/>
      <c r="F141" s="214"/>
      <c r="G141" s="253"/>
      <c r="H141" s="219"/>
      <c r="I141" s="214"/>
      <c r="J141" s="253"/>
      <c r="K141" s="219"/>
      <c r="L141" s="162"/>
      <c r="M141" s="158">
        <f t="shared" si="10"/>
        <v>0</v>
      </c>
      <c r="N141" s="267">
        <f t="shared" si="11"/>
        <v>0</v>
      </c>
      <c r="O141" s="268">
        <f t="shared" si="12"/>
        <v>0</v>
      </c>
      <c r="P141" s="264">
        <f t="shared" si="13"/>
        <v>0</v>
      </c>
      <c r="Q141" s="7"/>
      <c r="R141" s="277"/>
      <c r="S141" s="7"/>
      <c r="T141" s="7"/>
      <c r="U141" s="7"/>
      <c r="V141" s="7"/>
    </row>
    <row r="142" spans="1:22" s="5" customFormat="1" ht="18.75">
      <c r="A142" s="160" t="s">
        <v>156</v>
      </c>
      <c r="B142" s="161" t="s">
        <v>30</v>
      </c>
      <c r="C142" s="214">
        <v>197101.367</v>
      </c>
      <c r="D142" s="253">
        <f>(64.0808700696056+0.534)*0.9538</f>
        <v>61.629663072389818</v>
      </c>
      <c r="E142" s="219"/>
      <c r="F142" s="211">
        <v>165335.489</v>
      </c>
      <c r="G142" s="253">
        <f>(J142*2)-D142</f>
        <v>53.397178195610195</v>
      </c>
      <c r="H142" s="219"/>
      <c r="I142" s="214">
        <v>362436.85600000003</v>
      </c>
      <c r="J142" s="253">
        <f>60.27293*0.9538+0.0251</f>
        <v>57.513420634000006</v>
      </c>
      <c r="K142" s="219"/>
      <c r="L142" s="162"/>
      <c r="M142" s="158">
        <f t="shared" si="10"/>
        <v>57.513420634000006</v>
      </c>
      <c r="N142" s="267">
        <f t="shared" si="11"/>
        <v>0</v>
      </c>
      <c r="O142" s="268">
        <f t="shared" si="12"/>
        <v>362436.85600000003</v>
      </c>
      <c r="P142" s="264">
        <f t="shared" si="13"/>
        <v>0</v>
      </c>
      <c r="Q142" s="7"/>
      <c r="R142" s="277"/>
      <c r="S142" s="7"/>
      <c r="T142" s="7"/>
      <c r="U142" s="7"/>
      <c r="V142" s="7"/>
    </row>
    <row r="143" spans="1:22" s="185" customFormat="1" ht="19.5">
      <c r="A143" s="160" t="s">
        <v>157</v>
      </c>
      <c r="B143" s="161" t="s">
        <v>32</v>
      </c>
      <c r="C143" s="214">
        <f>C147</f>
        <v>1140</v>
      </c>
      <c r="D143" s="253">
        <f>D147</f>
        <v>0.372</v>
      </c>
      <c r="E143" s="219"/>
      <c r="F143" s="214">
        <f t="shared" si="14"/>
        <v>950</v>
      </c>
      <c r="G143" s="253">
        <f>G147</f>
        <v>0.31000000000000005</v>
      </c>
      <c r="H143" s="219"/>
      <c r="I143" s="214">
        <f>I147</f>
        <v>2090</v>
      </c>
      <c r="J143" s="253">
        <f>J147</f>
        <v>0.34100000000000003</v>
      </c>
      <c r="K143" s="219"/>
      <c r="L143" s="162"/>
      <c r="M143" s="158">
        <f t="shared" si="10"/>
        <v>0.34100000000000003</v>
      </c>
      <c r="N143" s="267">
        <f t="shared" si="11"/>
        <v>0</v>
      </c>
      <c r="O143" s="268">
        <f t="shared" si="12"/>
        <v>2090</v>
      </c>
      <c r="P143" s="264">
        <f t="shared" si="13"/>
        <v>0</v>
      </c>
      <c r="Q143" s="184"/>
      <c r="R143" s="277"/>
      <c r="S143" s="184"/>
      <c r="T143" s="184"/>
      <c r="U143" s="184"/>
      <c r="V143" s="184"/>
    </row>
    <row r="144" spans="1:22" s="5" customFormat="1" ht="18.75">
      <c r="A144" s="160"/>
      <c r="B144" s="161" t="s">
        <v>28</v>
      </c>
      <c r="C144" s="214"/>
      <c r="D144" s="253"/>
      <c r="E144" s="219"/>
      <c r="F144" s="214"/>
      <c r="G144" s="253"/>
      <c r="H144" s="219"/>
      <c r="I144" s="214"/>
      <c r="J144" s="253"/>
      <c r="K144" s="219"/>
      <c r="L144" s="162"/>
      <c r="M144" s="158">
        <f t="shared" si="10"/>
        <v>0</v>
      </c>
      <c r="N144" s="267">
        <f t="shared" si="11"/>
        <v>0</v>
      </c>
      <c r="O144" s="268">
        <f t="shared" si="12"/>
        <v>0</v>
      </c>
      <c r="P144" s="264">
        <f t="shared" si="13"/>
        <v>0</v>
      </c>
      <c r="Q144" s="7"/>
      <c r="R144" s="277"/>
      <c r="S144" s="7"/>
      <c r="T144" s="7"/>
      <c r="U144" s="7"/>
      <c r="V144" s="7"/>
    </row>
    <row r="145" spans="1:22" s="5" customFormat="1" ht="18.75">
      <c r="A145" s="160" t="s">
        <v>158</v>
      </c>
      <c r="B145" s="161" t="s">
        <v>17</v>
      </c>
      <c r="C145" s="214">
        <v>0</v>
      </c>
      <c r="D145" s="253">
        <v>0</v>
      </c>
      <c r="E145" s="219"/>
      <c r="F145" s="214">
        <f t="shared" si="14"/>
        <v>0</v>
      </c>
      <c r="G145" s="253">
        <v>0</v>
      </c>
      <c r="H145" s="219"/>
      <c r="I145" s="214">
        <v>0</v>
      </c>
      <c r="J145" s="253">
        <v>0</v>
      </c>
      <c r="K145" s="219"/>
      <c r="L145" s="162"/>
      <c r="M145" s="158">
        <f t="shared" si="10"/>
        <v>0</v>
      </c>
      <c r="N145" s="267">
        <f t="shared" si="11"/>
        <v>0</v>
      </c>
      <c r="O145" s="268">
        <f t="shared" si="12"/>
        <v>0</v>
      </c>
      <c r="P145" s="264">
        <f t="shared" si="13"/>
        <v>0</v>
      </c>
      <c r="Q145" s="7"/>
      <c r="R145" s="277"/>
      <c r="S145" s="7"/>
      <c r="T145" s="7"/>
      <c r="U145" s="7"/>
      <c r="V145" s="7"/>
    </row>
    <row r="146" spans="1:22" s="5" customFormat="1" ht="37.5">
      <c r="A146" s="177" t="s">
        <v>159</v>
      </c>
      <c r="B146" s="161" t="s">
        <v>160</v>
      </c>
      <c r="C146" s="214">
        <f>C145-C135</f>
        <v>-1013.294</v>
      </c>
      <c r="D146" s="253">
        <f>D145-D135</f>
        <v>-0.33841339999999998</v>
      </c>
      <c r="E146" s="219"/>
      <c r="F146" s="214">
        <f t="shared" si="14"/>
        <v>-884.70600000000002</v>
      </c>
      <c r="G146" s="253">
        <f>G145-G135</f>
        <v>-0.27874520000000003</v>
      </c>
      <c r="H146" s="219"/>
      <c r="I146" s="214">
        <f>I145-I135</f>
        <v>-1898</v>
      </c>
      <c r="J146" s="253">
        <f>J145-J135</f>
        <v>-0.3085793</v>
      </c>
      <c r="K146" s="219"/>
      <c r="L146" s="162"/>
      <c r="M146" s="158">
        <f t="shared" si="10"/>
        <v>-0.3085793</v>
      </c>
      <c r="N146" s="267">
        <f t="shared" si="11"/>
        <v>0</v>
      </c>
      <c r="O146" s="268">
        <f t="shared" si="12"/>
        <v>-1898</v>
      </c>
      <c r="P146" s="264">
        <f t="shared" si="13"/>
        <v>0</v>
      </c>
      <c r="Q146" s="7"/>
      <c r="R146" s="277"/>
      <c r="S146" s="7"/>
      <c r="T146" s="7"/>
      <c r="U146" s="7"/>
      <c r="V146" s="7"/>
    </row>
    <row r="147" spans="1:22" s="5" customFormat="1" ht="18.75">
      <c r="A147" s="160" t="s">
        <v>161</v>
      </c>
      <c r="B147" s="161" t="s">
        <v>172</v>
      </c>
      <c r="C147" s="214">
        <v>1140</v>
      </c>
      <c r="D147" s="253">
        <v>0.372</v>
      </c>
      <c r="E147" s="219"/>
      <c r="F147" s="214">
        <f t="shared" si="14"/>
        <v>950</v>
      </c>
      <c r="G147" s="253">
        <f>(J147*2)-D147</f>
        <v>0.31000000000000005</v>
      </c>
      <c r="H147" s="219"/>
      <c r="I147" s="214">
        <v>2090</v>
      </c>
      <c r="J147" s="253">
        <v>0.34100000000000003</v>
      </c>
      <c r="K147" s="219"/>
      <c r="L147" s="162"/>
      <c r="M147" s="158">
        <f t="shared" si="10"/>
        <v>0.34100000000000003</v>
      </c>
      <c r="N147" s="267">
        <f t="shared" si="11"/>
        <v>0</v>
      </c>
      <c r="O147" s="268">
        <f t="shared" si="12"/>
        <v>2090</v>
      </c>
      <c r="P147" s="264">
        <f t="shared" si="13"/>
        <v>0</v>
      </c>
      <c r="Q147" s="7"/>
      <c r="R147" s="277"/>
      <c r="S147" s="7"/>
      <c r="T147" s="7"/>
      <c r="U147" s="7"/>
      <c r="V147" s="7"/>
    </row>
    <row r="148" spans="1:22" s="5" customFormat="1" ht="37.5">
      <c r="A148" s="177" t="s">
        <v>162</v>
      </c>
      <c r="B148" s="161" t="s">
        <v>163</v>
      </c>
      <c r="C148" s="214">
        <f>C147-C136</f>
        <v>1140</v>
      </c>
      <c r="D148" s="253">
        <f>D147-D136</f>
        <v>0.372</v>
      </c>
      <c r="E148" s="219"/>
      <c r="F148" s="214">
        <f t="shared" si="14"/>
        <v>950</v>
      </c>
      <c r="G148" s="253">
        <f>G147-G136</f>
        <v>0.31000000000000005</v>
      </c>
      <c r="H148" s="219"/>
      <c r="I148" s="214">
        <f>I147-I136</f>
        <v>2090</v>
      </c>
      <c r="J148" s="253">
        <f>J147-J136</f>
        <v>0.34100000000000003</v>
      </c>
      <c r="K148" s="219"/>
      <c r="L148" s="162"/>
      <c r="M148" s="158">
        <f t="shared" si="10"/>
        <v>0.34100000000000003</v>
      </c>
      <c r="N148" s="267">
        <f t="shared" si="11"/>
        <v>0</v>
      </c>
      <c r="O148" s="268">
        <f t="shared" si="12"/>
        <v>2090</v>
      </c>
      <c r="P148" s="264">
        <f t="shared" si="13"/>
        <v>0</v>
      </c>
      <c r="Q148" s="7"/>
      <c r="R148" s="277"/>
      <c r="S148" s="7"/>
      <c r="T148" s="7"/>
      <c r="U148" s="7"/>
      <c r="V148" s="7"/>
    </row>
    <row r="149" spans="1:22" s="5" customFormat="1" ht="18.75">
      <c r="A149" s="160" t="s">
        <v>164</v>
      </c>
      <c r="B149" s="161" t="s">
        <v>247</v>
      </c>
      <c r="C149" s="214">
        <v>0</v>
      </c>
      <c r="D149" s="253">
        <v>0</v>
      </c>
      <c r="E149" s="219"/>
      <c r="F149" s="214">
        <f t="shared" si="14"/>
        <v>0</v>
      </c>
      <c r="G149" s="253">
        <v>0</v>
      </c>
      <c r="H149" s="219"/>
      <c r="I149" s="214">
        <v>0</v>
      </c>
      <c r="J149" s="253">
        <v>0</v>
      </c>
      <c r="K149" s="219"/>
      <c r="L149" s="162"/>
      <c r="M149" s="158">
        <f t="shared" si="10"/>
        <v>0</v>
      </c>
      <c r="N149" s="267">
        <f t="shared" si="11"/>
        <v>0</v>
      </c>
      <c r="O149" s="268">
        <f t="shared" si="12"/>
        <v>0</v>
      </c>
      <c r="P149" s="264">
        <f t="shared" si="13"/>
        <v>0</v>
      </c>
      <c r="Q149" s="7"/>
      <c r="R149" s="277"/>
      <c r="S149" s="7"/>
      <c r="T149" s="7"/>
      <c r="U149" s="7"/>
      <c r="V149" s="7"/>
    </row>
    <row r="150" spans="1:22" s="5" customFormat="1" ht="37.5">
      <c r="A150" s="177" t="s">
        <v>166</v>
      </c>
      <c r="B150" s="161" t="s">
        <v>167</v>
      </c>
      <c r="C150" s="214">
        <f>C149-C137</f>
        <v>-156.6</v>
      </c>
      <c r="D150" s="256">
        <f>D149-D137</f>
        <v>-4.3400000000000001E-2</v>
      </c>
      <c r="E150" s="219"/>
      <c r="F150" s="214">
        <f t="shared" si="14"/>
        <v>-133.4</v>
      </c>
      <c r="G150" s="253">
        <f>G149-G137</f>
        <v>-5.3100000000000001E-2</v>
      </c>
      <c r="H150" s="219"/>
      <c r="I150" s="214">
        <f>I149-I137</f>
        <v>-290</v>
      </c>
      <c r="J150" s="256">
        <f>J149-J137</f>
        <v>-4.8250000000000001E-2</v>
      </c>
      <c r="K150" s="219"/>
      <c r="L150" s="162"/>
      <c r="M150" s="158">
        <f t="shared" si="10"/>
        <v>-4.8250000000000001E-2</v>
      </c>
      <c r="N150" s="267">
        <f t="shared" si="11"/>
        <v>0</v>
      </c>
      <c r="O150" s="268">
        <f t="shared" si="12"/>
        <v>-290</v>
      </c>
      <c r="P150" s="264">
        <f t="shared" si="13"/>
        <v>0</v>
      </c>
      <c r="Q150" s="7"/>
      <c r="R150" s="277"/>
      <c r="S150" s="7"/>
      <c r="T150" s="7"/>
      <c r="U150" s="7"/>
      <c r="V150" s="7"/>
    </row>
    <row r="151" spans="1:22" ht="24.95" hidden="1" customHeight="1">
      <c r="D151" s="205"/>
      <c r="J151" s="205"/>
      <c r="M151" s="158">
        <f t="shared" si="10"/>
        <v>0</v>
      </c>
      <c r="N151" s="267">
        <f t="shared" si="11"/>
        <v>0</v>
      </c>
      <c r="O151" s="268">
        <f t="shared" si="12"/>
        <v>0</v>
      </c>
      <c r="P151" s="264">
        <f t="shared" si="13"/>
        <v>0</v>
      </c>
      <c r="R151" s="277"/>
    </row>
    <row r="152" spans="1:22" ht="24.75" hidden="1" customHeight="1">
      <c r="D152" s="205"/>
      <c r="J152" s="205"/>
      <c r="M152" s="158">
        <f t="shared" si="10"/>
        <v>0</v>
      </c>
      <c r="N152" s="267">
        <f t="shared" si="11"/>
        <v>0</v>
      </c>
      <c r="O152" s="268">
        <f t="shared" si="12"/>
        <v>0</v>
      </c>
      <c r="P152" s="264">
        <f t="shared" si="13"/>
        <v>0</v>
      </c>
      <c r="R152" s="277"/>
    </row>
    <row r="153" spans="1:22" s="13" customFormat="1" ht="77.25" customHeight="1">
      <c r="A153" s="13" t="s">
        <v>168</v>
      </c>
      <c r="B153" s="14"/>
      <c r="C153" s="17"/>
      <c r="D153" s="229"/>
      <c r="I153" s="13" t="s">
        <v>246</v>
      </c>
      <c r="M153" s="16"/>
      <c r="N153" s="16"/>
      <c r="O153" s="230"/>
      <c r="P153" s="16"/>
      <c r="Q153" s="16"/>
      <c r="R153" s="278"/>
      <c r="S153" s="16"/>
      <c r="T153" s="16"/>
      <c r="U153" s="16"/>
      <c r="V153" s="16"/>
    </row>
    <row r="154" spans="1:22" s="13" customFormat="1" ht="39.6" customHeight="1">
      <c r="B154" s="14"/>
      <c r="C154" s="17"/>
      <c r="D154" s="229"/>
      <c r="I154" s="17"/>
      <c r="M154" s="16"/>
      <c r="N154" s="16"/>
      <c r="O154" s="230"/>
      <c r="P154" s="16"/>
      <c r="Q154" s="16"/>
      <c r="R154" s="278"/>
      <c r="S154" s="16"/>
      <c r="T154" s="16"/>
      <c r="U154" s="16"/>
      <c r="V154" s="16"/>
    </row>
    <row r="155" spans="1:22" s="13" customFormat="1" ht="43.9" customHeight="1">
      <c r="A155" s="13" t="s">
        <v>252</v>
      </c>
      <c r="B155" s="14"/>
      <c r="C155" s="17"/>
      <c r="D155" s="229"/>
      <c r="I155" s="17"/>
      <c r="M155" s="16"/>
      <c r="N155" s="16"/>
      <c r="O155" s="230"/>
      <c r="P155" s="16"/>
      <c r="Q155" s="16"/>
      <c r="R155" s="278"/>
      <c r="S155" s="16"/>
      <c r="T155" s="16"/>
      <c r="U155" s="16"/>
      <c r="V155" s="16"/>
    </row>
    <row r="156" spans="1:22" s="13" customFormat="1" ht="28.9" customHeight="1">
      <c r="B156" s="14"/>
      <c r="C156" s="17"/>
      <c r="D156" s="229"/>
      <c r="I156" s="17"/>
      <c r="M156" s="16"/>
      <c r="N156" s="16"/>
      <c r="O156" s="230"/>
      <c r="P156" s="16"/>
      <c r="Q156" s="16"/>
      <c r="R156" s="278"/>
      <c r="S156" s="16"/>
      <c r="T156" s="16"/>
      <c r="U156" s="16"/>
      <c r="V156" s="16"/>
    </row>
    <row r="157" spans="1:22" s="13" customFormat="1" ht="50.45" customHeight="1">
      <c r="A157" s="13" t="s">
        <v>245</v>
      </c>
      <c r="B157" s="14"/>
      <c r="C157" s="17"/>
      <c r="D157" s="229"/>
      <c r="E157" s="14"/>
      <c r="F157" s="14"/>
      <c r="G157" s="14"/>
      <c r="H157" s="14"/>
      <c r="I157" s="17"/>
      <c r="J157" s="14"/>
      <c r="M157" s="16"/>
      <c r="N157" s="16"/>
      <c r="O157" s="230"/>
      <c r="P157" s="16"/>
      <c r="Q157" s="16"/>
      <c r="R157" s="278"/>
      <c r="S157" s="16"/>
      <c r="T157" s="16"/>
      <c r="U157" s="16"/>
      <c r="V157" s="16"/>
    </row>
    <row r="161" spans="2:18" s="147" customFormat="1">
      <c r="B161" s="4"/>
      <c r="C161" s="205"/>
      <c r="D161" s="281"/>
      <c r="E161" s="282"/>
      <c r="F161" s="282"/>
      <c r="G161" s="282"/>
      <c r="H161" s="282"/>
      <c r="I161" s="281"/>
      <c r="J161" s="281"/>
      <c r="K161" s="282"/>
      <c r="L161" s="283"/>
      <c r="O161" s="207"/>
      <c r="R161" s="279"/>
    </row>
    <row r="162" spans="2:18" s="147" customFormat="1">
      <c r="B162" s="4"/>
      <c r="C162" s="205"/>
      <c r="D162" s="206"/>
      <c r="E162" s="145"/>
      <c r="F162" s="145"/>
      <c r="G162" s="145"/>
      <c r="H162" s="145"/>
      <c r="I162" s="205"/>
      <c r="J162" s="206"/>
      <c r="K162" s="145"/>
      <c r="L162" s="148"/>
      <c r="O162" s="207"/>
      <c r="R162" s="279"/>
    </row>
    <row r="163" spans="2:18" s="147" customFormat="1">
      <c r="B163" s="4"/>
      <c r="C163" s="205"/>
      <c r="D163" s="206"/>
      <c r="E163" s="145"/>
      <c r="F163" s="145"/>
      <c r="G163" s="145"/>
      <c r="H163" s="145"/>
      <c r="I163" s="205"/>
      <c r="J163" s="206"/>
      <c r="K163" s="145"/>
      <c r="L163" s="148"/>
      <c r="O163" s="207"/>
      <c r="R163" s="279"/>
    </row>
    <row r="164" spans="2:18" s="147" customFormat="1">
      <c r="B164" s="4"/>
      <c r="C164" s="205"/>
      <c r="D164" s="206"/>
      <c r="E164" s="145"/>
      <c r="F164" s="145"/>
      <c r="G164" s="145"/>
      <c r="H164" s="145"/>
      <c r="I164" s="205"/>
      <c r="J164" s="206"/>
      <c r="K164" s="145"/>
      <c r="L164" s="148"/>
      <c r="O164" s="207"/>
      <c r="R164" s="279"/>
    </row>
    <row r="165" spans="2:18" s="147" customFormat="1">
      <c r="B165" s="4"/>
      <c r="C165" s="205"/>
      <c r="D165" s="206"/>
      <c r="E165" s="145"/>
      <c r="F165" s="145"/>
      <c r="G165" s="145"/>
      <c r="H165" s="145"/>
      <c r="I165" s="205"/>
      <c r="J165" s="206"/>
      <c r="K165" s="145"/>
      <c r="L165" s="148"/>
      <c r="O165" s="207"/>
      <c r="R165" s="279"/>
    </row>
    <row r="166" spans="2:18" s="147" customFormat="1">
      <c r="B166" s="4"/>
      <c r="C166" s="205"/>
      <c r="D166" s="206"/>
      <c r="E166" s="145"/>
      <c r="F166" s="145"/>
      <c r="G166" s="145"/>
      <c r="H166" s="145"/>
      <c r="I166" s="205"/>
      <c r="J166" s="206"/>
      <c r="K166" s="145"/>
      <c r="L166" s="148"/>
      <c r="O166" s="207"/>
      <c r="R166" s="279"/>
    </row>
    <row r="167" spans="2:18" s="147" customFormat="1">
      <c r="B167" s="4"/>
      <c r="C167" s="205"/>
      <c r="D167" s="206"/>
      <c r="E167" s="145"/>
      <c r="F167" s="145"/>
      <c r="G167" s="145"/>
      <c r="H167" s="145"/>
      <c r="I167" s="205"/>
      <c r="J167" s="206"/>
      <c r="K167" s="145"/>
      <c r="L167" s="148"/>
      <c r="O167" s="207"/>
      <c r="R167" s="279"/>
    </row>
    <row r="168" spans="2:18" s="147" customFormat="1">
      <c r="B168" s="4"/>
      <c r="C168" s="205"/>
      <c r="D168" s="206"/>
      <c r="E168" s="145"/>
      <c r="F168" s="145"/>
      <c r="G168" s="145"/>
      <c r="H168" s="145"/>
      <c r="I168" s="205"/>
      <c r="J168" s="206"/>
      <c r="K168" s="145"/>
      <c r="L168" s="148"/>
      <c r="O168" s="207"/>
      <c r="R168" s="279"/>
    </row>
    <row r="169" spans="2:18" s="147" customFormat="1">
      <c r="B169" s="4"/>
      <c r="C169" s="205"/>
      <c r="D169" s="206"/>
      <c r="E169" s="145"/>
      <c r="F169" s="145"/>
      <c r="G169" s="145"/>
      <c r="H169" s="145"/>
      <c r="I169" s="205"/>
      <c r="J169" s="206"/>
      <c r="K169" s="145"/>
      <c r="L169" s="148"/>
      <c r="O169" s="207"/>
      <c r="R169" s="279"/>
    </row>
    <row r="170" spans="2:18" s="147" customFormat="1">
      <c r="B170" s="4"/>
      <c r="C170" s="205"/>
      <c r="D170" s="206"/>
      <c r="E170" s="145"/>
      <c r="F170" s="145"/>
      <c r="G170" s="145"/>
      <c r="H170" s="145"/>
      <c r="I170" s="205"/>
      <c r="J170" s="206"/>
      <c r="K170" s="145"/>
      <c r="L170" s="148"/>
      <c r="O170" s="207"/>
      <c r="R170" s="279"/>
    </row>
    <row r="171" spans="2:18" s="147" customFormat="1">
      <c r="B171" s="4"/>
      <c r="C171" s="205"/>
      <c r="D171" s="206"/>
      <c r="E171" s="145"/>
      <c r="F171" s="145"/>
      <c r="G171" s="145"/>
      <c r="H171" s="145"/>
      <c r="I171" s="205"/>
      <c r="J171" s="206"/>
      <c r="K171" s="145"/>
      <c r="L171" s="148"/>
      <c r="O171" s="207"/>
      <c r="R171" s="279"/>
    </row>
    <row r="172" spans="2:18" s="147" customFormat="1">
      <c r="B172" s="4"/>
      <c r="C172" s="205"/>
      <c r="D172" s="206"/>
      <c r="E172" s="145"/>
      <c r="F172" s="145"/>
      <c r="G172" s="145"/>
      <c r="H172" s="145"/>
      <c r="I172" s="205"/>
      <c r="J172" s="206"/>
      <c r="K172" s="145"/>
      <c r="L172" s="148"/>
      <c r="O172" s="207"/>
      <c r="R172" s="279"/>
    </row>
    <row r="173" spans="2:18" s="147" customFormat="1">
      <c r="B173" s="4"/>
      <c r="C173" s="205"/>
      <c r="D173" s="206"/>
      <c r="E173" s="145"/>
      <c r="F173" s="145"/>
      <c r="G173" s="145"/>
      <c r="H173" s="145"/>
      <c r="I173" s="205"/>
      <c r="J173" s="206"/>
      <c r="K173" s="145"/>
      <c r="L173" s="148"/>
      <c r="O173" s="207"/>
      <c r="R173" s="279"/>
    </row>
    <row r="174" spans="2:18" s="147" customFormat="1">
      <c r="B174" s="4"/>
      <c r="C174" s="205"/>
      <c r="D174" s="206"/>
      <c r="E174" s="145"/>
      <c r="F174" s="145"/>
      <c r="G174" s="145"/>
      <c r="H174" s="145"/>
      <c r="I174" s="205"/>
      <c r="J174" s="206"/>
      <c r="K174" s="145"/>
      <c r="L174" s="148"/>
      <c r="O174" s="207"/>
      <c r="R174" s="279"/>
    </row>
    <row r="175" spans="2:18" s="147" customFormat="1">
      <c r="B175" s="4"/>
      <c r="C175" s="205"/>
      <c r="D175" s="206"/>
      <c r="E175" s="145"/>
      <c r="F175" s="145"/>
      <c r="G175" s="145"/>
      <c r="H175" s="145"/>
      <c r="I175" s="205"/>
      <c r="J175" s="206"/>
      <c r="K175" s="145"/>
      <c r="L175" s="148"/>
      <c r="O175" s="207"/>
      <c r="R175" s="279"/>
    </row>
    <row r="176" spans="2:18" s="147" customFormat="1">
      <c r="B176" s="4"/>
      <c r="C176" s="205"/>
      <c r="D176" s="206"/>
      <c r="E176" s="145"/>
      <c r="F176" s="145"/>
      <c r="G176" s="145"/>
      <c r="H176" s="145"/>
      <c r="I176" s="205"/>
      <c r="J176" s="206"/>
      <c r="K176" s="145"/>
      <c r="L176" s="148"/>
      <c r="O176" s="207"/>
      <c r="R176" s="279"/>
    </row>
    <row r="177" spans="2:18" s="147" customFormat="1">
      <c r="B177" s="4"/>
      <c r="C177" s="205"/>
      <c r="D177" s="206"/>
      <c r="E177" s="145"/>
      <c r="F177" s="145"/>
      <c r="G177" s="145"/>
      <c r="H177" s="145"/>
      <c r="I177" s="205"/>
      <c r="J177" s="206"/>
      <c r="K177" s="145"/>
      <c r="L177" s="148"/>
      <c r="O177" s="207"/>
      <c r="R177" s="279"/>
    </row>
    <row r="178" spans="2:18" s="147" customFormat="1">
      <c r="B178" s="4"/>
      <c r="C178" s="205"/>
      <c r="D178" s="206"/>
      <c r="E178" s="145"/>
      <c r="F178" s="145"/>
      <c r="G178" s="145"/>
      <c r="H178" s="145"/>
      <c r="I178" s="205"/>
      <c r="J178" s="206"/>
      <c r="K178" s="145"/>
      <c r="L178" s="148"/>
      <c r="O178" s="207"/>
      <c r="R178" s="279"/>
    </row>
    <row r="179" spans="2:18" s="147" customFormat="1">
      <c r="B179" s="4"/>
      <c r="C179" s="205"/>
      <c r="D179" s="206"/>
      <c r="E179" s="145"/>
      <c r="F179" s="145"/>
      <c r="G179" s="145"/>
      <c r="H179" s="145"/>
      <c r="I179" s="205"/>
      <c r="J179" s="206"/>
      <c r="K179" s="145"/>
      <c r="L179" s="148"/>
      <c r="O179" s="207"/>
      <c r="R179" s="279"/>
    </row>
    <row r="180" spans="2:18" s="147" customFormat="1">
      <c r="B180" s="4"/>
      <c r="C180" s="205"/>
      <c r="D180" s="206"/>
      <c r="E180" s="145"/>
      <c r="F180" s="145"/>
      <c r="G180" s="145"/>
      <c r="H180" s="145"/>
      <c r="I180" s="205"/>
      <c r="J180" s="206"/>
      <c r="K180" s="145"/>
      <c r="L180" s="148"/>
      <c r="O180" s="207"/>
      <c r="R180" s="279"/>
    </row>
    <row r="181" spans="2:18" s="147" customFormat="1">
      <c r="B181" s="4"/>
      <c r="C181" s="205"/>
      <c r="D181" s="206"/>
      <c r="E181" s="145"/>
      <c r="F181" s="145"/>
      <c r="G181" s="145"/>
      <c r="H181" s="145"/>
      <c r="I181" s="205"/>
      <c r="J181" s="206"/>
      <c r="K181" s="145"/>
      <c r="L181" s="148"/>
      <c r="O181" s="207"/>
      <c r="R181" s="279"/>
    </row>
    <row r="182" spans="2:18" s="147" customFormat="1">
      <c r="B182" s="4"/>
      <c r="C182" s="205"/>
      <c r="D182" s="206"/>
      <c r="E182" s="145"/>
      <c r="F182" s="145"/>
      <c r="G182" s="145"/>
      <c r="H182" s="145"/>
      <c r="I182" s="205"/>
      <c r="J182" s="206"/>
      <c r="K182" s="145"/>
      <c r="L182" s="148"/>
      <c r="O182" s="207"/>
      <c r="R182" s="279"/>
    </row>
    <row r="183" spans="2:18" s="147" customFormat="1">
      <c r="B183" s="4"/>
      <c r="C183" s="205"/>
      <c r="D183" s="206"/>
      <c r="E183" s="145"/>
      <c r="F183" s="145"/>
      <c r="G183" s="145"/>
      <c r="H183" s="145"/>
      <c r="I183" s="205"/>
      <c r="J183" s="206"/>
      <c r="K183" s="145"/>
      <c r="L183" s="148"/>
      <c r="O183" s="207"/>
      <c r="R183" s="279"/>
    </row>
    <row r="184" spans="2:18" s="147" customFormat="1">
      <c r="B184" s="4"/>
      <c r="C184" s="205"/>
      <c r="D184" s="206"/>
      <c r="E184" s="145"/>
      <c r="F184" s="145"/>
      <c r="G184" s="145"/>
      <c r="H184" s="145"/>
      <c r="I184" s="205"/>
      <c r="J184" s="206"/>
      <c r="K184" s="145"/>
      <c r="L184" s="148"/>
      <c r="O184" s="207"/>
      <c r="R184" s="279"/>
    </row>
    <row r="185" spans="2:18" s="147" customFormat="1">
      <c r="B185" s="4"/>
      <c r="C185" s="205"/>
      <c r="D185" s="206"/>
      <c r="E185" s="145"/>
      <c r="F185" s="145"/>
      <c r="G185" s="145"/>
      <c r="H185" s="145"/>
      <c r="I185" s="205"/>
      <c r="J185" s="206"/>
      <c r="K185" s="145"/>
      <c r="L185" s="148"/>
      <c r="O185" s="207"/>
      <c r="R185" s="279"/>
    </row>
    <row r="186" spans="2:18" s="147" customFormat="1">
      <c r="B186" s="4"/>
      <c r="C186" s="205"/>
      <c r="D186" s="206"/>
      <c r="E186" s="145"/>
      <c r="F186" s="145"/>
      <c r="G186" s="145"/>
      <c r="H186" s="145"/>
      <c r="I186" s="205"/>
      <c r="J186" s="206"/>
      <c r="K186" s="145"/>
      <c r="L186" s="148"/>
      <c r="O186" s="207"/>
      <c r="R186" s="279"/>
    </row>
    <row r="187" spans="2:18" s="147" customFormat="1">
      <c r="B187" s="4"/>
      <c r="C187" s="205"/>
      <c r="D187" s="206"/>
      <c r="E187" s="145"/>
      <c r="F187" s="145"/>
      <c r="G187" s="145"/>
      <c r="H187" s="145"/>
      <c r="I187" s="205"/>
      <c r="J187" s="206"/>
      <c r="K187" s="145"/>
      <c r="L187" s="148"/>
      <c r="O187" s="207"/>
      <c r="R187" s="279"/>
    </row>
    <row r="188" spans="2:18" s="147" customFormat="1">
      <c r="B188" s="4"/>
      <c r="C188" s="205"/>
      <c r="D188" s="206"/>
      <c r="E188" s="145"/>
      <c r="F188" s="145"/>
      <c r="G188" s="145"/>
      <c r="H188" s="145"/>
      <c r="I188" s="205"/>
      <c r="J188" s="206"/>
      <c r="K188" s="145"/>
      <c r="L188" s="148"/>
      <c r="O188" s="207"/>
      <c r="R188" s="279"/>
    </row>
    <row r="189" spans="2:18" s="147" customFormat="1">
      <c r="B189" s="4"/>
      <c r="C189" s="205"/>
      <c r="D189" s="206"/>
      <c r="E189" s="145"/>
      <c r="F189" s="145"/>
      <c r="G189" s="145"/>
      <c r="H189" s="145"/>
      <c r="I189" s="205"/>
      <c r="J189" s="206"/>
      <c r="K189" s="145"/>
      <c r="L189" s="148"/>
      <c r="O189" s="207"/>
      <c r="R189" s="279"/>
    </row>
    <row r="190" spans="2:18" s="147" customFormat="1">
      <c r="B190" s="4"/>
      <c r="C190" s="205"/>
      <c r="D190" s="206"/>
      <c r="E190" s="145"/>
      <c r="F190" s="145"/>
      <c r="G190" s="145"/>
      <c r="H190" s="145"/>
      <c r="I190" s="205"/>
      <c r="J190" s="206"/>
      <c r="K190" s="145"/>
      <c r="L190" s="148"/>
      <c r="O190" s="207"/>
      <c r="R190" s="279"/>
    </row>
    <row r="191" spans="2:18" s="147" customFormat="1">
      <c r="B191" s="4"/>
      <c r="C191" s="205"/>
      <c r="D191" s="206"/>
      <c r="E191" s="145"/>
      <c r="F191" s="145"/>
      <c r="G191" s="145"/>
      <c r="H191" s="145"/>
      <c r="I191" s="205"/>
      <c r="J191" s="206"/>
      <c r="K191" s="145"/>
      <c r="L191" s="148"/>
      <c r="O191" s="207"/>
      <c r="R191" s="279"/>
    </row>
    <row r="192" spans="2:18" s="147" customFormat="1">
      <c r="B192" s="4"/>
      <c r="C192" s="205"/>
      <c r="D192" s="206"/>
      <c r="E192" s="145"/>
      <c r="F192" s="145"/>
      <c r="G192" s="145"/>
      <c r="H192" s="145"/>
      <c r="I192" s="205"/>
      <c r="J192" s="206"/>
      <c r="K192" s="145"/>
      <c r="L192" s="148"/>
      <c r="O192" s="207"/>
      <c r="R192" s="279"/>
    </row>
    <row r="193" spans="2:18" s="147" customFormat="1">
      <c r="B193" s="4"/>
      <c r="C193" s="205"/>
      <c r="D193" s="206"/>
      <c r="E193" s="145"/>
      <c r="F193" s="145"/>
      <c r="G193" s="145"/>
      <c r="H193" s="145"/>
      <c r="I193" s="205"/>
      <c r="J193" s="206"/>
      <c r="K193" s="145"/>
      <c r="L193" s="148"/>
      <c r="O193" s="207"/>
      <c r="R193" s="279"/>
    </row>
    <row r="194" spans="2:18" s="147" customFormat="1">
      <c r="B194" s="4"/>
      <c r="C194" s="205"/>
      <c r="D194" s="206"/>
      <c r="E194" s="145"/>
      <c r="F194" s="145"/>
      <c r="G194" s="145"/>
      <c r="H194" s="145"/>
      <c r="I194" s="205"/>
      <c r="J194" s="206"/>
      <c r="K194" s="145"/>
      <c r="L194" s="148"/>
      <c r="O194" s="207"/>
      <c r="R194" s="279"/>
    </row>
    <row r="195" spans="2:18" s="147" customFormat="1">
      <c r="B195" s="4"/>
      <c r="C195" s="205"/>
      <c r="D195" s="206"/>
      <c r="E195" s="145"/>
      <c r="F195" s="145"/>
      <c r="G195" s="145"/>
      <c r="H195" s="145"/>
      <c r="I195" s="205"/>
      <c r="J195" s="206"/>
      <c r="K195" s="145"/>
      <c r="L195" s="148"/>
      <c r="O195" s="207"/>
      <c r="R195" s="279"/>
    </row>
    <row r="196" spans="2:18" s="147" customFormat="1">
      <c r="B196" s="4"/>
      <c r="C196" s="205"/>
      <c r="D196" s="206"/>
      <c r="E196" s="145"/>
      <c r="F196" s="145"/>
      <c r="G196" s="145"/>
      <c r="H196" s="145"/>
      <c r="I196" s="205"/>
      <c r="J196" s="206"/>
      <c r="K196" s="145"/>
      <c r="L196" s="148"/>
      <c r="O196" s="207"/>
      <c r="R196" s="279"/>
    </row>
    <row r="197" spans="2:18" s="147" customFormat="1">
      <c r="B197" s="4"/>
      <c r="C197" s="205"/>
      <c r="D197" s="206"/>
      <c r="E197" s="145"/>
      <c r="F197" s="145"/>
      <c r="G197" s="145"/>
      <c r="H197" s="145"/>
      <c r="I197" s="205"/>
      <c r="J197" s="206"/>
      <c r="K197" s="145"/>
      <c r="L197" s="148"/>
      <c r="O197" s="207"/>
      <c r="R197" s="279"/>
    </row>
    <row r="198" spans="2:18" s="147" customFormat="1">
      <c r="B198" s="4"/>
      <c r="C198" s="205"/>
      <c r="D198" s="206"/>
      <c r="E198" s="145"/>
      <c r="F198" s="145"/>
      <c r="G198" s="145"/>
      <c r="H198" s="145"/>
      <c r="I198" s="205"/>
      <c r="J198" s="206"/>
      <c r="K198" s="145"/>
      <c r="L198" s="148"/>
      <c r="O198" s="207"/>
      <c r="R198" s="279"/>
    </row>
  </sheetData>
  <mergeCells count="8">
    <mergeCell ref="A1:L1"/>
    <mergeCell ref="A2:L2"/>
    <mergeCell ref="I3:L3"/>
    <mergeCell ref="A4:A5"/>
    <mergeCell ref="B4:B5"/>
    <mergeCell ref="C4:E4"/>
    <mergeCell ref="F4:H4"/>
    <mergeCell ref="I4:K4"/>
  </mergeCells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opLeftCell="A28" workbookViewId="0">
      <selection activeCell="M23" sqref="M23"/>
    </sheetView>
  </sheetViews>
  <sheetFormatPr defaultRowHeight="15.75" customHeight="1"/>
  <cols>
    <col min="2" max="2" width="49.28515625" customWidth="1"/>
  </cols>
  <sheetData>
    <row r="1" spans="1:18" ht="15.75" customHeight="1">
      <c r="O1" t="s">
        <v>315</v>
      </c>
    </row>
    <row r="2" spans="1:18" ht="15.75" customHeight="1">
      <c r="P2" s="489" t="s">
        <v>316</v>
      </c>
      <c r="Q2" s="489"/>
      <c r="R2" s="489"/>
    </row>
    <row r="3" spans="1:18" ht="15.75" customHeight="1">
      <c r="A3" s="490" t="s">
        <v>317</v>
      </c>
      <c r="B3" s="490"/>
      <c r="C3" s="490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:18" ht="15.75" customHeight="1">
      <c r="A4" s="338"/>
      <c r="B4" s="338"/>
      <c r="C4" s="338"/>
      <c r="D4" s="338"/>
      <c r="E4" s="338"/>
      <c r="F4" s="338"/>
      <c r="G4" s="338"/>
      <c r="H4" s="339"/>
      <c r="I4" s="338"/>
      <c r="J4" s="338"/>
      <c r="K4" s="338"/>
      <c r="L4" s="338"/>
      <c r="M4" s="339"/>
      <c r="N4" s="338"/>
      <c r="O4" s="338"/>
      <c r="P4" s="338"/>
      <c r="Q4" s="338"/>
      <c r="R4" s="338"/>
    </row>
    <row r="5" spans="1:18" ht="15.75" customHeight="1">
      <c r="A5" s="491" t="s">
        <v>261</v>
      </c>
      <c r="B5" s="492" t="s">
        <v>262</v>
      </c>
      <c r="C5" s="492" t="s">
        <v>263</v>
      </c>
      <c r="D5" s="492" t="s">
        <v>264</v>
      </c>
      <c r="E5" s="492"/>
      <c r="F5" s="492"/>
      <c r="G5" s="492"/>
      <c r="H5" s="492"/>
      <c r="I5" s="492" t="s">
        <v>265</v>
      </c>
      <c r="J5" s="492"/>
      <c r="K5" s="492"/>
      <c r="L5" s="492"/>
      <c r="M5" s="492"/>
      <c r="N5" s="492" t="s">
        <v>266</v>
      </c>
      <c r="O5" s="492"/>
      <c r="P5" s="492"/>
      <c r="Q5" s="492"/>
      <c r="R5" s="492"/>
    </row>
    <row r="6" spans="1:18" ht="15.75" customHeight="1">
      <c r="A6" s="491"/>
      <c r="B6" s="492"/>
      <c r="C6" s="492"/>
      <c r="D6" s="340" t="s">
        <v>267</v>
      </c>
      <c r="E6" s="340" t="s">
        <v>268</v>
      </c>
      <c r="F6" s="340" t="s">
        <v>269</v>
      </c>
      <c r="G6" s="340" t="s">
        <v>198</v>
      </c>
      <c r="H6" s="340" t="s">
        <v>199</v>
      </c>
      <c r="I6" s="340" t="s">
        <v>267</v>
      </c>
      <c r="J6" s="340" t="s">
        <v>268</v>
      </c>
      <c r="K6" s="340" t="s">
        <v>269</v>
      </c>
      <c r="L6" s="340" t="s">
        <v>198</v>
      </c>
      <c r="M6" s="340" t="s">
        <v>199</v>
      </c>
      <c r="N6" s="340" t="s">
        <v>267</v>
      </c>
      <c r="O6" s="340" t="s">
        <v>268</v>
      </c>
      <c r="P6" s="340" t="s">
        <v>269</v>
      </c>
      <c r="Q6" s="340" t="s">
        <v>198</v>
      </c>
      <c r="R6" s="340" t="s">
        <v>199</v>
      </c>
    </row>
    <row r="7" spans="1:18" ht="15.75" customHeight="1">
      <c r="A7" s="341" t="s">
        <v>9</v>
      </c>
      <c r="B7" s="341" t="s">
        <v>24</v>
      </c>
      <c r="C7" s="341" t="s">
        <v>26</v>
      </c>
      <c r="D7" s="341" t="s">
        <v>98</v>
      </c>
      <c r="E7" s="341" t="s">
        <v>105</v>
      </c>
      <c r="F7" s="341" t="s">
        <v>106</v>
      </c>
      <c r="G7" s="341" t="s">
        <v>116</v>
      </c>
      <c r="H7" s="341" t="s">
        <v>118</v>
      </c>
      <c r="I7" s="341" t="s">
        <v>119</v>
      </c>
      <c r="J7" s="341" t="s">
        <v>120</v>
      </c>
      <c r="K7" s="341" t="s">
        <v>128</v>
      </c>
      <c r="L7" s="341" t="s">
        <v>129</v>
      </c>
      <c r="M7" s="341" t="s">
        <v>144</v>
      </c>
      <c r="N7" s="341" t="s">
        <v>146</v>
      </c>
      <c r="O7" s="341" t="s">
        <v>147</v>
      </c>
      <c r="P7" s="341" t="s">
        <v>154</v>
      </c>
      <c r="Q7" s="341" t="s">
        <v>155</v>
      </c>
      <c r="R7" s="341" t="s">
        <v>270</v>
      </c>
    </row>
    <row r="8" spans="1:18" ht="15.75" customHeight="1">
      <c r="A8" s="340" t="s">
        <v>9</v>
      </c>
      <c r="B8" s="342" t="s">
        <v>318</v>
      </c>
      <c r="C8" s="343" t="s">
        <v>319</v>
      </c>
      <c r="D8" s="386">
        <f t="shared" ref="D8" si="0">SUM(E8:H8)</f>
        <v>350.24372</v>
      </c>
      <c r="E8" s="386"/>
      <c r="F8" s="386"/>
      <c r="G8" s="386">
        <f t="shared" ref="G8:H8" si="1">G9+G15+G16+G17</f>
        <v>349.20172000000002</v>
      </c>
      <c r="H8" s="386">
        <f t="shared" si="1"/>
        <v>1.042</v>
      </c>
      <c r="I8" s="386">
        <f t="shared" ref="I8" si="2">SUM(J8:M8)</f>
        <v>299.96943000000005</v>
      </c>
      <c r="J8" s="386"/>
      <c r="K8" s="386"/>
      <c r="L8" s="386">
        <f t="shared" ref="L8:M8" si="3">L9+L15+L16+L17</f>
        <v>298.97043000000002</v>
      </c>
      <c r="M8" s="386">
        <f t="shared" si="3"/>
        <v>0.999</v>
      </c>
      <c r="N8" s="386">
        <f t="shared" ref="N8" si="4">SUM(O8:R8)</f>
        <v>650.21315000000016</v>
      </c>
      <c r="O8" s="386"/>
      <c r="P8" s="386"/>
      <c r="Q8" s="386">
        <f t="shared" ref="Q8:R8" si="5">Q9+Q15+Q16+Q17</f>
        <v>648.1721500000001</v>
      </c>
      <c r="R8" s="386">
        <f t="shared" si="5"/>
        <v>2.0409999999999999</v>
      </c>
    </row>
    <row r="9" spans="1:18" ht="15.75" customHeight="1">
      <c r="A9" s="340" t="s">
        <v>12</v>
      </c>
      <c r="B9" s="345" t="s">
        <v>272</v>
      </c>
      <c r="C9" s="343" t="s">
        <v>319</v>
      </c>
      <c r="D9" s="386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</row>
    <row r="10" spans="1:18" ht="15.75" customHeight="1">
      <c r="A10" s="340"/>
      <c r="B10" s="345" t="s">
        <v>273</v>
      </c>
      <c r="C10" s="343" t="s">
        <v>319</v>
      </c>
      <c r="D10" s="387"/>
      <c r="E10" s="347"/>
      <c r="F10" s="347"/>
      <c r="G10" s="347"/>
      <c r="H10" s="347"/>
      <c r="I10" s="346"/>
      <c r="J10" s="347"/>
      <c r="K10" s="347"/>
      <c r="L10" s="347"/>
      <c r="M10" s="347"/>
      <c r="N10" s="346"/>
      <c r="O10" s="347"/>
      <c r="P10" s="347"/>
      <c r="Q10" s="347"/>
      <c r="R10" s="347"/>
    </row>
    <row r="11" spans="1:18" ht="15.75" customHeight="1">
      <c r="A11" s="340" t="s">
        <v>274</v>
      </c>
      <c r="B11" s="348" t="s">
        <v>275</v>
      </c>
      <c r="C11" s="343" t="s">
        <v>319</v>
      </c>
      <c r="D11" s="386"/>
      <c r="E11" s="349"/>
      <c r="F11" s="349"/>
      <c r="G11" s="349"/>
      <c r="H11" s="349"/>
      <c r="I11" s="344"/>
      <c r="J11" s="349"/>
      <c r="K11" s="349"/>
      <c r="L11" s="349"/>
      <c r="M11" s="349"/>
      <c r="N11" s="344"/>
      <c r="O11" s="349"/>
      <c r="P11" s="349"/>
      <c r="Q11" s="349"/>
      <c r="R11" s="349"/>
    </row>
    <row r="12" spans="1:18" ht="15.75" customHeight="1">
      <c r="A12" s="340" t="s">
        <v>276</v>
      </c>
      <c r="B12" s="348" t="s">
        <v>268</v>
      </c>
      <c r="C12" s="343" t="s">
        <v>319</v>
      </c>
      <c r="D12" s="387"/>
      <c r="E12" s="350"/>
      <c r="F12" s="349"/>
      <c r="G12" s="349"/>
      <c r="H12" s="350"/>
      <c r="I12" s="346"/>
      <c r="J12" s="350"/>
      <c r="K12" s="349"/>
      <c r="L12" s="349"/>
      <c r="M12" s="350"/>
      <c r="N12" s="346"/>
      <c r="O12" s="350"/>
      <c r="P12" s="349"/>
      <c r="Q12" s="349"/>
      <c r="R12" s="350"/>
    </row>
    <row r="13" spans="1:18" ht="15.75" customHeight="1">
      <c r="A13" s="340" t="s">
        <v>277</v>
      </c>
      <c r="B13" s="348" t="s">
        <v>269</v>
      </c>
      <c r="C13" s="343" t="s">
        <v>319</v>
      </c>
      <c r="D13" s="387"/>
      <c r="E13" s="350"/>
      <c r="F13" s="350"/>
      <c r="G13" s="349"/>
      <c r="H13" s="349"/>
      <c r="I13" s="346"/>
      <c r="J13" s="350"/>
      <c r="K13" s="350"/>
      <c r="L13" s="349"/>
      <c r="M13" s="349"/>
      <c r="N13" s="346"/>
      <c r="O13" s="350"/>
      <c r="P13" s="350"/>
      <c r="Q13" s="349"/>
      <c r="R13" s="349"/>
    </row>
    <row r="14" spans="1:18" ht="15.75" customHeight="1">
      <c r="A14" s="340" t="s">
        <v>278</v>
      </c>
      <c r="B14" s="348" t="s">
        <v>198</v>
      </c>
      <c r="C14" s="343" t="s">
        <v>319</v>
      </c>
      <c r="D14" s="387"/>
      <c r="E14" s="350"/>
      <c r="F14" s="350"/>
      <c r="G14" s="350"/>
      <c r="H14" s="349"/>
      <c r="I14" s="346"/>
      <c r="J14" s="350"/>
      <c r="K14" s="350"/>
      <c r="L14" s="350"/>
      <c r="M14" s="349"/>
      <c r="N14" s="346"/>
      <c r="O14" s="350"/>
      <c r="P14" s="350"/>
      <c r="Q14" s="350"/>
      <c r="R14" s="349"/>
    </row>
    <row r="15" spans="1:18" ht="15.75" customHeight="1">
      <c r="A15" s="340" t="s">
        <v>14</v>
      </c>
      <c r="B15" s="345" t="s">
        <v>279</v>
      </c>
      <c r="C15" s="343" t="s">
        <v>319</v>
      </c>
      <c r="D15" s="386"/>
      <c r="E15" s="349"/>
      <c r="F15" s="349"/>
      <c r="G15" s="349"/>
      <c r="H15" s="349"/>
      <c r="I15" s="344"/>
      <c r="J15" s="349"/>
      <c r="K15" s="349"/>
      <c r="L15" s="349"/>
      <c r="M15" s="349"/>
      <c r="N15" s="386"/>
      <c r="O15" s="349"/>
      <c r="P15" s="349"/>
      <c r="Q15" s="349"/>
      <c r="R15" s="349"/>
    </row>
    <row r="16" spans="1:18" ht="15.75" customHeight="1">
      <c r="A16" s="340" t="s">
        <v>280</v>
      </c>
      <c r="B16" s="345" t="s">
        <v>281</v>
      </c>
      <c r="C16" s="343" t="s">
        <v>319</v>
      </c>
      <c r="D16" s="386"/>
      <c r="E16" s="349"/>
      <c r="F16" s="349"/>
      <c r="G16" s="349"/>
      <c r="H16" s="349"/>
      <c r="I16" s="344"/>
      <c r="J16" s="349"/>
      <c r="K16" s="349"/>
      <c r="L16" s="349"/>
      <c r="M16" s="349"/>
      <c r="N16" s="386"/>
      <c r="O16" s="349"/>
      <c r="P16" s="349"/>
      <c r="Q16" s="349"/>
      <c r="R16" s="349"/>
    </row>
    <row r="17" spans="1:18" ht="15.75" customHeight="1">
      <c r="A17" s="340" t="s">
        <v>282</v>
      </c>
      <c r="B17" s="345" t="s">
        <v>320</v>
      </c>
      <c r="C17" s="343" t="s">
        <v>319</v>
      </c>
      <c r="D17" s="386">
        <f t="shared" ref="D17:D18" si="6">SUM(E17:H17)</f>
        <v>350.24372</v>
      </c>
      <c r="E17" s="349"/>
      <c r="F17" s="349"/>
      <c r="G17" s="349">
        <v>349.20172000000002</v>
      </c>
      <c r="H17" s="349">
        <v>1.042</v>
      </c>
      <c r="I17" s="386">
        <f t="shared" ref="I17:I18" si="7">SUM(J17:M17)</f>
        <v>299.96943000000005</v>
      </c>
      <c r="J17" s="349"/>
      <c r="K17" s="349"/>
      <c r="L17" s="349">
        <v>298.97043000000002</v>
      </c>
      <c r="M17" s="349">
        <v>0.999</v>
      </c>
      <c r="N17" s="386">
        <f t="shared" ref="N17:N18" si="8">SUM(O17:R17)</f>
        <v>650.21315000000016</v>
      </c>
      <c r="O17" s="349"/>
      <c r="P17" s="349"/>
      <c r="Q17" s="349">
        <f t="shared" ref="Q17:R18" si="9">G17+L17</f>
        <v>648.1721500000001</v>
      </c>
      <c r="R17" s="349">
        <f t="shared" si="9"/>
        <v>2.0409999999999999</v>
      </c>
    </row>
    <row r="18" spans="1:18" ht="15.75" customHeight="1">
      <c r="A18" s="340" t="s">
        <v>24</v>
      </c>
      <c r="B18" s="342" t="s">
        <v>321</v>
      </c>
      <c r="C18" s="343" t="s">
        <v>319</v>
      </c>
      <c r="D18" s="386">
        <f t="shared" si="6"/>
        <v>58.802610000000001</v>
      </c>
      <c r="E18" s="349"/>
      <c r="F18" s="349"/>
      <c r="G18" s="349">
        <v>17.875910000000001</v>
      </c>
      <c r="H18" s="349">
        <v>40.926699999999997</v>
      </c>
      <c r="I18" s="386">
        <f t="shared" si="7"/>
        <v>47.222650000000002</v>
      </c>
      <c r="J18" s="349"/>
      <c r="K18" s="349"/>
      <c r="L18" s="349">
        <v>15.725250000000001</v>
      </c>
      <c r="M18" s="349">
        <v>31.497399999999999</v>
      </c>
      <c r="N18" s="386">
        <f t="shared" si="8"/>
        <v>106.02526</v>
      </c>
      <c r="O18" s="349"/>
      <c r="P18" s="349"/>
      <c r="Q18" s="349">
        <f t="shared" si="9"/>
        <v>33.60116</v>
      </c>
      <c r="R18" s="349">
        <f t="shared" si="9"/>
        <v>72.424099999999996</v>
      </c>
    </row>
    <row r="19" spans="1:18" ht="15.75" customHeight="1">
      <c r="A19" s="340" t="s">
        <v>285</v>
      </c>
      <c r="B19" s="345" t="s">
        <v>322</v>
      </c>
      <c r="C19" s="343" t="s">
        <v>202</v>
      </c>
      <c r="D19" s="387">
        <f>D18/D8*100</f>
        <v>16.789054775914327</v>
      </c>
      <c r="E19" s="344"/>
      <c r="F19" s="344"/>
      <c r="G19" s="344"/>
      <c r="H19" s="344"/>
      <c r="I19" s="387">
        <f>I18/I8*100</f>
        <v>15.742487492808849</v>
      </c>
      <c r="J19" s="344"/>
      <c r="K19" s="344"/>
      <c r="L19" s="344"/>
      <c r="M19" s="344"/>
      <c r="N19" s="387">
        <f>N18/N8*100</f>
        <v>16.30623127200672</v>
      </c>
      <c r="O19" s="344"/>
      <c r="P19" s="344"/>
      <c r="Q19" s="344"/>
      <c r="R19" s="344"/>
    </row>
    <row r="20" spans="1:18" ht="15.75" customHeight="1">
      <c r="A20" s="340" t="s">
        <v>26</v>
      </c>
      <c r="B20" s="342" t="s">
        <v>323</v>
      </c>
      <c r="C20" s="343" t="s">
        <v>319</v>
      </c>
      <c r="D20" s="386"/>
      <c r="E20" s="351"/>
      <c r="F20" s="351"/>
      <c r="G20" s="351"/>
      <c r="H20" s="351"/>
      <c r="I20" s="386"/>
      <c r="J20" s="351"/>
      <c r="K20" s="351"/>
      <c r="L20" s="351"/>
      <c r="M20" s="351"/>
      <c r="N20" s="386"/>
      <c r="O20" s="351"/>
      <c r="P20" s="351"/>
      <c r="Q20" s="351"/>
      <c r="R20" s="351"/>
    </row>
    <row r="21" spans="1:18" ht="15.75" customHeight="1">
      <c r="A21" s="340" t="s">
        <v>46</v>
      </c>
      <c r="B21" s="342" t="s">
        <v>324</v>
      </c>
      <c r="C21" s="343" t="s">
        <v>319</v>
      </c>
      <c r="D21" s="386">
        <f t="shared" ref="D21:D25" si="10">SUM(E21:H21)</f>
        <v>291.44141000000002</v>
      </c>
      <c r="E21" s="344"/>
      <c r="F21" s="344"/>
      <c r="G21" s="344">
        <f t="shared" ref="G21:H21" si="11">G22+G24</f>
        <v>91.042140000000003</v>
      </c>
      <c r="H21" s="344">
        <f t="shared" si="11"/>
        <v>200.39927</v>
      </c>
      <c r="I21" s="386">
        <f t="shared" ref="I21:I26" si="12">SUM(J21:M21)</f>
        <v>252.74647999999996</v>
      </c>
      <c r="J21" s="344"/>
      <c r="K21" s="344"/>
      <c r="L21" s="344">
        <f t="shared" ref="L21:M21" si="13">L22+L24</f>
        <v>81.02400999999999</v>
      </c>
      <c r="M21" s="344">
        <f t="shared" si="13"/>
        <v>171.72246999999999</v>
      </c>
      <c r="N21" s="386">
        <f t="shared" ref="N21:N25" si="14">SUM(O21:R21)</f>
        <v>544.18788999999992</v>
      </c>
      <c r="O21" s="344"/>
      <c r="P21" s="344"/>
      <c r="Q21" s="344">
        <f t="shared" ref="Q21:R21" si="15">Q22+Q24</f>
        <v>172.06614999999999</v>
      </c>
      <c r="R21" s="344">
        <f t="shared" si="15"/>
        <v>372.12173999999999</v>
      </c>
    </row>
    <row r="22" spans="1:18" ht="15.75" customHeight="1">
      <c r="A22" s="340" t="s">
        <v>48</v>
      </c>
      <c r="B22" s="345" t="s">
        <v>325</v>
      </c>
      <c r="C22" s="343" t="s">
        <v>319</v>
      </c>
      <c r="D22" s="386">
        <f t="shared" si="10"/>
        <v>114.43011</v>
      </c>
      <c r="E22" s="351"/>
      <c r="F22" s="351"/>
      <c r="G22" s="351">
        <v>85.908839999999998</v>
      </c>
      <c r="H22" s="351">
        <v>28.521270000000001</v>
      </c>
      <c r="I22" s="386">
        <f t="shared" si="12"/>
        <v>106.99777999999999</v>
      </c>
      <c r="J22" s="351"/>
      <c r="K22" s="351"/>
      <c r="L22" s="351">
        <v>76.797309999999996</v>
      </c>
      <c r="M22" s="351">
        <v>30.200469999999999</v>
      </c>
      <c r="N22" s="386">
        <f t="shared" si="14"/>
        <v>221.42788999999999</v>
      </c>
      <c r="O22" s="351"/>
      <c r="P22" s="351"/>
      <c r="Q22" s="351">
        <f t="shared" ref="Q22:R22" si="16">G22+L22</f>
        <v>162.70614999999998</v>
      </c>
      <c r="R22" s="351">
        <f t="shared" si="16"/>
        <v>58.721739999999997</v>
      </c>
    </row>
    <row r="23" spans="1:18" ht="24" customHeight="1">
      <c r="A23" s="340" t="s">
        <v>290</v>
      </c>
      <c r="B23" s="348" t="s">
        <v>326</v>
      </c>
      <c r="C23" s="343" t="s">
        <v>319</v>
      </c>
      <c r="D23" s="386"/>
      <c r="E23" s="351"/>
      <c r="F23" s="351"/>
      <c r="G23" s="351"/>
      <c r="H23" s="351"/>
      <c r="I23" s="386">
        <f t="shared" si="12"/>
        <v>0</v>
      </c>
      <c r="J23" s="351"/>
      <c r="K23" s="351"/>
      <c r="L23" s="351"/>
      <c r="M23" s="351"/>
      <c r="N23" s="386"/>
      <c r="O23" s="351"/>
      <c r="P23" s="351"/>
      <c r="Q23" s="351"/>
      <c r="R23" s="351"/>
    </row>
    <row r="24" spans="1:18" ht="22.5" customHeight="1">
      <c r="A24" s="340" t="s">
        <v>50</v>
      </c>
      <c r="B24" s="345" t="s">
        <v>327</v>
      </c>
      <c r="C24" s="343" t="s">
        <v>319</v>
      </c>
      <c r="D24" s="386">
        <f t="shared" si="10"/>
        <v>177.01129999999998</v>
      </c>
      <c r="E24" s="344"/>
      <c r="F24" s="344"/>
      <c r="G24" s="344">
        <f t="shared" ref="G24:H24" si="17">G25</f>
        <v>5.1333000000000002</v>
      </c>
      <c r="H24" s="344">
        <f t="shared" si="17"/>
        <v>171.87799999999999</v>
      </c>
      <c r="I24" s="386">
        <f t="shared" si="12"/>
        <v>145.74869999999999</v>
      </c>
      <c r="J24" s="344"/>
      <c r="K24" s="344"/>
      <c r="L24" s="344">
        <f t="shared" ref="L24:M24" si="18">L25</f>
        <v>4.2267000000000001</v>
      </c>
      <c r="M24" s="344">
        <f t="shared" si="18"/>
        <v>141.52199999999999</v>
      </c>
      <c r="N24" s="386">
        <f t="shared" si="14"/>
        <v>322.76</v>
      </c>
      <c r="O24" s="344"/>
      <c r="P24" s="344"/>
      <c r="Q24" s="344">
        <f t="shared" ref="Q24:R24" si="19">Q25</f>
        <v>9.36</v>
      </c>
      <c r="R24" s="344">
        <f t="shared" si="19"/>
        <v>313.39999999999998</v>
      </c>
    </row>
    <row r="25" spans="1:18" ht="15.75" customHeight="1">
      <c r="A25" s="340" t="s">
        <v>51</v>
      </c>
      <c r="B25" s="348" t="s">
        <v>328</v>
      </c>
      <c r="C25" s="343" t="s">
        <v>319</v>
      </c>
      <c r="D25" s="386">
        <f t="shared" si="10"/>
        <v>177.01129999999998</v>
      </c>
      <c r="E25" s="351"/>
      <c r="F25" s="351"/>
      <c r="G25" s="351">
        <v>5.1333000000000002</v>
      </c>
      <c r="H25" s="351">
        <v>171.87799999999999</v>
      </c>
      <c r="I25" s="386">
        <f t="shared" si="12"/>
        <v>145.74869999999999</v>
      </c>
      <c r="J25" s="351"/>
      <c r="K25" s="351"/>
      <c r="L25" s="351">
        <v>4.2267000000000001</v>
      </c>
      <c r="M25" s="351">
        <v>141.52199999999999</v>
      </c>
      <c r="N25" s="386">
        <f t="shared" si="14"/>
        <v>322.76</v>
      </c>
      <c r="O25" s="351"/>
      <c r="P25" s="351"/>
      <c r="Q25" s="351">
        <f t="shared" ref="Q25:R25" si="20">G25+L25</f>
        <v>9.36</v>
      </c>
      <c r="R25" s="351">
        <f t="shared" si="20"/>
        <v>313.39999999999998</v>
      </c>
    </row>
    <row r="26" spans="1:18" ht="15.75" customHeight="1">
      <c r="A26" s="340" t="s">
        <v>53</v>
      </c>
      <c r="B26" s="348" t="s">
        <v>328</v>
      </c>
      <c r="C26" s="343" t="s">
        <v>319</v>
      </c>
      <c r="D26" s="386"/>
      <c r="E26" s="346"/>
      <c r="F26" s="346"/>
      <c r="G26" s="346"/>
      <c r="H26" s="346"/>
      <c r="I26" s="386">
        <f t="shared" si="12"/>
        <v>0</v>
      </c>
      <c r="J26" s="346"/>
      <c r="K26" s="346"/>
      <c r="L26" s="346"/>
      <c r="M26" s="346"/>
      <c r="N26" s="386"/>
      <c r="O26" s="346"/>
      <c r="P26" s="346"/>
      <c r="Q26" s="346"/>
      <c r="R26" s="346"/>
    </row>
    <row r="27" spans="1:18" ht="15.75" customHeight="1">
      <c r="A27" s="352"/>
      <c r="B27" s="353" t="s">
        <v>294</v>
      </c>
      <c r="C27" s="354"/>
      <c r="D27" s="388">
        <f>D8-D18-D20-D21</f>
        <v>-3.0000000003838068E-4</v>
      </c>
      <c r="E27" s="355"/>
      <c r="F27" s="355"/>
      <c r="G27" s="355">
        <f>G8-G18-G20-G21</f>
        <v>240.28367000000003</v>
      </c>
      <c r="H27" s="355">
        <f>H8-H18-H20-H21</f>
        <v>-240.28397000000001</v>
      </c>
      <c r="I27" s="392">
        <f>I8-I18-I20-I21</f>
        <v>3.000000000952241E-4</v>
      </c>
      <c r="J27" s="355"/>
      <c r="K27" s="355"/>
      <c r="L27" s="355">
        <f>L8-L18-L20-L21</f>
        <v>202.22117000000003</v>
      </c>
      <c r="M27" s="355">
        <f>M8-M18-M20-M21</f>
        <v>-202.22086999999999</v>
      </c>
      <c r="N27" s="392">
        <f>N8-N18-N20-N21</f>
        <v>0</v>
      </c>
      <c r="O27" s="355"/>
      <c r="P27" s="355"/>
      <c r="Q27" s="355">
        <f>Q8-Q18-Q20-Q21</f>
        <v>442.50484000000006</v>
      </c>
      <c r="R27" s="355">
        <f>R8-R18-R20-R21</f>
        <v>-442.50484</v>
      </c>
    </row>
    <row r="28" spans="1:18" ht="15.75" customHeight="1">
      <c r="A28" s="327" t="s">
        <v>295</v>
      </c>
      <c r="B28" s="328"/>
      <c r="C28" s="329"/>
      <c r="D28" s="389"/>
      <c r="E28" s="356"/>
      <c r="F28" s="356"/>
      <c r="G28" s="356"/>
      <c r="H28" s="356"/>
      <c r="I28" s="393"/>
      <c r="J28" s="356"/>
      <c r="K28" s="356"/>
      <c r="L28" s="356"/>
      <c r="M28" s="356"/>
      <c r="N28" s="393"/>
      <c r="O28" s="356"/>
      <c r="P28" s="356"/>
      <c r="Q28" s="356"/>
      <c r="R28" s="356"/>
    </row>
    <row r="29" spans="1:18" ht="15.75" customHeight="1">
      <c r="A29" s="357" t="s">
        <v>9</v>
      </c>
      <c r="B29" s="342" t="s">
        <v>329</v>
      </c>
      <c r="C29" s="343" t="s">
        <v>319</v>
      </c>
      <c r="D29" s="390">
        <v>0</v>
      </c>
      <c r="E29" s="358"/>
      <c r="F29" s="358"/>
      <c r="G29" s="358"/>
      <c r="H29" s="358"/>
      <c r="I29" s="390">
        <v>0</v>
      </c>
      <c r="J29" s="358"/>
      <c r="K29" s="358"/>
      <c r="L29" s="358"/>
      <c r="M29" s="358"/>
      <c r="N29" s="390">
        <v>0</v>
      </c>
      <c r="O29" s="358"/>
      <c r="P29" s="358"/>
      <c r="Q29" s="358"/>
      <c r="R29" s="358"/>
    </row>
    <row r="30" spans="1:18" ht="15.75" customHeight="1">
      <c r="A30" s="357" t="s">
        <v>24</v>
      </c>
      <c r="B30" s="342" t="s">
        <v>330</v>
      </c>
      <c r="C30" s="343" t="s">
        <v>319</v>
      </c>
      <c r="D30" s="391"/>
      <c r="E30" s="359"/>
      <c r="F30" s="359"/>
      <c r="G30" s="359"/>
      <c r="H30" s="359"/>
      <c r="I30" s="391"/>
      <c r="J30" s="359"/>
      <c r="K30" s="359"/>
      <c r="L30" s="359"/>
      <c r="M30" s="359"/>
      <c r="N30" s="391"/>
      <c r="O30" s="359"/>
      <c r="P30" s="359"/>
      <c r="Q30" s="359"/>
      <c r="R30" s="359"/>
    </row>
    <row r="31" spans="1:18" ht="15.75" customHeight="1">
      <c r="A31" s="357" t="s">
        <v>26</v>
      </c>
      <c r="B31" s="342" t="s">
        <v>331</v>
      </c>
      <c r="C31" s="343" t="s">
        <v>319</v>
      </c>
      <c r="D31" s="391"/>
      <c r="E31" s="359"/>
      <c r="F31" s="359"/>
      <c r="G31" s="359"/>
      <c r="H31" s="359"/>
      <c r="I31" s="391"/>
      <c r="J31" s="359"/>
      <c r="K31" s="359"/>
      <c r="L31" s="359"/>
      <c r="M31" s="359"/>
      <c r="N31" s="391"/>
      <c r="O31" s="359"/>
      <c r="P31" s="359"/>
      <c r="Q31" s="359"/>
      <c r="R31" s="359"/>
    </row>
    <row r="32" spans="1:18" ht="15.75" customHeight="1">
      <c r="A32" s="357" t="s">
        <v>46</v>
      </c>
      <c r="B32" s="360" t="s">
        <v>332</v>
      </c>
      <c r="C32" s="343" t="s">
        <v>319</v>
      </c>
      <c r="D32" s="390">
        <v>0</v>
      </c>
      <c r="E32" s="359"/>
      <c r="F32" s="359"/>
      <c r="G32" s="359"/>
      <c r="H32" s="359"/>
      <c r="I32" s="390">
        <v>0</v>
      </c>
      <c r="J32" s="359"/>
      <c r="K32" s="359" t="s">
        <v>339</v>
      </c>
      <c r="L32" s="359"/>
      <c r="M32" s="359"/>
      <c r="N32" s="390">
        <v>0</v>
      </c>
      <c r="O32" s="359"/>
      <c r="P32" s="359"/>
      <c r="Q32" s="359"/>
      <c r="R32" s="359"/>
    </row>
    <row r="33" spans="1:18" ht="15.75" hidden="1" customHeight="1">
      <c r="A33" s="361" t="s">
        <v>300</v>
      </c>
      <c r="B33" s="345"/>
      <c r="C33" s="362"/>
      <c r="D33" s="363"/>
      <c r="E33" s="364"/>
      <c r="F33" s="364"/>
      <c r="G33" s="364"/>
      <c r="H33" s="364"/>
      <c r="I33" s="363"/>
      <c r="J33" s="364"/>
      <c r="K33" s="364"/>
      <c r="L33" s="364"/>
      <c r="M33" s="364"/>
      <c r="N33" s="365"/>
      <c r="O33" s="364"/>
      <c r="P33" s="364"/>
      <c r="Q33" s="364"/>
      <c r="R33" s="364"/>
    </row>
    <row r="34" spans="1:18" ht="15.75" hidden="1" customHeight="1">
      <c r="A34" s="340" t="s">
        <v>48</v>
      </c>
      <c r="B34" s="366" t="s">
        <v>301</v>
      </c>
      <c r="C34" s="343" t="s">
        <v>319</v>
      </c>
      <c r="D34" s="367"/>
      <c r="E34" s="364"/>
      <c r="F34" s="364"/>
      <c r="G34" s="364"/>
      <c r="H34" s="364"/>
      <c r="I34" s="367"/>
      <c r="J34" s="364"/>
      <c r="K34" s="364"/>
      <c r="L34" s="364"/>
      <c r="M34" s="364"/>
      <c r="N34" s="368">
        <v>0</v>
      </c>
      <c r="O34" s="364"/>
      <c r="P34" s="364"/>
      <c r="Q34" s="364"/>
      <c r="R34" s="364"/>
    </row>
    <row r="35" spans="1:18" ht="15.75" hidden="1" customHeight="1">
      <c r="A35" s="340" t="s">
        <v>50</v>
      </c>
      <c r="B35" s="366" t="s">
        <v>302</v>
      </c>
      <c r="C35" s="343" t="s">
        <v>319</v>
      </c>
      <c r="D35" s="367"/>
      <c r="E35" s="364"/>
      <c r="F35" s="364"/>
      <c r="G35" s="364"/>
      <c r="H35" s="364"/>
      <c r="I35" s="367"/>
      <c r="J35" s="364"/>
      <c r="K35" s="364"/>
      <c r="L35" s="364"/>
      <c r="M35" s="364"/>
      <c r="N35" s="368">
        <v>0</v>
      </c>
      <c r="O35" s="364"/>
      <c r="P35" s="364"/>
      <c r="Q35" s="364"/>
      <c r="R35" s="364"/>
    </row>
    <row r="36" spans="1:18" ht="15.75" hidden="1" customHeight="1">
      <c r="A36" s="340" t="s">
        <v>303</v>
      </c>
      <c r="B36" s="366" t="s">
        <v>304</v>
      </c>
      <c r="C36" s="343" t="s">
        <v>319</v>
      </c>
      <c r="D36" s="367"/>
      <c r="E36" s="364"/>
      <c r="F36" s="364"/>
      <c r="G36" s="364"/>
      <c r="H36" s="364"/>
      <c r="I36" s="367"/>
      <c r="J36" s="364"/>
      <c r="K36" s="364"/>
      <c r="L36" s="364"/>
      <c r="M36" s="364"/>
      <c r="N36" s="368">
        <v>0</v>
      </c>
      <c r="O36" s="364"/>
      <c r="P36" s="364"/>
      <c r="Q36" s="364"/>
      <c r="R36" s="364"/>
    </row>
    <row r="37" spans="1:18" ht="15.75" hidden="1" customHeight="1">
      <c r="A37" s="340" t="s">
        <v>305</v>
      </c>
      <c r="B37" s="366" t="s">
        <v>306</v>
      </c>
      <c r="C37" s="343" t="s">
        <v>319</v>
      </c>
      <c r="D37" s="367"/>
      <c r="E37" s="364"/>
      <c r="F37" s="364"/>
      <c r="G37" s="364"/>
      <c r="H37" s="364"/>
      <c r="I37" s="367"/>
      <c r="J37" s="364"/>
      <c r="K37" s="364"/>
      <c r="L37" s="364"/>
      <c r="M37" s="364"/>
      <c r="N37" s="368">
        <v>0</v>
      </c>
      <c r="O37" s="364"/>
      <c r="P37" s="364"/>
      <c r="Q37" s="364"/>
      <c r="R37" s="364"/>
    </row>
    <row r="38" spans="1:18" ht="15.75" hidden="1" customHeight="1">
      <c r="A38" s="340" t="s">
        <v>307</v>
      </c>
      <c r="B38" s="366" t="s">
        <v>308</v>
      </c>
      <c r="C38" s="343" t="s">
        <v>319</v>
      </c>
      <c r="D38" s="367"/>
      <c r="E38" s="364"/>
      <c r="F38" s="364"/>
      <c r="G38" s="364"/>
      <c r="H38" s="364"/>
      <c r="I38" s="367"/>
      <c r="J38" s="364"/>
      <c r="K38" s="364"/>
      <c r="L38" s="364"/>
      <c r="M38" s="364"/>
      <c r="N38" s="368">
        <v>0</v>
      </c>
      <c r="O38" s="364"/>
      <c r="P38" s="364"/>
      <c r="Q38" s="364"/>
      <c r="R38" s="364"/>
    </row>
    <row r="39" spans="1:18" ht="15.75" hidden="1" customHeight="1">
      <c r="A39" s="340" t="s">
        <v>309</v>
      </c>
      <c r="B39" s="366" t="s">
        <v>310</v>
      </c>
      <c r="C39" s="343" t="s">
        <v>319</v>
      </c>
      <c r="D39" s="367"/>
      <c r="E39" s="364"/>
      <c r="F39" s="364"/>
      <c r="G39" s="364"/>
      <c r="H39" s="364"/>
      <c r="I39" s="367"/>
      <c r="J39" s="364"/>
      <c r="K39" s="364"/>
      <c r="L39" s="364"/>
      <c r="M39" s="364"/>
      <c r="N39" s="368">
        <v>0</v>
      </c>
      <c r="O39" s="364"/>
      <c r="P39" s="364"/>
      <c r="Q39" s="364"/>
      <c r="R39" s="364"/>
    </row>
    <row r="40" spans="1:18" ht="15.75" hidden="1" customHeight="1">
      <c r="A40" s="340" t="s">
        <v>311</v>
      </c>
      <c r="B40" s="366" t="s">
        <v>312</v>
      </c>
      <c r="C40" s="343" t="s">
        <v>319</v>
      </c>
      <c r="D40" s="367"/>
      <c r="E40" s="364"/>
      <c r="F40" s="364"/>
      <c r="G40" s="364"/>
      <c r="H40" s="364"/>
      <c r="I40" s="367"/>
      <c r="J40" s="364"/>
      <c r="K40" s="364"/>
      <c r="L40" s="364"/>
      <c r="M40" s="364"/>
      <c r="N40" s="368">
        <v>0</v>
      </c>
      <c r="O40" s="364"/>
      <c r="P40" s="364"/>
      <c r="Q40" s="364"/>
      <c r="R40" s="364"/>
    </row>
    <row r="41" spans="1:18" ht="15.75" hidden="1" customHeight="1">
      <c r="A41" s="340" t="s">
        <v>313</v>
      </c>
      <c r="B41" s="366" t="s">
        <v>314</v>
      </c>
      <c r="C41" s="343" t="s">
        <v>319</v>
      </c>
      <c r="D41" s="367"/>
      <c r="E41" s="364"/>
      <c r="F41" s="364"/>
      <c r="G41" s="364"/>
      <c r="H41" s="364"/>
      <c r="I41" s="367"/>
      <c r="J41" s="364"/>
      <c r="K41" s="364"/>
      <c r="L41" s="364"/>
      <c r="M41" s="364"/>
      <c r="N41" s="368">
        <v>0</v>
      </c>
      <c r="O41" s="364"/>
      <c r="P41" s="364"/>
      <c r="Q41" s="364"/>
      <c r="R41" s="364"/>
    </row>
    <row r="42" spans="1:18" ht="15.75" hidden="1" customHeight="1">
      <c r="A42" s="369"/>
      <c r="B42" s="370" t="s">
        <v>333</v>
      </c>
      <c r="C42" s="371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5.75" customHeight="1">
      <c r="A43" s="373"/>
      <c r="B43" s="374"/>
      <c r="C43" s="374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</row>
    <row r="44" spans="1:18" ht="15.75" customHeight="1">
      <c r="A44" s="373"/>
      <c r="B44" s="37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</row>
    <row r="45" spans="1:18" ht="15.75" customHeight="1">
      <c r="A45" s="373"/>
      <c r="B45" s="374"/>
      <c r="C45" s="374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</row>
    <row r="46" spans="1:18" ht="15.75" customHeight="1">
      <c r="A46" s="373"/>
      <c r="B46" s="374"/>
      <c r="C46" s="374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</row>
    <row r="47" spans="1:18" ht="15.75" customHeight="1">
      <c r="A47" s="373"/>
      <c r="B47" s="374"/>
      <c r="C47" s="374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</row>
    <row r="48" spans="1:18" ht="15.75" customHeight="1">
      <c r="B48" s="374"/>
      <c r="C48" s="374"/>
    </row>
    <row r="49" spans="2:3" ht="15.75" customHeight="1">
      <c r="B49" s="374"/>
      <c r="C49" s="374"/>
    </row>
    <row r="50" spans="2:3" ht="15.75" customHeight="1">
      <c r="B50" s="374"/>
      <c r="C50" s="374"/>
    </row>
    <row r="51" spans="2:3" ht="15.75" customHeight="1">
      <c r="B51" s="374"/>
      <c r="C51" s="374"/>
    </row>
    <row r="52" spans="2:3" ht="15.75" customHeight="1">
      <c r="B52" s="374"/>
      <c r="C52" s="374"/>
    </row>
    <row r="53" spans="2:3" ht="15.75" customHeight="1">
      <c r="B53" s="374"/>
      <c r="C53" s="374"/>
    </row>
    <row r="54" spans="2:3" ht="15.75" customHeight="1">
      <c r="B54" s="374"/>
      <c r="C54" s="374"/>
    </row>
    <row r="55" spans="2:3" ht="15.75" customHeight="1">
      <c r="B55" s="374"/>
      <c r="C55" s="374"/>
    </row>
    <row r="56" spans="2:3" ht="15.75" customHeight="1">
      <c r="B56" s="374"/>
      <c r="C56" s="374"/>
    </row>
    <row r="57" spans="2:3" ht="15.75" customHeight="1">
      <c r="B57" s="374"/>
      <c r="C57" s="374"/>
    </row>
    <row r="58" spans="2:3" ht="15.75" customHeight="1">
      <c r="B58" s="374"/>
      <c r="C58" s="374"/>
    </row>
    <row r="59" spans="2:3" ht="15.75" customHeight="1">
      <c r="B59" s="374"/>
      <c r="C59" s="374"/>
    </row>
    <row r="60" spans="2:3" ht="15.75" customHeight="1">
      <c r="B60" s="374"/>
      <c r="C60" s="374"/>
    </row>
    <row r="61" spans="2:3" ht="15.75" customHeight="1">
      <c r="B61" s="374"/>
      <c r="C61" s="374"/>
    </row>
    <row r="62" spans="2:3" ht="15.75" customHeight="1">
      <c r="B62" s="374"/>
      <c r="C62" s="374"/>
    </row>
    <row r="63" spans="2:3" ht="15.75" customHeight="1">
      <c r="B63" s="374"/>
      <c r="C63" s="374"/>
    </row>
    <row r="64" spans="2:3" ht="15.75" customHeight="1">
      <c r="B64" s="374"/>
      <c r="C64" s="374"/>
    </row>
    <row r="65" spans="2:3" ht="15.75" customHeight="1">
      <c r="B65" s="374"/>
      <c r="C65" s="374"/>
    </row>
    <row r="66" spans="2:3" ht="15.75" customHeight="1">
      <c r="B66" s="374"/>
      <c r="C66" s="374"/>
    </row>
    <row r="67" spans="2:3" ht="15.75" customHeight="1">
      <c r="B67" s="374"/>
      <c r="C67" s="374"/>
    </row>
    <row r="68" spans="2:3" ht="15.75" customHeight="1">
      <c r="B68" s="374"/>
      <c r="C68" s="374"/>
    </row>
    <row r="69" spans="2:3" ht="15.75" customHeight="1">
      <c r="B69" s="374"/>
      <c r="C69" s="374"/>
    </row>
    <row r="70" spans="2:3" ht="15.75" customHeight="1">
      <c r="B70" s="374"/>
      <c r="C70" s="374"/>
    </row>
    <row r="71" spans="2:3" ht="15.75" customHeight="1">
      <c r="B71" s="374"/>
      <c r="C71" s="374"/>
    </row>
    <row r="72" spans="2:3" ht="15.75" customHeight="1">
      <c r="B72" s="374"/>
      <c r="C72" s="374"/>
    </row>
    <row r="73" spans="2:3" ht="15.75" customHeight="1">
      <c r="B73" s="374"/>
      <c r="C73" s="374"/>
    </row>
    <row r="74" spans="2:3" ht="15.75" customHeight="1">
      <c r="B74" s="374"/>
      <c r="C74" s="374"/>
    </row>
    <row r="75" spans="2:3" ht="15.75" customHeight="1">
      <c r="B75" s="374"/>
      <c r="C75" s="374"/>
    </row>
    <row r="76" spans="2:3" ht="15.75" customHeight="1">
      <c r="B76" s="374"/>
      <c r="C76" s="374"/>
    </row>
    <row r="77" spans="2:3" ht="15.75" customHeight="1">
      <c r="B77" s="374"/>
      <c r="C77" s="374"/>
    </row>
    <row r="78" spans="2:3" ht="15.75" customHeight="1">
      <c r="B78" s="374"/>
      <c r="C78" s="374"/>
    </row>
    <row r="79" spans="2:3" ht="15.75" customHeight="1">
      <c r="B79" s="374"/>
      <c r="C79" s="374"/>
    </row>
    <row r="80" spans="2:3" ht="15.75" customHeight="1">
      <c r="B80" s="374"/>
      <c r="C80" s="374"/>
    </row>
    <row r="81" spans="2:3" ht="15.75" customHeight="1">
      <c r="B81" s="374"/>
      <c r="C81" s="374"/>
    </row>
  </sheetData>
  <mergeCells count="8">
    <mergeCell ref="P2:R2"/>
    <mergeCell ref="A3:C3"/>
    <mergeCell ref="A5:A6"/>
    <mergeCell ref="B5:B6"/>
    <mergeCell ref="C5:C6"/>
    <mergeCell ref="D5:H5"/>
    <mergeCell ref="I5:M5"/>
    <mergeCell ref="N5:R5"/>
  </mergeCells>
  <pageMargins left="0" right="0" top="0" bottom="0" header="0.31496062992125984" footer="0.31496062992125984"/>
  <pageSetup paperSize="9" scale="71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topLeftCell="A42" workbookViewId="0">
      <selection activeCell="M23" sqref="M23"/>
    </sheetView>
  </sheetViews>
  <sheetFormatPr defaultRowHeight="15" customHeight="1"/>
  <cols>
    <col min="2" max="2" width="46.5703125" customWidth="1"/>
    <col min="17" max="17" width="9.5703125" bestFit="1" customWidth="1"/>
    <col min="18" max="18" width="9.28515625" bestFit="1" customWidth="1"/>
  </cols>
  <sheetData>
    <row r="1" spans="1:18" ht="15" customHeight="1">
      <c r="O1" t="s">
        <v>258</v>
      </c>
    </row>
    <row r="2" spans="1:18" ht="15" customHeight="1">
      <c r="P2" s="489" t="s">
        <v>259</v>
      </c>
      <c r="Q2" s="489"/>
      <c r="R2" s="489"/>
    </row>
    <row r="3" spans="1:18" ht="15" customHeight="1">
      <c r="A3" s="493" t="s">
        <v>260</v>
      </c>
      <c r="B3" s="493"/>
      <c r="C3" s="493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5" spans="1:18" ht="15" customHeight="1">
      <c r="A5" s="494" t="s">
        <v>261</v>
      </c>
      <c r="B5" s="495" t="s">
        <v>262</v>
      </c>
      <c r="C5" s="495" t="s">
        <v>263</v>
      </c>
      <c r="D5" s="495" t="s">
        <v>264</v>
      </c>
      <c r="E5" s="495"/>
      <c r="F5" s="495"/>
      <c r="G5" s="495"/>
      <c r="H5" s="495"/>
      <c r="I5" s="495" t="s">
        <v>265</v>
      </c>
      <c r="J5" s="495"/>
      <c r="K5" s="495"/>
      <c r="L5" s="495"/>
      <c r="M5" s="495"/>
      <c r="N5" s="495" t="s">
        <v>266</v>
      </c>
      <c r="O5" s="495"/>
      <c r="P5" s="495"/>
      <c r="Q5" s="495"/>
      <c r="R5" s="495"/>
    </row>
    <row r="6" spans="1:18" ht="15" customHeight="1">
      <c r="A6" s="494"/>
      <c r="B6" s="495"/>
      <c r="C6" s="495"/>
      <c r="D6" s="307" t="s">
        <v>267</v>
      </c>
      <c r="E6" s="307" t="s">
        <v>268</v>
      </c>
      <c r="F6" s="307" t="s">
        <v>269</v>
      </c>
      <c r="G6" s="307" t="s">
        <v>198</v>
      </c>
      <c r="H6" s="307" t="s">
        <v>199</v>
      </c>
      <c r="I6" s="307" t="s">
        <v>267</v>
      </c>
      <c r="J6" s="307" t="s">
        <v>268</v>
      </c>
      <c r="K6" s="307" t="s">
        <v>269</v>
      </c>
      <c r="L6" s="307" t="s">
        <v>198</v>
      </c>
      <c r="M6" s="307" t="s">
        <v>199</v>
      </c>
      <c r="N6" s="307" t="s">
        <v>267</v>
      </c>
      <c r="O6" s="307" t="s">
        <v>268</v>
      </c>
      <c r="P6" s="307" t="s">
        <v>269</v>
      </c>
      <c r="Q6" s="307" t="s">
        <v>198</v>
      </c>
      <c r="R6" s="307" t="s">
        <v>199</v>
      </c>
    </row>
    <row r="7" spans="1:18" ht="15" customHeight="1">
      <c r="A7" s="308" t="s">
        <v>9</v>
      </c>
      <c r="B7" s="308" t="s">
        <v>24</v>
      </c>
      <c r="C7" s="308" t="s">
        <v>26</v>
      </c>
      <c r="D7" s="308" t="s">
        <v>98</v>
      </c>
      <c r="E7" s="308" t="s">
        <v>105</v>
      </c>
      <c r="F7" s="308" t="s">
        <v>106</v>
      </c>
      <c r="G7" s="308" t="s">
        <v>116</v>
      </c>
      <c r="H7" s="308" t="s">
        <v>118</v>
      </c>
      <c r="I7" s="308" t="s">
        <v>119</v>
      </c>
      <c r="J7" s="308" t="s">
        <v>120</v>
      </c>
      <c r="K7" s="308" t="s">
        <v>128</v>
      </c>
      <c r="L7" s="308" t="s">
        <v>129</v>
      </c>
      <c r="M7" s="308" t="s">
        <v>144</v>
      </c>
      <c r="N7" s="308" t="s">
        <v>146</v>
      </c>
      <c r="O7" s="308" t="s">
        <v>147</v>
      </c>
      <c r="P7" s="308" t="s">
        <v>154</v>
      </c>
      <c r="Q7" s="308" t="s">
        <v>155</v>
      </c>
      <c r="R7" s="308" t="s">
        <v>270</v>
      </c>
    </row>
    <row r="8" spans="1:18" ht="15" customHeight="1">
      <c r="A8" s="309" t="s">
        <v>9</v>
      </c>
      <c r="B8" s="310" t="s">
        <v>271</v>
      </c>
      <c r="C8" s="311" t="s">
        <v>227</v>
      </c>
      <c r="D8" s="384">
        <f t="shared" ref="D8" si="0">SUM(E8:H8)</f>
        <v>111.004</v>
      </c>
      <c r="E8" s="378"/>
      <c r="F8" s="378"/>
      <c r="G8" s="384">
        <f>G9+G15+G16+G17</f>
        <v>110.6872</v>
      </c>
      <c r="H8" s="384">
        <f t="shared" ref="H8" si="1">H9+H15+H16+H17</f>
        <v>0.31680000000000003</v>
      </c>
      <c r="I8" s="378">
        <f t="shared" ref="I8" si="2">SUM(J8:M8)</f>
        <v>94.361000000000004</v>
      </c>
      <c r="J8" s="378"/>
      <c r="K8" s="378"/>
      <c r="L8" s="378">
        <f t="shared" ref="L8:M8" si="3">L9+L15+L16+L17</f>
        <v>94.107399999999998</v>
      </c>
      <c r="M8" s="378">
        <f t="shared" si="3"/>
        <v>0.25359999999999999</v>
      </c>
      <c r="N8" s="378">
        <f t="shared" ref="N8" si="4">SUM(O8:R8)</f>
        <v>102.6825</v>
      </c>
      <c r="O8" s="378"/>
      <c r="P8" s="378"/>
      <c r="Q8" s="378">
        <f t="shared" ref="Q8:R8" si="5">Q9+Q15+Q16+Q17</f>
        <v>102.3973</v>
      </c>
      <c r="R8" s="378">
        <f t="shared" si="5"/>
        <v>0.28520000000000001</v>
      </c>
    </row>
    <row r="9" spans="1:18" ht="15" customHeight="1">
      <c r="A9" s="309" t="s">
        <v>12</v>
      </c>
      <c r="B9" s="313" t="s">
        <v>272</v>
      </c>
      <c r="C9" s="311" t="s">
        <v>227</v>
      </c>
      <c r="D9" s="312"/>
      <c r="E9" s="312"/>
      <c r="F9" s="312"/>
      <c r="G9" s="312"/>
      <c r="H9" s="312"/>
      <c r="I9" s="378"/>
      <c r="J9" s="312"/>
      <c r="K9" s="312"/>
      <c r="L9" s="312"/>
      <c r="M9" s="312"/>
      <c r="N9" s="378"/>
      <c r="O9" s="312"/>
      <c r="P9" s="312"/>
      <c r="Q9" s="312"/>
      <c r="R9" s="312"/>
    </row>
    <row r="10" spans="1:18" ht="15" customHeight="1">
      <c r="A10" s="309"/>
      <c r="B10" s="310" t="s">
        <v>273</v>
      </c>
      <c r="C10" s="311"/>
      <c r="D10" s="314"/>
      <c r="E10" s="315"/>
      <c r="F10" s="315"/>
      <c r="G10" s="315"/>
      <c r="H10" s="315"/>
      <c r="I10" s="379"/>
      <c r="J10" s="315"/>
      <c r="K10" s="315"/>
      <c r="L10" s="315"/>
      <c r="M10" s="315"/>
      <c r="N10" s="379"/>
      <c r="O10" s="315"/>
      <c r="P10" s="315"/>
      <c r="Q10" s="315"/>
      <c r="R10" s="315"/>
    </row>
    <row r="11" spans="1:18" ht="15" customHeight="1">
      <c r="A11" s="309" t="s">
        <v>274</v>
      </c>
      <c r="B11" s="316" t="s">
        <v>275</v>
      </c>
      <c r="C11" s="311" t="s">
        <v>227</v>
      </c>
      <c r="D11" s="312"/>
      <c r="E11" s="317"/>
      <c r="F11" s="317"/>
      <c r="G11" s="317"/>
      <c r="H11" s="317"/>
      <c r="I11" s="378"/>
      <c r="J11" s="317"/>
      <c r="K11" s="317"/>
      <c r="L11" s="317"/>
      <c r="M11" s="317"/>
      <c r="N11" s="378"/>
      <c r="O11" s="317"/>
      <c r="P11" s="317"/>
      <c r="Q11" s="317"/>
      <c r="R11" s="317"/>
    </row>
    <row r="12" spans="1:18" ht="15" customHeight="1">
      <c r="A12" s="309" t="s">
        <v>276</v>
      </c>
      <c r="B12" s="316" t="s">
        <v>268</v>
      </c>
      <c r="C12" s="311" t="s">
        <v>227</v>
      </c>
      <c r="D12" s="314"/>
      <c r="E12" s="318"/>
      <c r="F12" s="317"/>
      <c r="G12" s="317"/>
      <c r="H12" s="318"/>
      <c r="I12" s="379"/>
      <c r="J12" s="318"/>
      <c r="K12" s="317"/>
      <c r="L12" s="317"/>
      <c r="M12" s="318"/>
      <c r="N12" s="379"/>
      <c r="O12" s="318"/>
      <c r="P12" s="317"/>
      <c r="Q12" s="317"/>
      <c r="R12" s="318"/>
    </row>
    <row r="13" spans="1:18" ht="15" customHeight="1">
      <c r="A13" s="309" t="s">
        <v>277</v>
      </c>
      <c r="B13" s="316" t="s">
        <v>269</v>
      </c>
      <c r="C13" s="311" t="s">
        <v>227</v>
      </c>
      <c r="D13" s="314"/>
      <c r="E13" s="318"/>
      <c r="F13" s="318"/>
      <c r="G13" s="317"/>
      <c r="H13" s="317"/>
      <c r="I13" s="379"/>
      <c r="J13" s="318"/>
      <c r="K13" s="318"/>
      <c r="L13" s="317"/>
      <c r="M13" s="317"/>
      <c r="N13" s="379"/>
      <c r="O13" s="318"/>
      <c r="P13" s="318"/>
      <c r="Q13" s="317"/>
      <c r="R13" s="317"/>
    </row>
    <row r="14" spans="1:18" ht="15" customHeight="1">
      <c r="A14" s="309" t="s">
        <v>278</v>
      </c>
      <c r="B14" s="316" t="s">
        <v>198</v>
      </c>
      <c r="C14" s="311" t="s">
        <v>227</v>
      </c>
      <c r="D14" s="314"/>
      <c r="E14" s="318"/>
      <c r="F14" s="318"/>
      <c r="G14" s="318"/>
      <c r="H14" s="317"/>
      <c r="I14" s="379"/>
      <c r="J14" s="318"/>
      <c r="K14" s="318"/>
      <c r="L14" s="318"/>
      <c r="M14" s="317"/>
      <c r="N14" s="379"/>
      <c r="O14" s="318"/>
      <c r="P14" s="318"/>
      <c r="Q14" s="318"/>
      <c r="R14" s="317"/>
    </row>
    <row r="15" spans="1:18" ht="15" customHeight="1">
      <c r="A15" s="309" t="s">
        <v>14</v>
      </c>
      <c r="B15" s="313" t="s">
        <v>279</v>
      </c>
      <c r="C15" s="311" t="s">
        <v>227</v>
      </c>
      <c r="D15" s="312"/>
      <c r="E15" s="317"/>
      <c r="F15" s="317"/>
      <c r="G15" s="317"/>
      <c r="H15" s="317"/>
      <c r="I15" s="378"/>
      <c r="J15" s="317"/>
      <c r="K15" s="317"/>
      <c r="L15" s="317"/>
      <c r="M15" s="317"/>
      <c r="N15" s="378"/>
      <c r="O15" s="317"/>
      <c r="P15" s="317"/>
      <c r="Q15" s="317"/>
      <c r="R15" s="317"/>
    </row>
    <row r="16" spans="1:18" ht="15" customHeight="1">
      <c r="A16" s="309" t="s">
        <v>280</v>
      </c>
      <c r="B16" s="313" t="s">
        <v>281</v>
      </c>
      <c r="C16" s="311" t="s">
        <v>227</v>
      </c>
      <c r="D16" s="312"/>
      <c r="E16" s="317"/>
      <c r="F16" s="317"/>
      <c r="G16" s="317"/>
      <c r="H16" s="317"/>
      <c r="I16" s="378"/>
      <c r="J16" s="317"/>
      <c r="K16" s="317"/>
      <c r="L16" s="317"/>
      <c r="M16" s="317"/>
      <c r="N16" s="378"/>
      <c r="O16" s="317"/>
      <c r="P16" s="317"/>
      <c r="Q16" s="317"/>
      <c r="R16" s="317"/>
    </row>
    <row r="17" spans="1:18" ht="15" customHeight="1">
      <c r="A17" s="309" t="s">
        <v>282</v>
      </c>
      <c r="B17" s="313" t="s">
        <v>283</v>
      </c>
      <c r="C17" s="311" t="s">
        <v>227</v>
      </c>
      <c r="D17" s="378">
        <f t="shared" ref="D17:D18" si="6">SUM(E17:H17)</f>
        <v>111.004</v>
      </c>
      <c r="E17" s="317"/>
      <c r="F17" s="317"/>
      <c r="G17" s="385">
        <v>110.6872</v>
      </c>
      <c r="H17" s="385">
        <v>0.31680000000000003</v>
      </c>
      <c r="I17" s="378">
        <f t="shared" ref="I17:I18" si="7">SUM(J17:M17)</f>
        <v>94.361000000000004</v>
      </c>
      <c r="J17" s="317"/>
      <c r="K17" s="317"/>
      <c r="L17" s="317">
        <v>94.107399999999998</v>
      </c>
      <c r="M17" s="317">
        <v>0.25359999999999999</v>
      </c>
      <c r="N17" s="378">
        <f t="shared" ref="N17:N18" si="8">SUM(O17:R17)</f>
        <v>102.6825</v>
      </c>
      <c r="O17" s="317"/>
      <c r="P17" s="317"/>
      <c r="Q17" s="317">
        <f>(G17+L17)/2</f>
        <v>102.3973</v>
      </c>
      <c r="R17" s="317">
        <f>(H17+M17)/2</f>
        <v>0.28520000000000001</v>
      </c>
    </row>
    <row r="18" spans="1:18" ht="15" customHeight="1">
      <c r="A18" s="309" t="s">
        <v>24</v>
      </c>
      <c r="B18" s="310" t="s">
        <v>284</v>
      </c>
      <c r="C18" s="311" t="s">
        <v>227</v>
      </c>
      <c r="D18" s="378">
        <f t="shared" si="6"/>
        <v>18.443532845905839</v>
      </c>
      <c r="E18" s="317"/>
      <c r="F18" s="317"/>
      <c r="G18" s="385">
        <v>6.0636621288157686</v>
      </c>
      <c r="H18" s="385">
        <v>12.379870717090071</v>
      </c>
      <c r="I18" s="378">
        <f t="shared" si="7"/>
        <v>14.946611290374257</v>
      </c>
      <c r="J18" s="317"/>
      <c r="K18" s="317"/>
      <c r="L18" s="385">
        <v>5.4685424359210932</v>
      </c>
      <c r="M18" s="385">
        <v>9.4780688544531628</v>
      </c>
      <c r="N18" s="378">
        <f t="shared" si="8"/>
        <v>16.69507206814005</v>
      </c>
      <c r="O18" s="317"/>
      <c r="P18" s="317"/>
      <c r="Q18" s="317">
        <f>(G18+L18)/2</f>
        <v>5.7661022823684309</v>
      </c>
      <c r="R18" s="317">
        <f>(H18+M18)/2</f>
        <v>10.928969785771617</v>
      </c>
    </row>
    <row r="19" spans="1:18" ht="15" customHeight="1">
      <c r="A19" s="309" t="s">
        <v>285</v>
      </c>
      <c r="B19" s="313" t="s">
        <v>286</v>
      </c>
      <c r="C19" s="311" t="s">
        <v>202</v>
      </c>
      <c r="D19" s="378">
        <f t="shared" ref="D19:I19" si="9">D18/D8*100</f>
        <v>16.615196610848113</v>
      </c>
      <c r="E19" s="312"/>
      <c r="F19" s="312"/>
      <c r="G19" s="312">
        <f t="shared" si="9"/>
        <v>5.4781963305746002</v>
      </c>
      <c r="H19" s="312">
        <f t="shared" si="9"/>
        <v>3907.7874738289361</v>
      </c>
      <c r="I19" s="378">
        <f t="shared" si="9"/>
        <v>15.839818664887249</v>
      </c>
      <c r="J19" s="312"/>
      <c r="K19" s="312"/>
      <c r="L19" s="312">
        <f t="shared" ref="L19:N19" si="10">L18/L8*100</f>
        <v>5.8109590063279759</v>
      </c>
      <c r="M19" s="312">
        <f t="shared" si="10"/>
        <v>3737.4088542796385</v>
      </c>
      <c r="N19" s="378">
        <f t="shared" si="10"/>
        <v>16.258926368310131</v>
      </c>
      <c r="O19" s="312"/>
      <c r="P19" s="312"/>
      <c r="Q19" s="312">
        <f t="shared" ref="Q19:R19" si="11">Q18/Q8*100</f>
        <v>5.6311077365989437</v>
      </c>
      <c r="R19" s="312">
        <f t="shared" si="11"/>
        <v>3832.0370917852792</v>
      </c>
    </row>
    <row r="20" spans="1:18" ht="15" customHeight="1">
      <c r="A20" s="309" t="s">
        <v>26</v>
      </c>
      <c r="B20" s="319" t="s">
        <v>287</v>
      </c>
      <c r="C20" s="311" t="s">
        <v>227</v>
      </c>
      <c r="D20" s="378">
        <f t="shared" ref="D20:D25" si="12">SUM(E20:H20)</f>
        <v>0</v>
      </c>
      <c r="E20" s="320"/>
      <c r="F20" s="320"/>
      <c r="G20" s="320"/>
      <c r="H20" s="320"/>
      <c r="I20" s="378">
        <f t="shared" ref="I20:I22" si="13">SUM(J20:M20)</f>
        <v>0</v>
      </c>
      <c r="J20" s="320"/>
      <c r="K20" s="320"/>
      <c r="L20" s="320"/>
      <c r="M20" s="320"/>
      <c r="N20" s="378"/>
      <c r="O20" s="320"/>
      <c r="P20" s="320"/>
      <c r="Q20" s="320"/>
      <c r="R20" s="320">
        <f t="shared" ref="R20" si="14">H20+M20</f>
        <v>0</v>
      </c>
    </row>
    <row r="21" spans="1:18" ht="15" customHeight="1">
      <c r="A21" s="309" t="s">
        <v>46</v>
      </c>
      <c r="B21" s="319" t="s">
        <v>288</v>
      </c>
      <c r="C21" s="311" t="s">
        <v>227</v>
      </c>
      <c r="D21" s="378">
        <f t="shared" si="12"/>
        <v>92.562696477148222</v>
      </c>
      <c r="E21" s="312"/>
      <c r="F21" s="312"/>
      <c r="G21" s="312">
        <f t="shared" ref="G21:H21" si="15">G22+G24</f>
        <v>27.660314015162754</v>
      </c>
      <c r="H21" s="312">
        <f t="shared" si="15"/>
        <v>64.902382461985468</v>
      </c>
      <c r="I21" s="378">
        <f t="shared" si="13"/>
        <v>79.415376211848226</v>
      </c>
      <c r="J21" s="312">
        <f>J22+J24</f>
        <v>0</v>
      </c>
      <c r="K21" s="312">
        <f t="shared" ref="K21:M21" si="16">K22+K24</f>
        <v>0</v>
      </c>
      <c r="L21" s="312">
        <f t="shared" si="16"/>
        <v>24.557358345101267</v>
      </c>
      <c r="M21" s="312">
        <f t="shared" si="16"/>
        <v>54.858017866746955</v>
      </c>
      <c r="N21" s="378">
        <f t="shared" ref="N21:N22" si="17">SUM(O21:R21)</f>
        <v>85.989036344498217</v>
      </c>
      <c r="O21" s="312"/>
      <c r="P21" s="312"/>
      <c r="Q21" s="312">
        <f t="shared" ref="Q21:R21" si="18">Q22+Q24</f>
        <v>26.108836180132013</v>
      </c>
      <c r="R21" s="312">
        <f t="shared" si="18"/>
        <v>59.880200164366208</v>
      </c>
    </row>
    <row r="22" spans="1:18" ht="24.75" customHeight="1">
      <c r="A22" s="309" t="s">
        <v>48</v>
      </c>
      <c r="B22" s="321" t="s">
        <v>289</v>
      </c>
      <c r="C22" s="311" t="s">
        <v>227</v>
      </c>
      <c r="D22" s="378">
        <f t="shared" si="12"/>
        <v>37.730499999999999</v>
      </c>
      <c r="E22" s="320"/>
      <c r="F22" s="320"/>
      <c r="G22" s="320">
        <v>26.1114</v>
      </c>
      <c r="H22" s="320">
        <v>11.6191</v>
      </c>
      <c r="I22" s="378">
        <f t="shared" si="13"/>
        <v>32.984400000000001</v>
      </c>
      <c r="J22" s="320"/>
      <c r="K22" s="320"/>
      <c r="L22" s="320">
        <v>23.169899999999998</v>
      </c>
      <c r="M22" s="320">
        <v>9.8145000000000007</v>
      </c>
      <c r="N22" s="378">
        <f t="shared" si="17"/>
        <v>35.35745</v>
      </c>
      <c r="O22" s="320"/>
      <c r="P22" s="320"/>
      <c r="Q22" s="320">
        <f>(G22+L22)/2</f>
        <v>24.640650000000001</v>
      </c>
      <c r="R22" s="320">
        <f>(H22+M22)/2</f>
        <v>10.716799999999999</v>
      </c>
    </row>
    <row r="23" spans="1:18" ht="15" customHeight="1">
      <c r="A23" s="309" t="s">
        <v>290</v>
      </c>
      <c r="B23" s="322" t="s">
        <v>291</v>
      </c>
      <c r="C23" s="311" t="s">
        <v>227</v>
      </c>
      <c r="D23" s="378"/>
      <c r="E23" s="320"/>
      <c r="F23" s="320"/>
      <c r="G23" s="320"/>
      <c r="H23" s="320"/>
      <c r="I23" s="378"/>
      <c r="J23" s="320"/>
      <c r="K23" s="320"/>
      <c r="L23" s="320"/>
      <c r="M23" s="320"/>
      <c r="N23" s="378"/>
      <c r="O23" s="320"/>
      <c r="P23" s="320"/>
      <c r="Q23" s="320"/>
      <c r="R23" s="320"/>
    </row>
    <row r="24" spans="1:18" ht="15" customHeight="1">
      <c r="A24" s="309" t="s">
        <v>50</v>
      </c>
      <c r="B24" s="321" t="s">
        <v>292</v>
      </c>
      <c r="C24" s="311" t="s">
        <v>227</v>
      </c>
      <c r="D24" s="378">
        <f t="shared" ref="D24" si="19">SUM(E24:H24)</f>
        <v>54.832196477148223</v>
      </c>
      <c r="E24" s="312"/>
      <c r="F24" s="312"/>
      <c r="G24" s="312">
        <f t="shared" ref="G24:H24" si="20">G25</f>
        <v>1.5489140151627541</v>
      </c>
      <c r="H24" s="312">
        <f t="shared" si="20"/>
        <v>53.283282461985472</v>
      </c>
      <c r="I24" s="378">
        <f t="shared" ref="I24" si="21">SUM(J24:M24)</f>
        <v>46.430976211848218</v>
      </c>
      <c r="J24" s="312"/>
      <c r="K24" s="312"/>
      <c r="L24" s="312">
        <f t="shared" ref="L24:M24" si="22">L25</f>
        <v>1.3874583451012681</v>
      </c>
      <c r="M24" s="312">
        <f t="shared" si="22"/>
        <v>45.043517866746953</v>
      </c>
      <c r="N24" s="378">
        <f t="shared" ref="N24" si="23">SUM(O24:R24)</f>
        <v>50.631586344498217</v>
      </c>
      <c r="O24" s="312"/>
      <c r="P24" s="312"/>
      <c r="Q24" s="312">
        <f t="shared" ref="Q24:R24" si="24">Q25</f>
        <v>1.4681861801320111</v>
      </c>
      <c r="R24" s="312">
        <f t="shared" si="24"/>
        <v>49.163400164366209</v>
      </c>
    </row>
    <row r="25" spans="1:18" ht="15" customHeight="1">
      <c r="A25" s="309" t="s">
        <v>51</v>
      </c>
      <c r="B25" s="322" t="s">
        <v>293</v>
      </c>
      <c r="C25" s="311" t="s">
        <v>227</v>
      </c>
      <c r="D25" s="378">
        <f t="shared" si="12"/>
        <v>54.832196477148223</v>
      </c>
      <c r="E25" s="320"/>
      <c r="F25" s="320"/>
      <c r="G25" s="320">
        <v>1.5489140151627541</v>
      </c>
      <c r="H25" s="320">
        <v>53.283282461985472</v>
      </c>
      <c r="I25" s="378">
        <f t="shared" ref="I25" si="25">SUM(J25:M25)</f>
        <v>46.430976211848218</v>
      </c>
      <c r="J25" s="320"/>
      <c r="K25" s="320"/>
      <c r="L25" s="320">
        <v>1.3874583451012681</v>
      </c>
      <c r="M25" s="320">
        <v>45.043517866746953</v>
      </c>
      <c r="N25" s="378">
        <f t="shared" ref="N25" si="26">SUM(O25:R25)</f>
        <v>50.631586344498217</v>
      </c>
      <c r="O25" s="320"/>
      <c r="P25" s="320"/>
      <c r="Q25" s="320">
        <f>(G25+L25)/2</f>
        <v>1.4681861801320111</v>
      </c>
      <c r="R25" s="320">
        <f>(H25+M25)/2</f>
        <v>49.163400164366209</v>
      </c>
    </row>
    <row r="26" spans="1:18" ht="15" customHeight="1">
      <c r="A26" s="309" t="s">
        <v>53</v>
      </c>
      <c r="B26" s="322" t="s">
        <v>293</v>
      </c>
      <c r="C26" s="311" t="s">
        <v>227</v>
      </c>
      <c r="D26" s="378"/>
      <c r="E26" s="314"/>
      <c r="F26" s="314"/>
      <c r="G26" s="314"/>
      <c r="H26" s="314"/>
      <c r="I26" s="378"/>
      <c r="J26" s="314"/>
      <c r="K26" s="314"/>
      <c r="L26" s="314"/>
      <c r="M26" s="314"/>
      <c r="N26" s="378"/>
      <c r="O26" s="314"/>
      <c r="P26" s="314"/>
      <c r="Q26" s="314"/>
      <c r="R26" s="314"/>
    </row>
    <row r="27" spans="1:18" ht="15" customHeight="1">
      <c r="A27" s="323"/>
      <c r="B27" s="324" t="s">
        <v>294</v>
      </c>
      <c r="C27" s="325"/>
      <c r="D27" s="380">
        <f t="shared" ref="D27" si="27">SUM(E27:H27)</f>
        <v>-2.2293230540526565E-3</v>
      </c>
      <c r="E27" s="326"/>
      <c r="F27" s="326"/>
      <c r="G27" s="326">
        <f t="shared" ref="G27:H27" si="28">G8-G18-G20-G21</f>
        <v>76.963223856021486</v>
      </c>
      <c r="H27" s="326">
        <f t="shared" si="28"/>
        <v>-76.965453179075539</v>
      </c>
      <c r="I27" s="380">
        <f t="shared" ref="I27" si="29">SUM(J27:M27)</f>
        <v>-9.8750222247190322E-4</v>
      </c>
      <c r="J27" s="326"/>
      <c r="K27" s="326"/>
      <c r="L27" s="326">
        <f t="shared" ref="L27:M27" si="30">L8-L18-L20-L21</f>
        <v>64.08149921897764</v>
      </c>
      <c r="M27" s="326">
        <f t="shared" si="30"/>
        <v>-64.082486721200112</v>
      </c>
      <c r="N27" s="380">
        <f t="shared" ref="N27" si="31">SUM(O27:R27)</f>
        <v>-1.6084126382764907E-3</v>
      </c>
      <c r="O27" s="326"/>
      <c r="P27" s="326"/>
      <c r="Q27" s="326">
        <f t="shared" ref="Q27:R27" si="32">Q8-Q18-Q20-Q21</f>
        <v>70.522361537499549</v>
      </c>
      <c r="R27" s="326">
        <f t="shared" si="32"/>
        <v>-70.523969950137825</v>
      </c>
    </row>
    <row r="28" spans="1:18" ht="15" customHeight="1">
      <c r="A28" s="327" t="s">
        <v>295</v>
      </c>
      <c r="B28" s="328"/>
      <c r="C28" s="329"/>
      <c r="D28" s="381"/>
      <c r="E28" s="330"/>
      <c r="F28" s="330"/>
      <c r="G28" s="330"/>
      <c r="H28" s="330"/>
      <c r="I28" s="383"/>
      <c r="J28" s="330"/>
      <c r="K28" s="330"/>
      <c r="L28" s="330"/>
      <c r="M28" s="330"/>
      <c r="N28" s="383"/>
      <c r="O28" s="330"/>
      <c r="P28" s="330"/>
      <c r="Q28" s="330"/>
      <c r="R28" s="330"/>
    </row>
    <row r="29" spans="1:18" ht="15" customHeight="1">
      <c r="A29" s="331" t="s">
        <v>9</v>
      </c>
      <c r="B29" s="319" t="s">
        <v>296</v>
      </c>
      <c r="C29" s="311" t="s">
        <v>227</v>
      </c>
      <c r="D29" s="378">
        <v>0</v>
      </c>
      <c r="E29" s="312"/>
      <c r="F29" s="312"/>
      <c r="G29" s="312"/>
      <c r="H29" s="312"/>
      <c r="I29" s="378">
        <v>0</v>
      </c>
      <c r="J29" s="312"/>
      <c r="K29" s="312"/>
      <c r="L29" s="312"/>
      <c r="M29" s="312"/>
      <c r="N29" s="378">
        <v>0</v>
      </c>
      <c r="O29" s="312"/>
      <c r="P29" s="312"/>
      <c r="Q29" s="312"/>
      <c r="R29" s="312"/>
    </row>
    <row r="30" spans="1:18" ht="15" customHeight="1">
      <c r="A30" s="331" t="s">
        <v>24</v>
      </c>
      <c r="B30" s="319" t="s">
        <v>297</v>
      </c>
      <c r="C30" s="311" t="s">
        <v>227</v>
      </c>
      <c r="D30" s="382"/>
      <c r="E30" s="332"/>
      <c r="F30" s="332"/>
      <c r="G30" s="332"/>
      <c r="H30" s="332"/>
      <c r="I30" s="382"/>
      <c r="J30" s="332"/>
      <c r="K30" s="332"/>
      <c r="L30" s="332"/>
      <c r="M30" s="332"/>
      <c r="N30" s="382"/>
      <c r="O30" s="332"/>
      <c r="P30" s="332"/>
      <c r="Q30" s="332"/>
      <c r="R30" s="332"/>
    </row>
    <row r="31" spans="1:18" ht="15" customHeight="1">
      <c r="A31" s="331" t="s">
        <v>26</v>
      </c>
      <c r="B31" s="319" t="s">
        <v>298</v>
      </c>
      <c r="C31" s="311" t="s">
        <v>227</v>
      </c>
      <c r="D31" s="382"/>
      <c r="E31" s="332"/>
      <c r="F31" s="332"/>
      <c r="G31" s="332"/>
      <c r="H31" s="332"/>
      <c r="I31" s="382"/>
      <c r="J31" s="332"/>
      <c r="K31" s="332"/>
      <c r="L31" s="332"/>
      <c r="M31" s="332"/>
      <c r="N31" s="382"/>
      <c r="O31" s="332"/>
      <c r="P31" s="332"/>
      <c r="Q31" s="332"/>
      <c r="R31" s="332"/>
    </row>
    <row r="32" spans="1:18" ht="15" customHeight="1">
      <c r="A32" s="331" t="s">
        <v>46</v>
      </c>
      <c r="B32" s="319" t="s">
        <v>299</v>
      </c>
      <c r="C32" s="311" t="s">
        <v>227</v>
      </c>
      <c r="D32" s="378">
        <v>0</v>
      </c>
      <c r="E32" s="332"/>
      <c r="F32" s="332"/>
      <c r="G32" s="332"/>
      <c r="H32" s="332"/>
      <c r="I32" s="378">
        <v>0</v>
      </c>
      <c r="J32" s="332"/>
      <c r="K32" s="332"/>
      <c r="L32" s="332"/>
      <c r="M32" s="332"/>
      <c r="N32" s="378">
        <v>0</v>
      </c>
      <c r="O32" s="332"/>
      <c r="P32" s="332"/>
      <c r="Q32" s="332"/>
      <c r="R32" s="332"/>
    </row>
    <row r="33" spans="1:18" ht="15" hidden="1" customHeight="1">
      <c r="A33" s="333" t="s">
        <v>300</v>
      </c>
      <c r="B33" s="321"/>
      <c r="C33" s="334"/>
      <c r="D33" s="314"/>
      <c r="E33" s="332"/>
      <c r="F33" s="332"/>
      <c r="G33" s="332"/>
      <c r="H33" s="332"/>
      <c r="I33" s="314"/>
      <c r="J33" s="332"/>
      <c r="K33" s="332"/>
      <c r="L33" s="332"/>
      <c r="M33" s="332"/>
      <c r="N33" s="314"/>
      <c r="O33" s="332"/>
      <c r="P33" s="332"/>
      <c r="Q33" s="332"/>
      <c r="R33" s="332"/>
    </row>
    <row r="34" spans="1:18" ht="15" hidden="1" customHeight="1">
      <c r="A34" s="309" t="s">
        <v>48</v>
      </c>
      <c r="B34" s="335" t="s">
        <v>301</v>
      </c>
      <c r="C34" s="311" t="s">
        <v>227</v>
      </c>
      <c r="D34" s="320"/>
      <c r="E34" s="332"/>
      <c r="F34" s="332"/>
      <c r="G34" s="332"/>
      <c r="H34" s="332"/>
      <c r="I34" s="320"/>
      <c r="J34" s="332"/>
      <c r="K34" s="332"/>
      <c r="L34" s="332"/>
      <c r="M34" s="332"/>
      <c r="N34" s="320"/>
      <c r="O34" s="332"/>
      <c r="P34" s="332"/>
      <c r="Q34" s="332"/>
      <c r="R34" s="332"/>
    </row>
    <row r="35" spans="1:18" ht="15" hidden="1" customHeight="1">
      <c r="A35" s="309" t="s">
        <v>50</v>
      </c>
      <c r="B35" s="335" t="s">
        <v>302</v>
      </c>
      <c r="C35" s="311" t="s">
        <v>227</v>
      </c>
      <c r="D35" s="320"/>
      <c r="E35" s="332"/>
      <c r="F35" s="332"/>
      <c r="G35" s="332"/>
      <c r="H35" s="332"/>
      <c r="I35" s="320"/>
      <c r="J35" s="332"/>
      <c r="K35" s="332"/>
      <c r="L35" s="332"/>
      <c r="M35" s="332"/>
      <c r="N35" s="320"/>
      <c r="O35" s="332"/>
      <c r="P35" s="332"/>
      <c r="Q35" s="332"/>
      <c r="R35" s="332"/>
    </row>
    <row r="36" spans="1:18" ht="15" hidden="1" customHeight="1">
      <c r="A36" s="309" t="s">
        <v>303</v>
      </c>
      <c r="B36" s="335" t="s">
        <v>304</v>
      </c>
      <c r="C36" s="311" t="s">
        <v>227</v>
      </c>
      <c r="D36" s="320"/>
      <c r="E36" s="332"/>
      <c r="F36" s="332"/>
      <c r="G36" s="332"/>
      <c r="H36" s="332"/>
      <c r="I36" s="320"/>
      <c r="J36" s="332"/>
      <c r="K36" s="332"/>
      <c r="L36" s="332"/>
      <c r="M36" s="332"/>
      <c r="N36" s="320"/>
      <c r="O36" s="332"/>
      <c r="P36" s="332"/>
      <c r="Q36" s="332"/>
      <c r="R36" s="332"/>
    </row>
    <row r="37" spans="1:18" ht="15" hidden="1" customHeight="1">
      <c r="A37" s="309" t="s">
        <v>305</v>
      </c>
      <c r="B37" s="335" t="s">
        <v>306</v>
      </c>
      <c r="C37" s="311" t="s">
        <v>227</v>
      </c>
      <c r="D37" s="320"/>
      <c r="E37" s="332"/>
      <c r="F37" s="332"/>
      <c r="G37" s="332"/>
      <c r="H37" s="332"/>
      <c r="I37" s="320"/>
      <c r="J37" s="332"/>
      <c r="K37" s="332"/>
      <c r="L37" s="332"/>
      <c r="M37" s="332"/>
      <c r="N37" s="320"/>
      <c r="O37" s="332"/>
      <c r="P37" s="332"/>
      <c r="Q37" s="332"/>
      <c r="R37" s="332"/>
    </row>
    <row r="38" spans="1:18" ht="15" hidden="1" customHeight="1">
      <c r="A38" s="309" t="s">
        <v>307</v>
      </c>
      <c r="B38" s="335" t="s">
        <v>308</v>
      </c>
      <c r="C38" s="311" t="s">
        <v>227</v>
      </c>
      <c r="D38" s="320"/>
      <c r="E38" s="332"/>
      <c r="F38" s="332"/>
      <c r="G38" s="332"/>
      <c r="H38" s="332"/>
      <c r="I38" s="320"/>
      <c r="J38" s="332"/>
      <c r="K38" s="332"/>
      <c r="L38" s="332"/>
      <c r="M38" s="332"/>
      <c r="N38" s="320"/>
      <c r="O38" s="332"/>
      <c r="P38" s="332"/>
      <c r="Q38" s="332"/>
      <c r="R38" s="332"/>
    </row>
    <row r="39" spans="1:18" ht="15" hidden="1" customHeight="1">
      <c r="A39" s="309" t="s">
        <v>309</v>
      </c>
      <c r="B39" s="335" t="s">
        <v>310</v>
      </c>
      <c r="C39" s="311" t="s">
        <v>227</v>
      </c>
      <c r="D39" s="320"/>
      <c r="E39" s="332"/>
      <c r="F39" s="332"/>
      <c r="G39" s="332"/>
      <c r="H39" s="332"/>
      <c r="I39" s="320"/>
      <c r="J39" s="332"/>
      <c r="K39" s="332"/>
      <c r="L39" s="332"/>
      <c r="M39" s="332"/>
      <c r="N39" s="320"/>
      <c r="O39" s="332"/>
      <c r="P39" s="332"/>
      <c r="Q39" s="332"/>
      <c r="R39" s="332"/>
    </row>
    <row r="40" spans="1:18" ht="15" hidden="1" customHeight="1">
      <c r="A40" s="309" t="s">
        <v>311</v>
      </c>
      <c r="B40" s="335" t="s">
        <v>312</v>
      </c>
      <c r="C40" s="311" t="s">
        <v>227</v>
      </c>
      <c r="D40" s="320"/>
      <c r="E40" s="332"/>
      <c r="F40" s="332"/>
      <c r="G40" s="332"/>
      <c r="H40" s="332"/>
      <c r="I40" s="320"/>
      <c r="J40" s="332"/>
      <c r="K40" s="332"/>
      <c r="L40" s="332"/>
      <c r="M40" s="332"/>
      <c r="N40" s="320"/>
      <c r="O40" s="332"/>
      <c r="P40" s="332"/>
      <c r="Q40" s="332"/>
      <c r="R40" s="332"/>
    </row>
    <row r="41" spans="1:18" ht="15" hidden="1" customHeight="1">
      <c r="A41" s="309" t="s">
        <v>313</v>
      </c>
      <c r="B41" s="335" t="s">
        <v>314</v>
      </c>
      <c r="C41" s="311" t="s">
        <v>227</v>
      </c>
      <c r="D41" s="320"/>
      <c r="E41" s="332"/>
      <c r="F41" s="332"/>
      <c r="G41" s="332"/>
      <c r="H41" s="332"/>
      <c r="I41" s="320"/>
      <c r="J41" s="332"/>
      <c r="K41" s="332"/>
      <c r="L41" s="332"/>
      <c r="M41" s="332"/>
      <c r="N41" s="320"/>
      <c r="O41" s="332"/>
      <c r="P41" s="332"/>
      <c r="Q41" s="332"/>
      <c r="R41" s="332"/>
    </row>
    <row r="42" spans="1:18" ht="15" customHeight="1">
      <c r="A42" s="336"/>
      <c r="B42" s="328"/>
      <c r="C42" s="328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</row>
    <row r="43" spans="1:18" ht="15" customHeight="1">
      <c r="A43" s="336"/>
      <c r="B43" s="328"/>
      <c r="C43" s="328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</row>
    <row r="44" spans="1:18" ht="15" customHeight="1">
      <c r="A44" s="336"/>
      <c r="B44" s="328"/>
      <c r="C44" s="328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</row>
    <row r="45" spans="1:18" ht="15" customHeight="1">
      <c r="A45" s="336"/>
      <c r="B45" s="328"/>
      <c r="C45" s="328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</row>
    <row r="46" spans="1:18" ht="15" customHeight="1">
      <c r="A46" s="336"/>
      <c r="B46" s="328"/>
      <c r="C46" s="328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</row>
    <row r="47" spans="1:18" ht="15" customHeight="1">
      <c r="A47" s="336"/>
      <c r="B47" s="328"/>
      <c r="C47" s="328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</row>
    <row r="48" spans="1:18" ht="15" customHeight="1">
      <c r="B48" s="328"/>
      <c r="C48" s="328"/>
    </row>
    <row r="49" spans="2:3" ht="15" customHeight="1">
      <c r="B49" s="328"/>
      <c r="C49" s="328"/>
    </row>
    <row r="50" spans="2:3" ht="15" customHeight="1">
      <c r="B50" s="328"/>
      <c r="C50" s="328"/>
    </row>
    <row r="51" spans="2:3" ht="15" customHeight="1">
      <c r="B51" s="328"/>
      <c r="C51" s="328"/>
    </row>
    <row r="52" spans="2:3" ht="15" customHeight="1">
      <c r="B52" s="328"/>
      <c r="C52" s="328"/>
    </row>
    <row r="53" spans="2:3" ht="15" customHeight="1">
      <c r="B53" s="328"/>
      <c r="C53" s="328"/>
    </row>
    <row r="54" spans="2:3" ht="15" customHeight="1">
      <c r="B54" s="328"/>
      <c r="C54" s="328"/>
    </row>
    <row r="55" spans="2:3" ht="15" customHeight="1">
      <c r="B55" s="328"/>
      <c r="C55" s="328"/>
    </row>
    <row r="56" spans="2:3" ht="15" customHeight="1">
      <c r="B56" s="328"/>
      <c r="C56" s="328"/>
    </row>
    <row r="57" spans="2:3" ht="15" customHeight="1">
      <c r="B57" s="328"/>
      <c r="C57" s="328"/>
    </row>
    <row r="58" spans="2:3" ht="15" customHeight="1">
      <c r="B58" s="328"/>
      <c r="C58" s="328"/>
    </row>
    <row r="59" spans="2:3" ht="15" customHeight="1">
      <c r="B59" s="328"/>
      <c r="C59" s="328"/>
    </row>
    <row r="60" spans="2:3" ht="15" customHeight="1">
      <c r="B60" s="328"/>
      <c r="C60" s="328"/>
    </row>
    <row r="61" spans="2:3" ht="15" customHeight="1">
      <c r="B61" s="328"/>
      <c r="C61" s="328"/>
    </row>
    <row r="62" spans="2:3" ht="15" customHeight="1">
      <c r="B62" s="328"/>
      <c r="C62" s="328"/>
    </row>
    <row r="63" spans="2:3" ht="15" customHeight="1">
      <c r="B63" s="328"/>
      <c r="C63" s="328"/>
    </row>
    <row r="64" spans="2:3" ht="15" customHeight="1">
      <c r="B64" s="328"/>
      <c r="C64" s="328"/>
    </row>
    <row r="65" spans="2:3" ht="15" customHeight="1">
      <c r="B65" s="328"/>
      <c r="C65" s="328"/>
    </row>
    <row r="66" spans="2:3" ht="15" customHeight="1">
      <c r="B66" s="328"/>
      <c r="C66" s="328"/>
    </row>
    <row r="67" spans="2:3" ht="15" customHeight="1">
      <c r="B67" s="328"/>
      <c r="C67" s="328"/>
    </row>
    <row r="68" spans="2:3" ht="15" customHeight="1">
      <c r="B68" s="328"/>
      <c r="C68" s="328"/>
    </row>
    <row r="69" spans="2:3" ht="15" customHeight="1">
      <c r="B69" s="328"/>
      <c r="C69" s="328"/>
    </row>
    <row r="70" spans="2:3" ht="15" customHeight="1">
      <c r="B70" s="328"/>
      <c r="C70" s="328"/>
    </row>
    <row r="71" spans="2:3" ht="15" customHeight="1">
      <c r="B71" s="328"/>
      <c r="C71" s="328"/>
    </row>
    <row r="72" spans="2:3" ht="15" customHeight="1">
      <c r="B72" s="328"/>
      <c r="C72" s="328"/>
    </row>
    <row r="73" spans="2:3" ht="15" customHeight="1">
      <c r="B73" s="328"/>
      <c r="C73" s="328"/>
    </row>
    <row r="74" spans="2:3" ht="15" customHeight="1">
      <c r="B74" s="328"/>
      <c r="C74" s="328"/>
    </row>
    <row r="75" spans="2:3" ht="15" customHeight="1">
      <c r="B75" s="328"/>
      <c r="C75" s="328"/>
    </row>
    <row r="76" spans="2:3" ht="15" customHeight="1">
      <c r="B76" s="328"/>
      <c r="C76" s="328"/>
    </row>
    <row r="77" spans="2:3" ht="15" customHeight="1">
      <c r="B77" s="328"/>
      <c r="C77" s="328"/>
    </row>
    <row r="78" spans="2:3" ht="15" customHeight="1">
      <c r="B78" s="328"/>
      <c r="C78" s="328"/>
    </row>
    <row r="79" spans="2:3" ht="15" customHeight="1">
      <c r="B79" s="328"/>
      <c r="C79" s="328"/>
    </row>
    <row r="80" spans="2:3" ht="15" customHeight="1">
      <c r="B80" s="328"/>
      <c r="C80" s="328"/>
    </row>
    <row r="81" spans="2:3" ht="15" customHeight="1">
      <c r="B81" s="328"/>
      <c r="C81" s="328"/>
    </row>
    <row r="82" spans="2:3" ht="15" customHeight="1">
      <c r="B82" s="328"/>
      <c r="C82" s="328"/>
    </row>
    <row r="83" spans="2:3" ht="15" customHeight="1">
      <c r="B83" s="328"/>
      <c r="C83" s="328"/>
    </row>
    <row r="84" spans="2:3" ht="15" customHeight="1">
      <c r="B84" s="328"/>
      <c r="C84" s="328"/>
    </row>
    <row r="85" spans="2:3" ht="15" customHeight="1">
      <c r="B85" s="328"/>
      <c r="C85" s="328"/>
    </row>
    <row r="86" spans="2:3" ht="15" customHeight="1">
      <c r="B86" s="328"/>
      <c r="C86" s="328"/>
    </row>
    <row r="87" spans="2:3" ht="15" customHeight="1">
      <c r="B87" s="328"/>
      <c r="C87" s="328"/>
    </row>
    <row r="88" spans="2:3" ht="15" customHeight="1">
      <c r="B88" s="328"/>
      <c r="C88" s="328"/>
    </row>
    <row r="89" spans="2:3" ht="15" customHeight="1">
      <c r="B89" s="328"/>
      <c r="C89" s="328"/>
    </row>
    <row r="90" spans="2:3" ht="15" customHeight="1">
      <c r="B90" s="328"/>
      <c r="C90" s="328"/>
    </row>
    <row r="91" spans="2:3" ht="15" customHeight="1">
      <c r="B91" s="328"/>
      <c r="C91" s="328"/>
    </row>
    <row r="92" spans="2:3" ht="15" customHeight="1">
      <c r="B92" s="328"/>
      <c r="C92" s="328"/>
    </row>
    <row r="93" spans="2:3" ht="15" customHeight="1">
      <c r="B93" s="328"/>
      <c r="C93" s="328"/>
    </row>
    <row r="94" spans="2:3" ht="15" customHeight="1">
      <c r="B94" s="328"/>
      <c r="C94" s="328"/>
    </row>
    <row r="95" spans="2:3" ht="15" customHeight="1">
      <c r="B95" s="328"/>
      <c r="C95" s="328"/>
    </row>
  </sheetData>
  <mergeCells count="8">
    <mergeCell ref="P2:R2"/>
    <mergeCell ref="A3:C3"/>
    <mergeCell ref="A5:A6"/>
    <mergeCell ref="B5:B6"/>
    <mergeCell ref="C5:C6"/>
    <mergeCell ref="D5:H5"/>
    <mergeCell ref="I5:M5"/>
    <mergeCell ref="N5:R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199"/>
  <sheetViews>
    <sheetView showWhiteSpace="0" view="pageBreakPreview" zoomScale="70" zoomScaleNormal="80" zoomScaleSheetLayoutView="70" zoomScalePageLayoutView="30" workbookViewId="0">
      <selection activeCell="A3" sqref="A3"/>
    </sheetView>
  </sheetViews>
  <sheetFormatPr defaultRowHeight="15"/>
  <cols>
    <col min="1" max="1" width="12.140625" style="433" customWidth="1"/>
    <col min="2" max="2" width="67.7109375" style="4" customWidth="1"/>
    <col min="3" max="3" width="22.5703125" style="205" customWidth="1"/>
    <col min="4" max="4" width="16.7109375" style="206" customWidth="1"/>
    <col min="5" max="5" width="14.42578125" style="145" customWidth="1"/>
    <col min="6" max="6" width="21" style="145" customWidth="1"/>
    <col min="7" max="7" width="16" style="145" customWidth="1"/>
    <col min="8" max="8" width="14.42578125" style="145" customWidth="1"/>
    <col min="9" max="9" width="21" style="205" customWidth="1"/>
    <col min="10" max="10" width="17" style="206" customWidth="1"/>
    <col min="11" max="11" width="16.5703125" style="145" customWidth="1"/>
    <col min="12" max="12" width="11.85546875" style="433" hidden="1" customWidth="1"/>
    <col min="13" max="13" width="14.140625" style="435" hidden="1" customWidth="1"/>
    <col min="14" max="14" width="18.5703125" style="435" hidden="1" customWidth="1"/>
    <col min="15" max="15" width="20.140625" style="437" hidden="1" customWidth="1"/>
    <col min="16" max="16" width="19.5703125" style="435" hidden="1" customWidth="1"/>
    <col min="17" max="17" width="17.7109375" style="434" customWidth="1"/>
    <col min="18" max="18" width="21.140625" style="438" hidden="1" customWidth="1"/>
    <col min="19" max="19" width="22.7109375" style="435" hidden="1" customWidth="1"/>
    <col min="20" max="20" width="21.42578125" style="436" hidden="1" customWidth="1"/>
    <col min="21" max="21" width="15.85546875" style="435" hidden="1" customWidth="1"/>
    <col min="22" max="22" width="16.7109375" style="435" customWidth="1"/>
    <col min="23" max="23" width="17.28515625" style="433" customWidth="1"/>
    <col min="24" max="24" width="9.140625" style="433"/>
    <col min="25" max="25" width="18.85546875" style="433" customWidth="1"/>
    <col min="26" max="16384" width="9.140625" style="433"/>
  </cols>
  <sheetData>
    <row r="1" spans="1:22" s="5" customFormat="1" ht="24" customHeight="1">
      <c r="A1" s="485" t="s">
        <v>241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7"/>
      <c r="N1" s="7"/>
      <c r="O1" s="208"/>
      <c r="P1" s="7"/>
      <c r="Q1" s="294"/>
      <c r="R1" s="274"/>
      <c r="S1" s="7"/>
      <c r="T1" s="287"/>
      <c r="U1" s="7"/>
      <c r="V1" s="7"/>
    </row>
    <row r="2" spans="1:22" s="5" customFormat="1" ht="23.25" customHeight="1">
      <c r="A2" s="485" t="s">
        <v>344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7"/>
      <c r="N2" s="7"/>
      <c r="O2" s="208"/>
      <c r="P2" s="7"/>
      <c r="Q2" s="294"/>
      <c r="R2" s="274"/>
      <c r="S2" s="7"/>
      <c r="T2" s="287"/>
      <c r="U2" s="7"/>
      <c r="V2" s="7"/>
    </row>
    <row r="3" spans="1:22" s="5" customFormat="1" ht="23.25" customHeight="1">
      <c r="A3" s="424"/>
      <c r="B3" s="424"/>
      <c r="C3" s="424"/>
      <c r="D3" s="427" t="s">
        <v>343</v>
      </c>
      <c r="E3" s="424"/>
      <c r="F3" s="424"/>
      <c r="G3" s="424"/>
      <c r="H3" s="424"/>
      <c r="I3" s="424"/>
      <c r="J3" s="424"/>
      <c r="K3" s="424"/>
      <c r="L3" s="424"/>
      <c r="M3" s="7"/>
      <c r="N3" s="7"/>
      <c r="O3" s="208"/>
      <c r="P3" s="7"/>
      <c r="Q3" s="294"/>
      <c r="R3" s="274"/>
      <c r="S3" s="7"/>
      <c r="T3" s="287"/>
      <c r="U3" s="7"/>
      <c r="V3" s="7"/>
    </row>
    <row r="4" spans="1:22" s="5" customFormat="1" ht="21" customHeight="1">
      <c r="A4" s="426"/>
      <c r="B4" s="426"/>
      <c r="C4" s="426"/>
      <c r="D4" s="426"/>
      <c r="E4" s="426"/>
      <c r="F4" s="426"/>
      <c r="G4" s="426"/>
      <c r="H4" s="426"/>
      <c r="I4" s="486"/>
      <c r="J4" s="486"/>
      <c r="K4" s="486"/>
      <c r="L4" s="486"/>
      <c r="M4" s="7"/>
      <c r="N4" s="7"/>
      <c r="O4" s="208"/>
      <c r="P4" s="7"/>
      <c r="Q4" s="294"/>
      <c r="R4" s="274"/>
      <c r="S4" s="7"/>
      <c r="T4" s="287"/>
      <c r="U4" s="7"/>
      <c r="V4" s="7"/>
    </row>
    <row r="5" spans="1:22" s="12" customFormat="1" ht="24.75" customHeight="1">
      <c r="A5" s="487" t="s">
        <v>3</v>
      </c>
      <c r="B5" s="487" t="s">
        <v>4</v>
      </c>
      <c r="C5" s="488" t="s">
        <v>255</v>
      </c>
      <c r="D5" s="488"/>
      <c r="E5" s="488"/>
      <c r="F5" s="488" t="s">
        <v>256</v>
      </c>
      <c r="G5" s="488"/>
      <c r="H5" s="488"/>
      <c r="I5" s="488" t="s">
        <v>257</v>
      </c>
      <c r="J5" s="488"/>
      <c r="K5" s="488"/>
      <c r="L5" s="250"/>
      <c r="M5" s="11"/>
      <c r="N5" s="11"/>
      <c r="O5" s="209"/>
      <c r="P5" s="11"/>
      <c r="Q5" s="295"/>
      <c r="R5" s="275"/>
      <c r="S5" s="11"/>
      <c r="T5" s="288"/>
      <c r="U5" s="11"/>
      <c r="V5" s="11"/>
    </row>
    <row r="6" spans="1:22" s="12" customFormat="1" ht="85.5" customHeight="1">
      <c r="A6" s="487"/>
      <c r="B6" s="487"/>
      <c r="C6" s="149" t="s">
        <v>5</v>
      </c>
      <c r="D6" s="150" t="s">
        <v>6</v>
      </c>
      <c r="E6" s="150" t="s">
        <v>7</v>
      </c>
      <c r="F6" s="150" t="s">
        <v>5</v>
      </c>
      <c r="G6" s="150" t="s">
        <v>6</v>
      </c>
      <c r="H6" s="150" t="s">
        <v>7</v>
      </c>
      <c r="I6" s="149" t="s">
        <v>5</v>
      </c>
      <c r="J6" s="150" t="s">
        <v>6</v>
      </c>
      <c r="K6" s="150" t="s">
        <v>7</v>
      </c>
      <c r="L6" s="425" t="s">
        <v>8</v>
      </c>
      <c r="M6" s="11"/>
      <c r="N6" s="11"/>
      <c r="O6" s="209"/>
      <c r="P6" s="11"/>
      <c r="Q6" s="295"/>
      <c r="R6" s="275"/>
      <c r="S6" s="11"/>
      <c r="T6" s="288"/>
      <c r="U6" s="11"/>
      <c r="V6" s="11"/>
    </row>
    <row r="7" spans="1:22" s="152" customFormat="1" ht="24.95" customHeight="1">
      <c r="A7" s="425">
        <v>1</v>
      </c>
      <c r="B7" s="425">
        <v>2</v>
      </c>
      <c r="C7" s="425">
        <v>3</v>
      </c>
      <c r="D7" s="425">
        <v>4</v>
      </c>
      <c r="E7" s="425">
        <v>5</v>
      </c>
      <c r="F7" s="425">
        <v>6</v>
      </c>
      <c r="G7" s="425">
        <v>7</v>
      </c>
      <c r="H7" s="425">
        <v>8</v>
      </c>
      <c r="I7" s="425">
        <v>9</v>
      </c>
      <c r="J7" s="425">
        <v>10</v>
      </c>
      <c r="K7" s="425">
        <v>11</v>
      </c>
      <c r="L7" s="425">
        <v>12</v>
      </c>
      <c r="M7" s="151"/>
      <c r="N7" s="151"/>
      <c r="O7" s="210"/>
      <c r="P7" s="151"/>
      <c r="Q7" s="296"/>
      <c r="R7" s="276"/>
      <c r="S7" s="151"/>
      <c r="T7" s="289"/>
      <c r="U7" s="151"/>
      <c r="V7" s="151"/>
    </row>
    <row r="8" spans="1:22" s="159" customFormat="1" ht="18.75">
      <c r="A8" s="153" t="s">
        <v>9</v>
      </c>
      <c r="B8" s="154" t="s">
        <v>10</v>
      </c>
      <c r="C8" s="211">
        <f>C10+C11</f>
        <v>350243.71968686813</v>
      </c>
      <c r="D8" s="251">
        <f>D10+D11</f>
        <v>111.00399999999999</v>
      </c>
      <c r="E8" s="212">
        <v>288.3</v>
      </c>
      <c r="F8" s="212">
        <f>F10+F11</f>
        <v>299969.42954313185</v>
      </c>
      <c r="G8" s="259">
        <f>G10+G11</f>
        <v>94.360998000000038</v>
      </c>
      <c r="H8" s="212">
        <v>289.96699999999998</v>
      </c>
      <c r="I8" s="211">
        <f>I10+I11</f>
        <v>650213.1492300001</v>
      </c>
      <c r="J8" s="251">
        <f>J10+J11</f>
        <v>102.68249900000002</v>
      </c>
      <c r="K8" s="212">
        <v>289.13299999999998</v>
      </c>
      <c r="L8" s="155"/>
      <c r="M8" s="158">
        <f>(D8+G8)/2</f>
        <v>102.68249900000001</v>
      </c>
      <c r="N8" s="267">
        <f>J8-M8</f>
        <v>0</v>
      </c>
      <c r="O8" s="268">
        <f>C8+F8</f>
        <v>650213.14922999998</v>
      </c>
      <c r="P8" s="264">
        <f>O8-I8</f>
        <v>0</v>
      </c>
      <c r="Q8" s="301"/>
      <c r="R8" s="277"/>
      <c r="S8" s="272"/>
      <c r="T8" s="290"/>
      <c r="U8" s="158"/>
      <c r="V8" s="158"/>
    </row>
    <row r="9" spans="1:22" s="5" customFormat="1" ht="18.75">
      <c r="A9" s="160"/>
      <c r="B9" s="161" t="s">
        <v>11</v>
      </c>
      <c r="C9" s="214"/>
      <c r="D9" s="253"/>
      <c r="E9" s="215"/>
      <c r="F9" s="215"/>
      <c r="G9" s="260"/>
      <c r="H9" s="215"/>
      <c r="I9" s="214"/>
      <c r="J9" s="253"/>
      <c r="K9" s="215"/>
      <c r="L9" s="162"/>
      <c r="M9" s="158">
        <f t="shared" ref="M9:M72" si="0">(D9+G9)/2</f>
        <v>0</v>
      </c>
      <c r="N9" s="267">
        <f t="shared" ref="N9:N72" si="1">J9-M9</f>
        <v>0</v>
      </c>
      <c r="O9" s="268">
        <f t="shared" ref="O9:O72" si="2">C9+F9</f>
        <v>0</v>
      </c>
      <c r="P9" s="264">
        <f t="shared" ref="P9:P72" si="3">O9-I9</f>
        <v>0</v>
      </c>
      <c r="Q9" s="294"/>
      <c r="R9" s="277"/>
      <c r="S9" s="305">
        <v>497512641</v>
      </c>
      <c r="T9" s="290"/>
      <c r="U9" s="7"/>
      <c r="V9" s="7"/>
    </row>
    <row r="10" spans="1:22" s="5" customFormat="1" ht="18.75">
      <c r="A10" s="160" t="s">
        <v>12</v>
      </c>
      <c r="B10" s="161" t="s">
        <v>13</v>
      </c>
      <c r="C10" s="214"/>
      <c r="D10" s="253"/>
      <c r="E10" s="215"/>
      <c r="F10" s="215"/>
      <c r="G10" s="260"/>
      <c r="H10" s="215"/>
      <c r="I10" s="214"/>
      <c r="J10" s="253"/>
      <c r="K10" s="215"/>
      <c r="L10" s="162"/>
      <c r="M10" s="158">
        <f t="shared" si="0"/>
        <v>0</v>
      </c>
      <c r="N10" s="267">
        <f t="shared" si="1"/>
        <v>0</v>
      </c>
      <c r="O10" s="268">
        <f t="shared" si="2"/>
        <v>0</v>
      </c>
      <c r="P10" s="264">
        <f t="shared" si="3"/>
        <v>0</v>
      </c>
      <c r="Q10" s="294"/>
      <c r="R10" s="277"/>
      <c r="S10" s="272">
        <v>67516.837</v>
      </c>
      <c r="T10" s="290"/>
      <c r="U10" s="7"/>
      <c r="V10" s="7"/>
    </row>
    <row r="11" spans="1:22" s="5" customFormat="1" ht="18.75">
      <c r="A11" s="160" t="s">
        <v>14</v>
      </c>
      <c r="B11" s="161" t="s">
        <v>15</v>
      </c>
      <c r="C11" s="214">
        <f>C13+C14+C15+C16+C18+C17</f>
        <v>350243.71968686813</v>
      </c>
      <c r="D11" s="253">
        <f>D13+D14+D15+D16+D18+D17</f>
        <v>111.00399999999999</v>
      </c>
      <c r="E11" s="215"/>
      <c r="F11" s="215">
        <f>F13+F14+F15+F16+F18+F17</f>
        <v>299969.42954313185</v>
      </c>
      <c r="G11" s="260">
        <f>G13+G14+G15+G16+G18+G17</f>
        <v>94.360998000000038</v>
      </c>
      <c r="H11" s="215"/>
      <c r="I11" s="214">
        <f>I13+I14+I15+I16+I18+I17</f>
        <v>650213.1492300001</v>
      </c>
      <c r="J11" s="253">
        <f>J13+J14+J15+J16+J18+J17</f>
        <v>102.68249900000002</v>
      </c>
      <c r="K11" s="215"/>
      <c r="L11" s="162"/>
      <c r="M11" s="158">
        <f t="shared" si="0"/>
        <v>102.68249900000001</v>
      </c>
      <c r="N11" s="267">
        <f t="shared" si="1"/>
        <v>0</v>
      </c>
      <c r="O11" s="268">
        <f t="shared" si="2"/>
        <v>650213.14922999998</v>
      </c>
      <c r="P11" s="264">
        <f t="shared" si="3"/>
        <v>0</v>
      </c>
      <c r="Q11" s="294"/>
      <c r="R11" s="277"/>
      <c r="S11" s="305">
        <f>S9+S10</f>
        <v>497580157.83700001</v>
      </c>
      <c r="T11" s="290"/>
      <c r="U11" s="7"/>
      <c r="V11" s="7"/>
    </row>
    <row r="12" spans="1:22" s="5" customFormat="1" ht="18.75">
      <c r="A12" s="160"/>
      <c r="B12" s="161" t="s">
        <v>11</v>
      </c>
      <c r="C12" s="214"/>
      <c r="D12" s="253"/>
      <c r="E12" s="215"/>
      <c r="F12" s="215"/>
      <c r="G12" s="260"/>
      <c r="H12" s="215"/>
      <c r="I12" s="214"/>
      <c r="J12" s="253"/>
      <c r="K12" s="215"/>
      <c r="L12" s="162"/>
      <c r="M12" s="158">
        <f t="shared" si="0"/>
        <v>0</v>
      </c>
      <c r="N12" s="267">
        <f t="shared" si="1"/>
        <v>0</v>
      </c>
      <c r="O12" s="268">
        <f t="shared" si="2"/>
        <v>0</v>
      </c>
      <c r="P12" s="264">
        <f t="shared" si="3"/>
        <v>0</v>
      </c>
      <c r="Q12" s="294"/>
      <c r="R12" s="277"/>
      <c r="S12" s="272"/>
      <c r="T12" s="290"/>
      <c r="U12" s="7"/>
      <c r="V12" s="7"/>
    </row>
    <row r="13" spans="1:22" s="5" customFormat="1" ht="18.75">
      <c r="A13" s="160" t="s">
        <v>16</v>
      </c>
      <c r="B13" s="161" t="s">
        <v>243</v>
      </c>
      <c r="C13" s="211">
        <f>C108</f>
        <v>22276.345000000001</v>
      </c>
      <c r="D13" s="251">
        <f>D108</f>
        <v>7.8310000000000004</v>
      </c>
      <c r="E13" s="212"/>
      <c r="F13" s="212">
        <f>F108</f>
        <v>16937.786</v>
      </c>
      <c r="G13" s="259">
        <f>G108</f>
        <v>6.528999999999999</v>
      </c>
      <c r="H13" s="212"/>
      <c r="I13" s="211">
        <f>I108</f>
        <v>39214.131000000001</v>
      </c>
      <c r="J13" s="251">
        <f>J108</f>
        <v>7.18</v>
      </c>
      <c r="K13" s="215"/>
      <c r="L13" s="162"/>
      <c r="M13" s="158">
        <f t="shared" si="0"/>
        <v>7.18</v>
      </c>
      <c r="N13" s="267">
        <f t="shared" si="1"/>
        <v>0</v>
      </c>
      <c r="O13" s="268">
        <f t="shared" si="2"/>
        <v>39214.131000000001</v>
      </c>
      <c r="P13" s="264">
        <f t="shared" si="3"/>
        <v>0</v>
      </c>
      <c r="Q13" s="294"/>
      <c r="R13" s="277"/>
      <c r="S13" s="272"/>
      <c r="T13" s="290"/>
      <c r="U13" s="7"/>
      <c r="V13" s="7"/>
    </row>
    <row r="14" spans="1:22" s="5" customFormat="1" ht="18.75">
      <c r="A14" s="160" t="s">
        <v>18</v>
      </c>
      <c r="B14" s="161" t="s">
        <v>335</v>
      </c>
      <c r="C14" s="214">
        <f>C109+C136</f>
        <v>307157.37468686816</v>
      </c>
      <c r="D14" s="253">
        <f>D109+D136</f>
        <v>96.191566894564744</v>
      </c>
      <c r="E14" s="215"/>
      <c r="F14" s="215">
        <f>F109+F136</f>
        <v>261144.34354313184</v>
      </c>
      <c r="G14" s="260">
        <f>G109+G136</f>
        <v>80.859913386622864</v>
      </c>
      <c r="H14" s="215"/>
      <c r="I14" s="214">
        <f>I109+I136</f>
        <v>568301.71823</v>
      </c>
      <c r="J14" s="253">
        <f>J109+J136</f>
        <v>88.525740140593811</v>
      </c>
      <c r="K14" s="215"/>
      <c r="L14" s="162"/>
      <c r="M14" s="158">
        <f t="shared" si="0"/>
        <v>88.525740140593797</v>
      </c>
      <c r="N14" s="267">
        <f t="shared" si="1"/>
        <v>0</v>
      </c>
      <c r="O14" s="268">
        <f t="shared" si="2"/>
        <v>568301.71823</v>
      </c>
      <c r="P14" s="264">
        <f t="shared" si="3"/>
        <v>0</v>
      </c>
      <c r="Q14" s="294"/>
      <c r="R14" s="277"/>
      <c r="S14" s="272">
        <v>604949.52300000004</v>
      </c>
      <c r="T14" s="290">
        <f>S14*101%</f>
        <v>610999.01823000005</v>
      </c>
      <c r="U14" s="7"/>
      <c r="V14" s="7"/>
    </row>
    <row r="15" spans="1:22" s="5" customFormat="1" ht="18.75">
      <c r="A15" s="160" t="s">
        <v>20</v>
      </c>
      <c r="B15" s="161" t="s">
        <v>19</v>
      </c>
      <c r="C15" s="214">
        <f>C110</f>
        <v>0</v>
      </c>
      <c r="D15" s="253">
        <f>D110</f>
        <v>0</v>
      </c>
      <c r="E15" s="214"/>
      <c r="F15" s="214">
        <f t="shared" ref="F15:F79" si="4">I15-C15</f>
        <v>0</v>
      </c>
      <c r="G15" s="253">
        <f>G110</f>
        <v>0</v>
      </c>
      <c r="H15" s="214"/>
      <c r="I15" s="214">
        <f>I110</f>
        <v>0</v>
      </c>
      <c r="J15" s="253"/>
      <c r="K15" s="214"/>
      <c r="L15" s="162"/>
      <c r="M15" s="158">
        <f t="shared" si="0"/>
        <v>0</v>
      </c>
      <c r="N15" s="267">
        <f t="shared" si="1"/>
        <v>0</v>
      </c>
      <c r="O15" s="268">
        <f t="shared" si="2"/>
        <v>0</v>
      </c>
      <c r="P15" s="264">
        <f t="shared" si="3"/>
        <v>0</v>
      </c>
      <c r="Q15" s="294"/>
      <c r="R15" s="277"/>
      <c r="S15" s="272">
        <f>I14+I16+I17+I18</f>
        <v>610999.01823000005</v>
      </c>
      <c r="T15" s="290">
        <f>T14+I13</f>
        <v>650213.1492300001</v>
      </c>
      <c r="U15" s="7"/>
      <c r="V15" s="7"/>
    </row>
    <row r="16" spans="1:22" s="5" customFormat="1" ht="18.75">
      <c r="A16" s="160" t="s">
        <v>21</v>
      </c>
      <c r="B16" s="161" t="s">
        <v>172</v>
      </c>
      <c r="C16" s="214">
        <f>C111+C137</f>
        <v>1400</v>
      </c>
      <c r="D16" s="253">
        <f>D111+D137</f>
        <v>0.44358036265520323</v>
      </c>
      <c r="E16" s="214"/>
      <c r="F16" s="214">
        <f>F111+F137</f>
        <v>1390</v>
      </c>
      <c r="G16" s="253">
        <f>G111+G137</f>
        <v>0.44055824453097253</v>
      </c>
      <c r="H16" s="214"/>
      <c r="I16" s="214">
        <f>I111+I137</f>
        <v>2790</v>
      </c>
      <c r="J16" s="253">
        <f>J111+J137</f>
        <v>0.44206930359308788</v>
      </c>
      <c r="K16" s="214"/>
      <c r="L16" s="162"/>
      <c r="M16" s="158">
        <f t="shared" si="0"/>
        <v>0.44206930359308788</v>
      </c>
      <c r="N16" s="267">
        <f t="shared" si="1"/>
        <v>0</v>
      </c>
      <c r="O16" s="268">
        <f t="shared" si="2"/>
        <v>2790</v>
      </c>
      <c r="P16" s="264">
        <f t="shared" si="3"/>
        <v>0</v>
      </c>
      <c r="Q16" s="294"/>
      <c r="R16" s="277"/>
      <c r="S16" s="284">
        <f>S15/S14</f>
        <v>1.01</v>
      </c>
      <c r="T16" s="290"/>
      <c r="U16" s="7"/>
      <c r="V16" s="7"/>
    </row>
    <row r="17" spans="1:23" s="5" customFormat="1" ht="18.75">
      <c r="A17" s="160" t="s">
        <v>22</v>
      </c>
      <c r="B17" s="161" t="s">
        <v>247</v>
      </c>
      <c r="C17" s="214">
        <f>C138</f>
        <v>110</v>
      </c>
      <c r="D17" s="253">
        <f>D138</f>
        <v>3.4852742780051682E-2</v>
      </c>
      <c r="E17" s="214"/>
      <c r="F17" s="214">
        <f>F138</f>
        <v>90</v>
      </c>
      <c r="G17" s="253">
        <f>G138</f>
        <v>2.8526368846197483E-2</v>
      </c>
      <c r="H17" s="214"/>
      <c r="I17" s="214">
        <f>I138</f>
        <v>200</v>
      </c>
      <c r="J17" s="253">
        <f>J138</f>
        <v>3.1689555813124583E-2</v>
      </c>
      <c r="K17" s="214"/>
      <c r="L17" s="162"/>
      <c r="M17" s="158">
        <f t="shared" si="0"/>
        <v>3.1689555813124583E-2</v>
      </c>
      <c r="N17" s="267">
        <f t="shared" si="1"/>
        <v>0</v>
      </c>
      <c r="O17" s="268">
        <f t="shared" si="2"/>
        <v>200</v>
      </c>
      <c r="P17" s="264">
        <f t="shared" si="3"/>
        <v>0</v>
      </c>
      <c r="Q17" s="294"/>
      <c r="R17" s="277"/>
      <c r="S17" s="272"/>
      <c r="T17" s="290"/>
      <c r="U17" s="7"/>
      <c r="V17" s="7"/>
    </row>
    <row r="18" spans="1:23" s="5" customFormat="1" ht="21.75" customHeight="1">
      <c r="A18" s="160" t="s">
        <v>242</v>
      </c>
      <c r="B18" s="161" t="s">
        <v>342</v>
      </c>
      <c r="C18" s="214">
        <f>C113</f>
        <v>19300</v>
      </c>
      <c r="D18" s="253">
        <f>D113</f>
        <v>6.5030000000000001</v>
      </c>
      <c r="E18" s="214"/>
      <c r="F18" s="214">
        <f>F113</f>
        <v>20407.300000000003</v>
      </c>
      <c r="G18" s="253">
        <f>G113</f>
        <v>6.5030000000000001</v>
      </c>
      <c r="H18" s="214"/>
      <c r="I18" s="214">
        <f>I113</f>
        <v>39707.300000000003</v>
      </c>
      <c r="J18" s="253">
        <f>J113</f>
        <v>6.5030000000000001</v>
      </c>
      <c r="K18" s="214"/>
      <c r="L18" s="162"/>
      <c r="M18" s="158">
        <f t="shared" si="0"/>
        <v>6.5030000000000001</v>
      </c>
      <c r="N18" s="267">
        <f t="shared" si="1"/>
        <v>0</v>
      </c>
      <c r="O18" s="268">
        <f t="shared" si="2"/>
        <v>39707.300000000003</v>
      </c>
      <c r="P18" s="264">
        <f t="shared" si="3"/>
        <v>0</v>
      </c>
      <c r="Q18" s="294"/>
      <c r="R18" s="277"/>
      <c r="S18" s="272">
        <v>5796.1492299999809</v>
      </c>
      <c r="T18" s="284"/>
      <c r="U18" s="263"/>
      <c r="V18" s="7"/>
    </row>
    <row r="19" spans="1:23" s="159" customFormat="1" ht="18.75">
      <c r="A19" s="153" t="s">
        <v>24</v>
      </c>
      <c r="B19" s="154" t="s">
        <v>25</v>
      </c>
      <c r="C19" s="428">
        <f>C114+C140</f>
        <v>58802.61</v>
      </c>
      <c r="D19" s="251">
        <f>D114+D140</f>
        <v>18.443532845905839</v>
      </c>
      <c r="E19" s="217"/>
      <c r="F19" s="429">
        <f>F114+F140</f>
        <v>47222.649999999994</v>
      </c>
      <c r="G19" s="252">
        <f>G114+G140</f>
        <v>14.946611290374257</v>
      </c>
      <c r="H19" s="261"/>
      <c r="I19" s="428">
        <f>I114+I140</f>
        <v>106025.26000000001</v>
      </c>
      <c r="J19" s="251">
        <f>J114+J140</f>
        <v>16.69507206814005</v>
      </c>
      <c r="K19" s="217"/>
      <c r="L19" s="155"/>
      <c r="M19" s="158">
        <f t="shared" si="0"/>
        <v>16.69507206814005</v>
      </c>
      <c r="N19" s="267">
        <f t="shared" si="1"/>
        <v>0</v>
      </c>
      <c r="O19" s="268">
        <f t="shared" si="2"/>
        <v>106025.26</v>
      </c>
      <c r="P19" s="264">
        <f t="shared" si="3"/>
        <v>0</v>
      </c>
      <c r="Q19" s="375"/>
      <c r="R19" s="284"/>
      <c r="S19" s="304">
        <f>I14+S18</f>
        <v>574097.86745999998</v>
      </c>
      <c r="T19" s="290"/>
      <c r="U19" s="158"/>
      <c r="V19" s="158"/>
    </row>
    <row r="20" spans="1:23" s="159" customFormat="1" ht="37.5">
      <c r="A20" s="167" t="s">
        <v>26</v>
      </c>
      <c r="B20" s="154" t="s">
        <v>27</v>
      </c>
      <c r="C20" s="211">
        <f>C22+C23</f>
        <v>291441.10968686815</v>
      </c>
      <c r="D20" s="251">
        <f>D22+D23</f>
        <v>92.560467154094155</v>
      </c>
      <c r="E20" s="218"/>
      <c r="F20" s="211">
        <f>F22+F23</f>
        <v>252746.77924313184</v>
      </c>
      <c r="G20" s="252">
        <f>G22+G23</f>
        <v>79.414386709625788</v>
      </c>
      <c r="H20" s="218"/>
      <c r="I20" s="211">
        <f>I22+I23</f>
        <v>544187.8889299999</v>
      </c>
      <c r="J20" s="251">
        <f>J22+J23</f>
        <v>85.987426931859972</v>
      </c>
      <c r="K20" s="218"/>
      <c r="L20" s="155"/>
      <c r="M20" s="158">
        <f t="shared" si="0"/>
        <v>85.987426931859972</v>
      </c>
      <c r="N20" s="267">
        <f t="shared" si="1"/>
        <v>0</v>
      </c>
      <c r="O20" s="268">
        <f t="shared" si="2"/>
        <v>544187.88893000002</v>
      </c>
      <c r="P20" s="264">
        <f t="shared" si="3"/>
        <v>0</v>
      </c>
      <c r="Q20" s="297"/>
      <c r="R20" s="277"/>
      <c r="S20" s="430">
        <f>C14/I14</f>
        <v>0.54048292453438807</v>
      </c>
      <c r="T20" s="290"/>
      <c r="U20" s="158"/>
      <c r="V20" s="158"/>
    </row>
    <row r="21" spans="1:23" s="5" customFormat="1" ht="18.75">
      <c r="A21" s="160"/>
      <c r="B21" s="161" t="s">
        <v>28</v>
      </c>
      <c r="C21" s="211"/>
      <c r="D21" s="251"/>
      <c r="E21" s="219"/>
      <c r="F21" s="214">
        <f t="shared" si="4"/>
        <v>0</v>
      </c>
      <c r="G21" s="253"/>
      <c r="H21" s="219"/>
      <c r="I21" s="211"/>
      <c r="J21" s="251"/>
      <c r="K21" s="219"/>
      <c r="L21" s="162"/>
      <c r="M21" s="158">
        <f t="shared" si="0"/>
        <v>0</v>
      </c>
      <c r="N21" s="267">
        <f t="shared" si="1"/>
        <v>0</v>
      </c>
      <c r="O21" s="268">
        <f t="shared" si="2"/>
        <v>0</v>
      </c>
      <c r="P21" s="264">
        <f t="shared" si="3"/>
        <v>0</v>
      </c>
      <c r="Q21" s="294"/>
      <c r="R21" s="265"/>
      <c r="S21" s="303">
        <f>S18*S20</f>
        <v>3132.7196868681312</v>
      </c>
      <c r="T21" s="290"/>
      <c r="U21" s="7"/>
      <c r="V21" s="7"/>
    </row>
    <row r="22" spans="1:23" s="5" customFormat="1" ht="18.75">
      <c r="A22" s="160" t="s">
        <v>29</v>
      </c>
      <c r="B22" s="161" t="s">
        <v>30</v>
      </c>
      <c r="C22" s="214">
        <f>C117+C143</f>
        <v>280551.10968686815</v>
      </c>
      <c r="D22" s="253">
        <f>D117+D143</f>
        <v>89.110045618869037</v>
      </c>
      <c r="E22" s="219"/>
      <c r="F22" s="214">
        <f>F117+F143</f>
        <v>244136.77924313184</v>
      </c>
      <c r="G22" s="253">
        <f>G117+G143</f>
        <v>76.685344861291611</v>
      </c>
      <c r="H22" s="219"/>
      <c r="I22" s="214">
        <f>I117+I143</f>
        <v>524687.8889299999</v>
      </c>
      <c r="J22" s="253">
        <f>J117+J143</f>
        <v>82.897695240080324</v>
      </c>
      <c r="K22" s="219"/>
      <c r="L22" s="162"/>
      <c r="M22" s="158">
        <f t="shared" si="0"/>
        <v>82.897695240080324</v>
      </c>
      <c r="N22" s="267">
        <f t="shared" si="1"/>
        <v>0</v>
      </c>
      <c r="O22" s="268">
        <f t="shared" si="2"/>
        <v>524687.88893000002</v>
      </c>
      <c r="P22" s="264">
        <f t="shared" si="3"/>
        <v>0</v>
      </c>
      <c r="Q22" s="294"/>
      <c r="R22" s="265"/>
      <c r="S22" s="272">
        <f>S18-S21</f>
        <v>2663.4295431318496</v>
      </c>
      <c r="T22" s="290"/>
      <c r="U22" s="423">
        <f>C130+C131-C140-C141</f>
        <v>0</v>
      </c>
      <c r="V22" s="7">
        <f>F8-F19-F23-F117-F143</f>
        <v>3.0000001424923539E-4</v>
      </c>
      <c r="W22" s="422">
        <f>I8-I19-I23-I117-I143</f>
        <v>3.0000013066455722E-4</v>
      </c>
    </row>
    <row r="23" spans="1:23" s="5" customFormat="1" ht="18.75">
      <c r="A23" s="160" t="s">
        <v>31</v>
      </c>
      <c r="B23" s="161" t="s">
        <v>32</v>
      </c>
      <c r="C23" s="214">
        <f>C29+C27</f>
        <v>10890</v>
      </c>
      <c r="D23" s="253">
        <f>D29+D27</f>
        <v>3.4504215352251162</v>
      </c>
      <c r="E23" s="220"/>
      <c r="F23" s="215">
        <f>F29+F27</f>
        <v>8610</v>
      </c>
      <c r="G23" s="260">
        <f>G29+G27</f>
        <v>2.7290418483341767</v>
      </c>
      <c r="H23" s="220"/>
      <c r="I23" s="214">
        <f>I29+I27</f>
        <v>19500</v>
      </c>
      <c r="J23" s="253">
        <f>J29+J27</f>
        <v>3.0897316917796465</v>
      </c>
      <c r="K23" s="220"/>
      <c r="L23" s="162"/>
      <c r="M23" s="158">
        <f t="shared" si="0"/>
        <v>3.0897316917796465</v>
      </c>
      <c r="N23" s="267">
        <f t="shared" si="1"/>
        <v>0</v>
      </c>
      <c r="O23" s="268">
        <f t="shared" si="2"/>
        <v>19500</v>
      </c>
      <c r="P23" s="264">
        <f t="shared" si="3"/>
        <v>0</v>
      </c>
      <c r="Q23" s="294"/>
      <c r="R23" s="265"/>
      <c r="S23" s="272"/>
      <c r="T23" s="290"/>
      <c r="U23" s="164"/>
      <c r="V23" s="7"/>
    </row>
    <row r="24" spans="1:23" s="5" customFormat="1" ht="18.75">
      <c r="A24" s="160"/>
      <c r="B24" s="161" t="s">
        <v>28</v>
      </c>
      <c r="C24" s="214"/>
      <c r="D24" s="253"/>
      <c r="E24" s="219"/>
      <c r="F24" s="214"/>
      <c r="G24" s="253"/>
      <c r="H24" s="219"/>
      <c r="I24" s="214"/>
      <c r="J24" s="253"/>
      <c r="K24" s="219"/>
      <c r="L24" s="162"/>
      <c r="M24" s="158">
        <f t="shared" si="0"/>
        <v>0</v>
      </c>
      <c r="N24" s="267">
        <f t="shared" si="1"/>
        <v>0</v>
      </c>
      <c r="O24" s="268">
        <f t="shared" si="2"/>
        <v>0</v>
      </c>
      <c r="P24" s="264">
        <f t="shared" si="3"/>
        <v>0</v>
      </c>
      <c r="Q24" s="294"/>
      <c r="R24" s="277"/>
      <c r="S24" s="272">
        <v>3132.7196868681312</v>
      </c>
      <c r="T24" s="290"/>
      <c r="U24" s="376"/>
      <c r="V24" s="7"/>
    </row>
    <row r="25" spans="1:23" s="5" customFormat="1" ht="18.75">
      <c r="A25" s="160" t="s">
        <v>33</v>
      </c>
      <c r="B25" s="161" t="s">
        <v>335</v>
      </c>
      <c r="C25" s="214"/>
      <c r="D25" s="253"/>
      <c r="E25" s="219"/>
      <c r="F25" s="214"/>
      <c r="G25" s="253"/>
      <c r="H25" s="219"/>
      <c r="I25" s="214"/>
      <c r="J25" s="253"/>
      <c r="K25" s="219"/>
      <c r="L25" s="162"/>
      <c r="M25" s="158">
        <f t="shared" si="0"/>
        <v>0</v>
      </c>
      <c r="N25" s="267">
        <f t="shared" si="1"/>
        <v>0</v>
      </c>
      <c r="O25" s="268">
        <f t="shared" si="2"/>
        <v>0</v>
      </c>
      <c r="P25" s="264">
        <f t="shared" si="3"/>
        <v>0</v>
      </c>
      <c r="Q25" s="294"/>
      <c r="R25" s="277"/>
      <c r="S25" s="272">
        <v>2663.4295431318496</v>
      </c>
      <c r="T25" s="290"/>
      <c r="U25" s="7"/>
      <c r="V25" s="7"/>
    </row>
    <row r="26" spans="1:23" s="5" customFormat="1" ht="18.75">
      <c r="A26" s="171" t="s">
        <v>34</v>
      </c>
      <c r="B26" s="172" t="s">
        <v>35</v>
      </c>
      <c r="C26" s="214">
        <f>C25-C14</f>
        <v>-307157.37468686816</v>
      </c>
      <c r="D26" s="253">
        <f>D25-D14</f>
        <v>-96.191566894564744</v>
      </c>
      <c r="E26" s="219"/>
      <c r="F26" s="214">
        <f>F25-F14</f>
        <v>-261144.34354313184</v>
      </c>
      <c r="G26" s="253">
        <f>G25-G14</f>
        <v>-80.859913386622864</v>
      </c>
      <c r="H26" s="219"/>
      <c r="I26" s="214">
        <f>I25-I14</f>
        <v>-568301.71823</v>
      </c>
      <c r="J26" s="253">
        <f>J25-J14</f>
        <v>-88.525740140593811</v>
      </c>
      <c r="K26" s="219"/>
      <c r="L26" s="162"/>
      <c r="M26" s="158">
        <f t="shared" si="0"/>
        <v>-88.525740140593797</v>
      </c>
      <c r="N26" s="267">
        <f t="shared" si="1"/>
        <v>0</v>
      </c>
      <c r="O26" s="268">
        <f t="shared" si="2"/>
        <v>-568301.71823</v>
      </c>
      <c r="P26" s="264">
        <f t="shared" si="3"/>
        <v>0</v>
      </c>
      <c r="Q26" s="294"/>
      <c r="R26" s="277"/>
      <c r="S26" s="272"/>
      <c r="T26" s="290"/>
      <c r="U26" s="7"/>
      <c r="V26" s="7"/>
    </row>
    <row r="27" spans="1:23" s="5" customFormat="1" ht="18.75">
      <c r="A27" s="160" t="s">
        <v>36</v>
      </c>
      <c r="B27" s="161" t="s">
        <v>37</v>
      </c>
      <c r="C27" s="214"/>
      <c r="D27" s="253"/>
      <c r="E27" s="219"/>
      <c r="F27" s="214"/>
      <c r="G27" s="253"/>
      <c r="H27" s="219"/>
      <c r="I27" s="214"/>
      <c r="J27" s="253"/>
      <c r="K27" s="219"/>
      <c r="L27" s="162"/>
      <c r="M27" s="158">
        <f t="shared" si="0"/>
        <v>0</v>
      </c>
      <c r="N27" s="267">
        <f t="shared" si="1"/>
        <v>0</v>
      </c>
      <c r="O27" s="268">
        <f t="shared" si="2"/>
        <v>0</v>
      </c>
      <c r="P27" s="264">
        <f t="shared" si="3"/>
        <v>0</v>
      </c>
      <c r="Q27" s="294"/>
      <c r="R27" s="277"/>
      <c r="S27" s="272"/>
      <c r="T27" s="290"/>
      <c r="U27" s="7"/>
      <c r="V27" s="7"/>
    </row>
    <row r="28" spans="1:23" s="5" customFormat="1" ht="18.75">
      <c r="A28" s="171" t="s">
        <v>38</v>
      </c>
      <c r="B28" s="172" t="s">
        <v>39</v>
      </c>
      <c r="C28" s="214">
        <f>C27-C15</f>
        <v>0</v>
      </c>
      <c r="D28" s="253">
        <f>D27-D15</f>
        <v>0</v>
      </c>
      <c r="E28" s="219"/>
      <c r="F28" s="214">
        <f t="shared" si="4"/>
        <v>0</v>
      </c>
      <c r="G28" s="253">
        <f>G27-G15</f>
        <v>0</v>
      </c>
      <c r="H28" s="219"/>
      <c r="I28" s="214">
        <f>I27-I15</f>
        <v>0</v>
      </c>
      <c r="J28" s="253">
        <f>J27-J15</f>
        <v>0</v>
      </c>
      <c r="K28" s="219"/>
      <c r="L28" s="162"/>
      <c r="M28" s="158">
        <f t="shared" si="0"/>
        <v>0</v>
      </c>
      <c r="N28" s="267">
        <f t="shared" si="1"/>
        <v>0</v>
      </c>
      <c r="O28" s="268">
        <f t="shared" si="2"/>
        <v>0</v>
      </c>
      <c r="P28" s="264">
        <f t="shared" si="3"/>
        <v>0</v>
      </c>
      <c r="Q28" s="294"/>
      <c r="R28" s="277"/>
      <c r="S28" s="272"/>
      <c r="T28" s="290"/>
      <c r="U28" s="7"/>
      <c r="V28" s="7"/>
    </row>
    <row r="29" spans="1:23" s="5" customFormat="1" ht="18.75">
      <c r="A29" s="160" t="s">
        <v>40</v>
      </c>
      <c r="B29" s="161" t="s">
        <v>172</v>
      </c>
      <c r="C29" s="214">
        <f>C118+C144</f>
        <v>10890</v>
      </c>
      <c r="D29" s="253">
        <f>D118+D144</f>
        <v>3.4504215352251162</v>
      </c>
      <c r="E29" s="219"/>
      <c r="F29" s="214">
        <f>F118+F144</f>
        <v>8610</v>
      </c>
      <c r="G29" s="253">
        <f>G118+G144</f>
        <v>2.7290418483341767</v>
      </c>
      <c r="H29" s="219"/>
      <c r="I29" s="214">
        <f>I118+I144</f>
        <v>19500</v>
      </c>
      <c r="J29" s="253">
        <f>J118+J144</f>
        <v>3.0897316917796465</v>
      </c>
      <c r="K29" s="219"/>
      <c r="L29" s="162"/>
      <c r="M29" s="158">
        <f t="shared" si="0"/>
        <v>3.0897316917796465</v>
      </c>
      <c r="N29" s="267">
        <f t="shared" si="1"/>
        <v>0</v>
      </c>
      <c r="O29" s="268">
        <f t="shared" si="2"/>
        <v>19500</v>
      </c>
      <c r="P29" s="264">
        <f t="shared" si="3"/>
        <v>0</v>
      </c>
      <c r="Q29" s="294"/>
      <c r="R29" s="277"/>
      <c r="S29" s="272"/>
      <c r="T29" s="290"/>
      <c r="U29" s="7"/>
      <c r="V29" s="7"/>
    </row>
    <row r="30" spans="1:23" s="5" customFormat="1" ht="18.75">
      <c r="A30" s="171" t="s">
        <v>41</v>
      </c>
      <c r="B30" s="172" t="s">
        <v>42</v>
      </c>
      <c r="C30" s="214">
        <f>C29-C16</f>
        <v>9490</v>
      </c>
      <c r="D30" s="253">
        <f>D29-D16</f>
        <v>3.0068411725699131</v>
      </c>
      <c r="E30" s="219"/>
      <c r="F30" s="214">
        <f>F29-F16</f>
        <v>7220</v>
      </c>
      <c r="G30" s="253">
        <f>G29-G16</f>
        <v>2.2884836038032041</v>
      </c>
      <c r="H30" s="219"/>
      <c r="I30" s="214">
        <f>I29-I16</f>
        <v>16710</v>
      </c>
      <c r="J30" s="253">
        <f>J29-J16</f>
        <v>2.6476623881865584</v>
      </c>
      <c r="K30" s="219"/>
      <c r="L30" s="162"/>
      <c r="M30" s="158">
        <f t="shared" si="0"/>
        <v>2.6476623881865589</v>
      </c>
      <c r="N30" s="267">
        <f t="shared" si="1"/>
        <v>0</v>
      </c>
      <c r="O30" s="268">
        <f t="shared" si="2"/>
        <v>16710</v>
      </c>
      <c r="P30" s="264">
        <f t="shared" si="3"/>
        <v>0</v>
      </c>
      <c r="Q30" s="294"/>
      <c r="R30" s="277"/>
      <c r="S30" s="272"/>
      <c r="T30" s="290"/>
      <c r="U30" s="7"/>
      <c r="V30" s="7"/>
    </row>
    <row r="31" spans="1:23" s="5" customFormat="1" ht="37.5">
      <c r="A31" s="171" t="s">
        <v>43</v>
      </c>
      <c r="B31" s="161" t="s">
        <v>342</v>
      </c>
      <c r="C31" s="214"/>
      <c r="D31" s="253"/>
      <c r="E31" s="219"/>
      <c r="F31" s="214">
        <f t="shared" si="4"/>
        <v>0</v>
      </c>
      <c r="G31" s="253"/>
      <c r="H31" s="219"/>
      <c r="I31" s="214"/>
      <c r="J31" s="253"/>
      <c r="K31" s="219"/>
      <c r="L31" s="162"/>
      <c r="M31" s="158">
        <f t="shared" si="0"/>
        <v>0</v>
      </c>
      <c r="N31" s="267">
        <f t="shared" si="1"/>
        <v>0</v>
      </c>
      <c r="O31" s="268">
        <f t="shared" si="2"/>
        <v>0</v>
      </c>
      <c r="P31" s="264">
        <f t="shared" si="3"/>
        <v>0</v>
      </c>
      <c r="Q31" s="294"/>
      <c r="R31" s="277"/>
      <c r="S31" s="272"/>
      <c r="T31" s="290"/>
      <c r="U31" s="7"/>
      <c r="V31" s="7"/>
    </row>
    <row r="32" spans="1:23" s="5" customFormat="1" ht="18.75">
      <c r="A32" s="171" t="s">
        <v>44</v>
      </c>
      <c r="B32" s="172" t="s">
        <v>235</v>
      </c>
      <c r="C32" s="214">
        <f>C31-C18</f>
        <v>-19300</v>
      </c>
      <c r="D32" s="253">
        <f>D31-D18</f>
        <v>-6.5030000000000001</v>
      </c>
      <c r="E32" s="219"/>
      <c r="F32" s="214">
        <f t="shared" si="4"/>
        <v>-20407.300000000003</v>
      </c>
      <c r="G32" s="253">
        <f>G31-G18</f>
        <v>-6.5030000000000001</v>
      </c>
      <c r="H32" s="219"/>
      <c r="I32" s="214">
        <f>I31-I18</f>
        <v>-39707.300000000003</v>
      </c>
      <c r="J32" s="253">
        <f>J31-J18</f>
        <v>-6.5030000000000001</v>
      </c>
      <c r="K32" s="219"/>
      <c r="L32" s="162"/>
      <c r="M32" s="158">
        <f t="shared" si="0"/>
        <v>-6.5030000000000001</v>
      </c>
      <c r="N32" s="267">
        <f t="shared" si="1"/>
        <v>0</v>
      </c>
      <c r="O32" s="268">
        <f t="shared" si="2"/>
        <v>-39707.300000000003</v>
      </c>
      <c r="P32" s="264">
        <f t="shared" si="3"/>
        <v>0</v>
      </c>
      <c r="Q32" s="294"/>
      <c r="R32" s="277"/>
      <c r="S32" s="272"/>
      <c r="T32" s="290"/>
      <c r="U32" s="7"/>
      <c r="V32" s="7"/>
    </row>
    <row r="33" spans="1:22" s="5" customFormat="1" ht="18.75">
      <c r="A33" s="171"/>
      <c r="B33" s="172" t="s">
        <v>45</v>
      </c>
      <c r="C33" s="214"/>
      <c r="D33" s="253"/>
      <c r="E33" s="219"/>
      <c r="F33" s="214"/>
      <c r="G33" s="253"/>
      <c r="H33" s="219"/>
      <c r="I33" s="214"/>
      <c r="J33" s="253"/>
      <c r="K33" s="219"/>
      <c r="L33" s="162"/>
      <c r="M33" s="158">
        <f t="shared" si="0"/>
        <v>0</v>
      </c>
      <c r="N33" s="267">
        <f t="shared" si="1"/>
        <v>0</v>
      </c>
      <c r="O33" s="268">
        <f t="shared" si="2"/>
        <v>0</v>
      </c>
      <c r="P33" s="264">
        <f t="shared" si="3"/>
        <v>0</v>
      </c>
      <c r="Q33" s="294"/>
      <c r="R33" s="277"/>
      <c r="S33" s="272"/>
      <c r="T33" s="290"/>
      <c r="U33" s="7"/>
      <c r="V33" s="7"/>
    </row>
    <row r="34" spans="1:22" s="159" customFormat="1" ht="18.75" hidden="1" customHeight="1">
      <c r="A34" s="153" t="s">
        <v>46</v>
      </c>
      <c r="B34" s="154" t="s">
        <v>47</v>
      </c>
      <c r="C34" s="214"/>
      <c r="D34" s="253"/>
      <c r="E34" s="218"/>
      <c r="F34" s="211">
        <f t="shared" si="4"/>
        <v>0</v>
      </c>
      <c r="G34" s="251"/>
      <c r="H34" s="218"/>
      <c r="I34" s="214"/>
      <c r="J34" s="253"/>
      <c r="K34" s="218"/>
      <c r="L34" s="155"/>
      <c r="M34" s="158">
        <f t="shared" si="0"/>
        <v>0</v>
      </c>
      <c r="N34" s="267">
        <f t="shared" si="1"/>
        <v>0</v>
      </c>
      <c r="O34" s="268">
        <f t="shared" si="2"/>
        <v>0</v>
      </c>
      <c r="P34" s="264">
        <f t="shared" si="3"/>
        <v>0</v>
      </c>
      <c r="Q34" s="297"/>
      <c r="R34" s="277"/>
      <c r="S34" s="272"/>
      <c r="T34" s="290"/>
      <c r="U34" s="158"/>
      <c r="V34" s="158"/>
    </row>
    <row r="35" spans="1:22" s="5" customFormat="1" ht="18.75" hidden="1" customHeight="1">
      <c r="A35" s="160"/>
      <c r="B35" s="161" t="s">
        <v>11</v>
      </c>
      <c r="C35" s="214"/>
      <c r="D35" s="253"/>
      <c r="E35" s="219"/>
      <c r="F35" s="214">
        <f t="shared" si="4"/>
        <v>0</v>
      </c>
      <c r="G35" s="253"/>
      <c r="H35" s="219"/>
      <c r="I35" s="214"/>
      <c r="J35" s="253"/>
      <c r="K35" s="219"/>
      <c r="L35" s="162"/>
      <c r="M35" s="158">
        <f t="shared" si="0"/>
        <v>0</v>
      </c>
      <c r="N35" s="267">
        <f t="shared" si="1"/>
        <v>0</v>
      </c>
      <c r="O35" s="268">
        <f t="shared" si="2"/>
        <v>0</v>
      </c>
      <c r="P35" s="264">
        <f t="shared" si="3"/>
        <v>0</v>
      </c>
      <c r="Q35" s="294"/>
      <c r="R35" s="277"/>
      <c r="S35" s="272"/>
      <c r="T35" s="290"/>
      <c r="U35" s="7"/>
      <c r="V35" s="7"/>
    </row>
    <row r="36" spans="1:22" s="5" customFormat="1" ht="18.75" hidden="1" customHeight="1">
      <c r="A36" s="160" t="s">
        <v>48</v>
      </c>
      <c r="B36" s="161" t="s">
        <v>49</v>
      </c>
      <c r="C36" s="214"/>
      <c r="D36" s="253"/>
      <c r="E36" s="219"/>
      <c r="F36" s="214">
        <f t="shared" si="4"/>
        <v>0</v>
      </c>
      <c r="G36" s="253"/>
      <c r="H36" s="219"/>
      <c r="I36" s="214"/>
      <c r="J36" s="253"/>
      <c r="K36" s="219"/>
      <c r="L36" s="162"/>
      <c r="M36" s="158">
        <f t="shared" si="0"/>
        <v>0</v>
      </c>
      <c r="N36" s="267">
        <f t="shared" si="1"/>
        <v>0</v>
      </c>
      <c r="O36" s="268">
        <f t="shared" si="2"/>
        <v>0</v>
      </c>
      <c r="P36" s="264">
        <f t="shared" si="3"/>
        <v>0</v>
      </c>
      <c r="Q36" s="294"/>
      <c r="R36" s="277"/>
      <c r="S36" s="272"/>
      <c r="T36" s="290"/>
      <c r="U36" s="7"/>
      <c r="V36" s="7"/>
    </row>
    <row r="37" spans="1:22" s="5" customFormat="1" ht="18.75" hidden="1" customHeight="1">
      <c r="A37" s="160" t="s">
        <v>50</v>
      </c>
      <c r="B37" s="161" t="s">
        <v>15</v>
      </c>
      <c r="C37" s="214"/>
      <c r="D37" s="253"/>
      <c r="E37" s="219"/>
      <c r="F37" s="214">
        <f t="shared" si="4"/>
        <v>0</v>
      </c>
      <c r="G37" s="253"/>
      <c r="H37" s="219"/>
      <c r="I37" s="214"/>
      <c r="J37" s="253"/>
      <c r="K37" s="219"/>
      <c r="L37" s="162"/>
      <c r="M37" s="158">
        <f t="shared" si="0"/>
        <v>0</v>
      </c>
      <c r="N37" s="267">
        <f t="shared" si="1"/>
        <v>0</v>
      </c>
      <c r="O37" s="268">
        <f t="shared" si="2"/>
        <v>0</v>
      </c>
      <c r="P37" s="264">
        <f t="shared" si="3"/>
        <v>0</v>
      </c>
      <c r="Q37" s="294"/>
      <c r="R37" s="277"/>
      <c r="S37" s="272"/>
      <c r="T37" s="290"/>
      <c r="U37" s="7"/>
      <c r="V37" s="7"/>
    </row>
    <row r="38" spans="1:22" s="5" customFormat="1" ht="18.75" hidden="1" customHeight="1">
      <c r="A38" s="160"/>
      <c r="B38" s="161" t="s">
        <v>11</v>
      </c>
      <c r="C38" s="214"/>
      <c r="D38" s="253"/>
      <c r="E38" s="219"/>
      <c r="F38" s="214">
        <f t="shared" si="4"/>
        <v>0</v>
      </c>
      <c r="G38" s="253"/>
      <c r="H38" s="219"/>
      <c r="I38" s="214"/>
      <c r="J38" s="253"/>
      <c r="K38" s="219"/>
      <c r="L38" s="162"/>
      <c r="M38" s="158">
        <f t="shared" si="0"/>
        <v>0</v>
      </c>
      <c r="N38" s="267">
        <f t="shared" si="1"/>
        <v>0</v>
      </c>
      <c r="O38" s="268">
        <f t="shared" si="2"/>
        <v>0</v>
      </c>
      <c r="P38" s="264">
        <f t="shared" si="3"/>
        <v>0</v>
      </c>
      <c r="Q38" s="294"/>
      <c r="R38" s="277"/>
      <c r="S38" s="272"/>
      <c r="T38" s="290"/>
      <c r="U38" s="7"/>
      <c r="V38" s="7"/>
    </row>
    <row r="39" spans="1:22" s="5" customFormat="1" ht="18.75" hidden="1" customHeight="1">
      <c r="A39" s="160" t="s">
        <v>51</v>
      </c>
      <c r="B39" s="161" t="s">
        <v>52</v>
      </c>
      <c r="C39" s="214"/>
      <c r="D39" s="253"/>
      <c r="E39" s="219"/>
      <c r="F39" s="214">
        <f t="shared" si="4"/>
        <v>0</v>
      </c>
      <c r="G39" s="253"/>
      <c r="H39" s="219"/>
      <c r="I39" s="214"/>
      <c r="J39" s="253"/>
      <c r="K39" s="219"/>
      <c r="L39" s="162"/>
      <c r="M39" s="158">
        <f t="shared" si="0"/>
        <v>0</v>
      </c>
      <c r="N39" s="267">
        <f t="shared" si="1"/>
        <v>0</v>
      </c>
      <c r="O39" s="268">
        <f t="shared" si="2"/>
        <v>0</v>
      </c>
      <c r="P39" s="264">
        <f t="shared" si="3"/>
        <v>0</v>
      </c>
      <c r="Q39" s="294"/>
      <c r="R39" s="277"/>
      <c r="S39" s="272"/>
      <c r="T39" s="290"/>
      <c r="U39" s="7"/>
      <c r="V39" s="7"/>
    </row>
    <row r="40" spans="1:22" s="5" customFormat="1" ht="18.75" hidden="1" customHeight="1">
      <c r="A40" s="160" t="s">
        <v>53</v>
      </c>
      <c r="B40" s="161" t="s">
        <v>54</v>
      </c>
      <c r="C40" s="214"/>
      <c r="D40" s="253"/>
      <c r="E40" s="219"/>
      <c r="F40" s="214">
        <f t="shared" si="4"/>
        <v>0</v>
      </c>
      <c r="G40" s="253"/>
      <c r="H40" s="219"/>
      <c r="I40" s="214"/>
      <c r="J40" s="253"/>
      <c r="K40" s="219"/>
      <c r="L40" s="162"/>
      <c r="M40" s="158">
        <f t="shared" si="0"/>
        <v>0</v>
      </c>
      <c r="N40" s="267">
        <f t="shared" si="1"/>
        <v>0</v>
      </c>
      <c r="O40" s="268">
        <f t="shared" si="2"/>
        <v>0</v>
      </c>
      <c r="P40" s="264">
        <f t="shared" si="3"/>
        <v>0</v>
      </c>
      <c r="Q40" s="294"/>
      <c r="R40" s="277"/>
      <c r="S40" s="272"/>
      <c r="T40" s="290"/>
      <c r="U40" s="7"/>
      <c r="V40" s="7"/>
    </row>
    <row r="41" spans="1:22" s="176" customFormat="1" ht="19.5" hidden="1" customHeight="1" thickBot="1">
      <c r="A41" s="160"/>
      <c r="B41" s="161" t="s">
        <v>45</v>
      </c>
      <c r="C41" s="214"/>
      <c r="D41" s="253"/>
      <c r="E41" s="219"/>
      <c r="F41" s="214">
        <f t="shared" si="4"/>
        <v>0</v>
      </c>
      <c r="G41" s="253"/>
      <c r="H41" s="219"/>
      <c r="I41" s="214"/>
      <c r="J41" s="253"/>
      <c r="K41" s="219"/>
      <c r="L41" s="162"/>
      <c r="M41" s="158">
        <f t="shared" si="0"/>
        <v>0</v>
      </c>
      <c r="N41" s="267">
        <f t="shared" si="1"/>
        <v>0</v>
      </c>
      <c r="O41" s="268">
        <f t="shared" si="2"/>
        <v>0</v>
      </c>
      <c r="P41" s="264">
        <f t="shared" si="3"/>
        <v>0</v>
      </c>
      <c r="Q41" s="294"/>
      <c r="R41" s="277"/>
      <c r="S41" s="272"/>
      <c r="T41" s="290"/>
      <c r="U41" s="7"/>
      <c r="V41" s="7"/>
    </row>
    <row r="42" spans="1:22" s="159" customFormat="1" ht="18.75" hidden="1" customHeight="1">
      <c r="A42" s="153" t="s">
        <v>55</v>
      </c>
      <c r="B42" s="154" t="s">
        <v>56</v>
      </c>
      <c r="C42" s="211"/>
      <c r="D42" s="251"/>
      <c r="E42" s="218"/>
      <c r="F42" s="211">
        <f t="shared" si="4"/>
        <v>0</v>
      </c>
      <c r="G42" s="251"/>
      <c r="H42" s="218"/>
      <c r="I42" s="211"/>
      <c r="J42" s="251"/>
      <c r="K42" s="218"/>
      <c r="L42" s="155"/>
      <c r="M42" s="158">
        <f t="shared" si="0"/>
        <v>0</v>
      </c>
      <c r="N42" s="267">
        <f t="shared" si="1"/>
        <v>0</v>
      </c>
      <c r="O42" s="268">
        <f t="shared" si="2"/>
        <v>0</v>
      </c>
      <c r="P42" s="264">
        <f t="shared" si="3"/>
        <v>0</v>
      </c>
      <c r="Q42" s="297"/>
      <c r="R42" s="277"/>
      <c r="S42" s="272"/>
      <c r="T42" s="290"/>
      <c r="U42" s="158"/>
      <c r="V42" s="158"/>
    </row>
    <row r="43" spans="1:22" s="159" customFormat="1" ht="18.75" hidden="1" customHeight="1">
      <c r="A43" s="153" t="s">
        <v>57</v>
      </c>
      <c r="B43" s="154" t="s">
        <v>58</v>
      </c>
      <c r="C43" s="211"/>
      <c r="D43" s="251"/>
      <c r="E43" s="218"/>
      <c r="F43" s="211">
        <f t="shared" si="4"/>
        <v>0</v>
      </c>
      <c r="G43" s="251"/>
      <c r="H43" s="218"/>
      <c r="I43" s="211"/>
      <c r="J43" s="251"/>
      <c r="K43" s="218"/>
      <c r="L43" s="155"/>
      <c r="M43" s="158">
        <f t="shared" si="0"/>
        <v>0</v>
      </c>
      <c r="N43" s="267">
        <f t="shared" si="1"/>
        <v>0</v>
      </c>
      <c r="O43" s="268">
        <f t="shared" si="2"/>
        <v>0</v>
      </c>
      <c r="P43" s="264">
        <f t="shared" si="3"/>
        <v>0</v>
      </c>
      <c r="Q43" s="297"/>
      <c r="R43" s="277"/>
      <c r="S43" s="272"/>
      <c r="T43" s="290"/>
      <c r="U43" s="158"/>
      <c r="V43" s="158"/>
    </row>
    <row r="44" spans="1:22" s="5" customFormat="1" ht="18.75" hidden="1" customHeight="1">
      <c r="A44" s="160"/>
      <c r="B44" s="161" t="s">
        <v>28</v>
      </c>
      <c r="C44" s="214"/>
      <c r="D44" s="253"/>
      <c r="E44" s="219"/>
      <c r="F44" s="214">
        <f t="shared" si="4"/>
        <v>0</v>
      </c>
      <c r="G44" s="253"/>
      <c r="H44" s="219"/>
      <c r="I44" s="214"/>
      <c r="J44" s="253"/>
      <c r="K44" s="219"/>
      <c r="L44" s="162"/>
      <c r="M44" s="158">
        <f t="shared" si="0"/>
        <v>0</v>
      </c>
      <c r="N44" s="267">
        <f t="shared" si="1"/>
        <v>0</v>
      </c>
      <c r="O44" s="268">
        <f t="shared" si="2"/>
        <v>0</v>
      </c>
      <c r="P44" s="264">
        <f t="shared" si="3"/>
        <v>0</v>
      </c>
      <c r="Q44" s="294"/>
      <c r="R44" s="277"/>
      <c r="S44" s="272"/>
      <c r="T44" s="290"/>
      <c r="U44" s="7"/>
      <c r="V44" s="7"/>
    </row>
    <row r="45" spans="1:22" s="5" customFormat="1" ht="18.75" hidden="1" customHeight="1">
      <c r="A45" s="160" t="s">
        <v>59</v>
      </c>
      <c r="B45" s="161" t="s">
        <v>30</v>
      </c>
      <c r="C45" s="214"/>
      <c r="D45" s="253"/>
      <c r="E45" s="219"/>
      <c r="F45" s="214">
        <f t="shared" si="4"/>
        <v>0</v>
      </c>
      <c r="G45" s="253"/>
      <c r="H45" s="219"/>
      <c r="I45" s="214"/>
      <c r="J45" s="253"/>
      <c r="K45" s="219"/>
      <c r="L45" s="162"/>
      <c r="M45" s="158">
        <f t="shared" si="0"/>
        <v>0</v>
      </c>
      <c r="N45" s="267">
        <f t="shared" si="1"/>
        <v>0</v>
      </c>
      <c r="O45" s="268">
        <f t="shared" si="2"/>
        <v>0</v>
      </c>
      <c r="P45" s="264">
        <f t="shared" si="3"/>
        <v>0</v>
      </c>
      <c r="Q45" s="294"/>
      <c r="R45" s="277"/>
      <c r="S45" s="272"/>
      <c r="T45" s="290"/>
      <c r="U45" s="7"/>
      <c r="V45" s="7"/>
    </row>
    <row r="46" spans="1:22" s="5" customFormat="1" ht="18.75" hidden="1" customHeight="1">
      <c r="A46" s="160" t="s">
        <v>60</v>
      </c>
      <c r="B46" s="161" t="s">
        <v>32</v>
      </c>
      <c r="C46" s="214"/>
      <c r="D46" s="253"/>
      <c r="E46" s="219"/>
      <c r="F46" s="214">
        <f t="shared" si="4"/>
        <v>0</v>
      </c>
      <c r="G46" s="253"/>
      <c r="H46" s="219"/>
      <c r="I46" s="214"/>
      <c r="J46" s="253"/>
      <c r="K46" s="219"/>
      <c r="L46" s="162"/>
      <c r="M46" s="158">
        <f t="shared" si="0"/>
        <v>0</v>
      </c>
      <c r="N46" s="267">
        <f t="shared" si="1"/>
        <v>0</v>
      </c>
      <c r="O46" s="268">
        <f t="shared" si="2"/>
        <v>0</v>
      </c>
      <c r="P46" s="264">
        <f t="shared" si="3"/>
        <v>0</v>
      </c>
      <c r="Q46" s="294"/>
      <c r="R46" s="277"/>
      <c r="S46" s="272"/>
      <c r="T46" s="290"/>
      <c r="U46" s="7"/>
      <c r="V46" s="7"/>
    </row>
    <row r="47" spans="1:22" s="5" customFormat="1" ht="18.75" hidden="1" customHeight="1">
      <c r="A47" s="160"/>
      <c r="B47" s="161" t="s">
        <v>28</v>
      </c>
      <c r="C47" s="214"/>
      <c r="D47" s="253"/>
      <c r="E47" s="219"/>
      <c r="F47" s="214">
        <f t="shared" si="4"/>
        <v>0</v>
      </c>
      <c r="G47" s="253"/>
      <c r="H47" s="219"/>
      <c r="I47" s="214"/>
      <c r="J47" s="253"/>
      <c r="K47" s="219"/>
      <c r="L47" s="162"/>
      <c r="M47" s="158">
        <f t="shared" si="0"/>
        <v>0</v>
      </c>
      <c r="N47" s="267">
        <f t="shared" si="1"/>
        <v>0</v>
      </c>
      <c r="O47" s="268">
        <f t="shared" si="2"/>
        <v>0</v>
      </c>
      <c r="P47" s="264">
        <f t="shared" si="3"/>
        <v>0</v>
      </c>
      <c r="Q47" s="294"/>
      <c r="R47" s="277"/>
      <c r="S47" s="272"/>
      <c r="T47" s="290"/>
      <c r="U47" s="7"/>
      <c r="V47" s="7"/>
    </row>
    <row r="48" spans="1:22" s="5" customFormat="1" ht="18.75" hidden="1" customHeight="1">
      <c r="A48" s="160" t="s">
        <v>61</v>
      </c>
      <c r="B48" s="161" t="s">
        <v>52</v>
      </c>
      <c r="C48" s="214"/>
      <c r="D48" s="253"/>
      <c r="E48" s="219"/>
      <c r="F48" s="214">
        <f t="shared" si="4"/>
        <v>0</v>
      </c>
      <c r="G48" s="253"/>
      <c r="H48" s="219"/>
      <c r="I48" s="214"/>
      <c r="J48" s="253"/>
      <c r="K48" s="219"/>
      <c r="L48" s="162"/>
      <c r="M48" s="158">
        <f t="shared" si="0"/>
        <v>0</v>
      </c>
      <c r="N48" s="267">
        <f t="shared" si="1"/>
        <v>0</v>
      </c>
      <c r="O48" s="268">
        <f t="shared" si="2"/>
        <v>0</v>
      </c>
      <c r="P48" s="264">
        <f t="shared" si="3"/>
        <v>0</v>
      </c>
      <c r="Q48" s="294"/>
      <c r="R48" s="277"/>
      <c r="S48" s="272"/>
      <c r="T48" s="290"/>
      <c r="U48" s="7"/>
      <c r="V48" s="7"/>
    </row>
    <row r="49" spans="1:22" s="5" customFormat="1" ht="18.75" hidden="1" customHeight="1">
      <c r="A49" s="177" t="s">
        <v>62</v>
      </c>
      <c r="B49" s="161" t="s">
        <v>63</v>
      </c>
      <c r="C49" s="214"/>
      <c r="D49" s="253"/>
      <c r="E49" s="219"/>
      <c r="F49" s="214">
        <f t="shared" si="4"/>
        <v>0</v>
      </c>
      <c r="G49" s="253"/>
      <c r="H49" s="219"/>
      <c r="I49" s="214"/>
      <c r="J49" s="253"/>
      <c r="K49" s="219"/>
      <c r="L49" s="162"/>
      <c r="M49" s="158">
        <f t="shared" si="0"/>
        <v>0</v>
      </c>
      <c r="N49" s="267">
        <f t="shared" si="1"/>
        <v>0</v>
      </c>
      <c r="O49" s="268">
        <f t="shared" si="2"/>
        <v>0</v>
      </c>
      <c r="P49" s="264">
        <f t="shared" si="3"/>
        <v>0</v>
      </c>
      <c r="Q49" s="294"/>
      <c r="R49" s="277"/>
      <c r="S49" s="272"/>
      <c r="T49" s="290"/>
      <c r="U49" s="7"/>
      <c r="V49" s="7"/>
    </row>
    <row r="50" spans="1:22" s="5" customFormat="1" ht="18.75" hidden="1" customHeight="1">
      <c r="A50" s="160" t="s">
        <v>64</v>
      </c>
      <c r="B50" s="161" t="s">
        <v>54</v>
      </c>
      <c r="C50" s="214"/>
      <c r="D50" s="253"/>
      <c r="E50" s="219"/>
      <c r="F50" s="214">
        <f t="shared" si="4"/>
        <v>0</v>
      </c>
      <c r="G50" s="253"/>
      <c r="H50" s="219"/>
      <c r="I50" s="214"/>
      <c r="J50" s="253"/>
      <c r="K50" s="219"/>
      <c r="L50" s="162"/>
      <c r="M50" s="158">
        <f t="shared" si="0"/>
        <v>0</v>
      </c>
      <c r="N50" s="267">
        <f t="shared" si="1"/>
        <v>0</v>
      </c>
      <c r="O50" s="268">
        <f t="shared" si="2"/>
        <v>0</v>
      </c>
      <c r="P50" s="264">
        <f t="shared" si="3"/>
        <v>0</v>
      </c>
      <c r="Q50" s="294"/>
      <c r="R50" s="277"/>
      <c r="S50" s="272"/>
      <c r="T50" s="290"/>
      <c r="U50" s="7"/>
      <c r="V50" s="7"/>
    </row>
    <row r="51" spans="1:22" s="5" customFormat="1" ht="18.75" hidden="1" customHeight="1">
      <c r="A51" s="177" t="s">
        <v>65</v>
      </c>
      <c r="B51" s="161" t="s">
        <v>66</v>
      </c>
      <c r="C51" s="214"/>
      <c r="D51" s="253"/>
      <c r="E51" s="219"/>
      <c r="F51" s="214">
        <f t="shared" si="4"/>
        <v>0</v>
      </c>
      <c r="G51" s="253"/>
      <c r="H51" s="219"/>
      <c r="I51" s="214"/>
      <c r="J51" s="253"/>
      <c r="K51" s="219"/>
      <c r="L51" s="162"/>
      <c r="M51" s="158">
        <f t="shared" si="0"/>
        <v>0</v>
      </c>
      <c r="N51" s="267">
        <f t="shared" si="1"/>
        <v>0</v>
      </c>
      <c r="O51" s="268">
        <f t="shared" si="2"/>
        <v>0</v>
      </c>
      <c r="P51" s="264">
        <f t="shared" si="3"/>
        <v>0</v>
      </c>
      <c r="Q51" s="294"/>
      <c r="R51" s="277"/>
      <c r="S51" s="272"/>
      <c r="T51" s="290"/>
      <c r="U51" s="7"/>
      <c r="V51" s="7"/>
    </row>
    <row r="52" spans="1:22" s="5" customFormat="1" ht="18.75" hidden="1" customHeight="1">
      <c r="A52" s="160"/>
      <c r="B52" s="161" t="s">
        <v>45</v>
      </c>
      <c r="C52" s="214"/>
      <c r="D52" s="253"/>
      <c r="E52" s="219"/>
      <c r="F52" s="214">
        <f t="shared" si="4"/>
        <v>0</v>
      </c>
      <c r="G52" s="253"/>
      <c r="H52" s="219"/>
      <c r="I52" s="214"/>
      <c r="J52" s="253"/>
      <c r="K52" s="219"/>
      <c r="L52" s="162"/>
      <c r="M52" s="158">
        <f t="shared" si="0"/>
        <v>0</v>
      </c>
      <c r="N52" s="267">
        <f t="shared" si="1"/>
        <v>0</v>
      </c>
      <c r="O52" s="268">
        <f t="shared" si="2"/>
        <v>0</v>
      </c>
      <c r="P52" s="264">
        <f t="shared" si="3"/>
        <v>0</v>
      </c>
      <c r="Q52" s="294"/>
      <c r="R52" s="277"/>
      <c r="S52" s="272"/>
      <c r="T52" s="290"/>
      <c r="U52" s="7"/>
      <c r="V52" s="7"/>
    </row>
    <row r="53" spans="1:22" s="5" customFormat="1" ht="18.75" hidden="1" customHeight="1">
      <c r="A53" s="160" t="s">
        <v>67</v>
      </c>
      <c r="B53" s="161" t="s">
        <v>68</v>
      </c>
      <c r="C53" s="214"/>
      <c r="D53" s="253"/>
      <c r="E53" s="219"/>
      <c r="F53" s="214">
        <f t="shared" si="4"/>
        <v>0</v>
      </c>
      <c r="G53" s="253"/>
      <c r="H53" s="219"/>
      <c r="I53" s="214"/>
      <c r="J53" s="253"/>
      <c r="K53" s="219"/>
      <c r="L53" s="162"/>
      <c r="M53" s="158">
        <f t="shared" si="0"/>
        <v>0</v>
      </c>
      <c r="N53" s="267">
        <f t="shared" si="1"/>
        <v>0</v>
      </c>
      <c r="O53" s="268">
        <f t="shared" si="2"/>
        <v>0</v>
      </c>
      <c r="P53" s="264">
        <f t="shared" si="3"/>
        <v>0</v>
      </c>
      <c r="Q53" s="294"/>
      <c r="R53" s="277"/>
      <c r="S53" s="272"/>
      <c r="T53" s="290"/>
      <c r="U53" s="7"/>
      <c r="V53" s="7"/>
    </row>
    <row r="54" spans="1:22" s="5" customFormat="1" ht="18.75" hidden="1" customHeight="1">
      <c r="A54" s="160" t="s">
        <v>69</v>
      </c>
      <c r="B54" s="178" t="s">
        <v>70</v>
      </c>
      <c r="C54" s="214"/>
      <c r="D54" s="253"/>
      <c r="E54" s="219"/>
      <c r="F54" s="214">
        <f t="shared" si="4"/>
        <v>0</v>
      </c>
      <c r="G54" s="253"/>
      <c r="H54" s="219"/>
      <c r="I54" s="214"/>
      <c r="J54" s="253"/>
      <c r="K54" s="219"/>
      <c r="L54" s="162"/>
      <c r="M54" s="158">
        <f t="shared" si="0"/>
        <v>0</v>
      </c>
      <c r="N54" s="267">
        <f t="shared" si="1"/>
        <v>0</v>
      </c>
      <c r="O54" s="268">
        <f t="shared" si="2"/>
        <v>0</v>
      </c>
      <c r="P54" s="264">
        <f t="shared" si="3"/>
        <v>0</v>
      </c>
      <c r="Q54" s="294"/>
      <c r="R54" s="277"/>
      <c r="S54" s="272"/>
      <c r="T54" s="290"/>
      <c r="U54" s="7"/>
      <c r="V54" s="7"/>
    </row>
    <row r="55" spans="1:22" s="5" customFormat="1" ht="18.75" hidden="1" customHeight="1">
      <c r="A55" s="160" t="s">
        <v>71</v>
      </c>
      <c r="B55" s="178" t="s">
        <v>72</v>
      </c>
      <c r="C55" s="214"/>
      <c r="D55" s="253"/>
      <c r="E55" s="219"/>
      <c r="F55" s="214">
        <f t="shared" si="4"/>
        <v>0</v>
      </c>
      <c r="G55" s="253"/>
      <c r="H55" s="219"/>
      <c r="I55" s="214"/>
      <c r="J55" s="253"/>
      <c r="K55" s="219"/>
      <c r="L55" s="162"/>
      <c r="M55" s="158">
        <f t="shared" si="0"/>
        <v>0</v>
      </c>
      <c r="N55" s="267">
        <f t="shared" si="1"/>
        <v>0</v>
      </c>
      <c r="O55" s="268">
        <f t="shared" si="2"/>
        <v>0</v>
      </c>
      <c r="P55" s="264">
        <f t="shared" si="3"/>
        <v>0</v>
      </c>
      <c r="Q55" s="294"/>
      <c r="R55" s="277"/>
      <c r="S55" s="272"/>
      <c r="T55" s="290"/>
      <c r="U55" s="7"/>
      <c r="V55" s="7"/>
    </row>
    <row r="56" spans="1:22" s="5" customFormat="1" ht="18.75" hidden="1" customHeight="1">
      <c r="A56" s="160" t="s">
        <v>73</v>
      </c>
      <c r="B56" s="178" t="s">
        <v>74</v>
      </c>
      <c r="C56" s="214"/>
      <c r="D56" s="253"/>
      <c r="E56" s="219"/>
      <c r="F56" s="214">
        <f t="shared" si="4"/>
        <v>0</v>
      </c>
      <c r="G56" s="253"/>
      <c r="H56" s="219"/>
      <c r="I56" s="214"/>
      <c r="J56" s="253"/>
      <c r="K56" s="219"/>
      <c r="L56" s="162"/>
      <c r="M56" s="158">
        <f t="shared" si="0"/>
        <v>0</v>
      </c>
      <c r="N56" s="267">
        <f t="shared" si="1"/>
        <v>0</v>
      </c>
      <c r="O56" s="268">
        <f t="shared" si="2"/>
        <v>0</v>
      </c>
      <c r="P56" s="264">
        <f t="shared" si="3"/>
        <v>0</v>
      </c>
      <c r="Q56" s="294"/>
      <c r="R56" s="277"/>
      <c r="S56" s="272"/>
      <c r="T56" s="290"/>
      <c r="U56" s="7"/>
      <c r="V56" s="7"/>
    </row>
    <row r="57" spans="1:22" s="5" customFormat="1" ht="18.75" hidden="1" customHeight="1">
      <c r="A57" s="160" t="s">
        <v>75</v>
      </c>
      <c r="B57" s="178" t="s">
        <v>76</v>
      </c>
      <c r="C57" s="214"/>
      <c r="D57" s="253"/>
      <c r="E57" s="219"/>
      <c r="F57" s="214">
        <f t="shared" si="4"/>
        <v>0</v>
      </c>
      <c r="G57" s="253"/>
      <c r="H57" s="219"/>
      <c r="I57" s="214"/>
      <c r="J57" s="253"/>
      <c r="K57" s="219"/>
      <c r="L57" s="162"/>
      <c r="M57" s="158">
        <f t="shared" si="0"/>
        <v>0</v>
      </c>
      <c r="N57" s="267">
        <f t="shared" si="1"/>
        <v>0</v>
      </c>
      <c r="O57" s="268">
        <f t="shared" si="2"/>
        <v>0</v>
      </c>
      <c r="P57" s="264">
        <f t="shared" si="3"/>
        <v>0</v>
      </c>
      <c r="Q57" s="294"/>
      <c r="R57" s="277"/>
      <c r="S57" s="272"/>
      <c r="T57" s="290"/>
      <c r="U57" s="7"/>
      <c r="V57" s="7"/>
    </row>
    <row r="58" spans="1:22" s="159" customFormat="1" ht="37.5" hidden="1" customHeight="1">
      <c r="A58" s="153" t="s">
        <v>77</v>
      </c>
      <c r="B58" s="179" t="s">
        <v>78</v>
      </c>
      <c r="C58" s="211"/>
      <c r="D58" s="251"/>
      <c r="E58" s="218"/>
      <c r="F58" s="211">
        <f t="shared" si="4"/>
        <v>0</v>
      </c>
      <c r="G58" s="251"/>
      <c r="H58" s="218"/>
      <c r="I58" s="211"/>
      <c r="J58" s="251"/>
      <c r="K58" s="218"/>
      <c r="L58" s="155"/>
      <c r="M58" s="158">
        <f t="shared" si="0"/>
        <v>0</v>
      </c>
      <c r="N58" s="267">
        <f t="shared" si="1"/>
        <v>0</v>
      </c>
      <c r="O58" s="268">
        <f t="shared" si="2"/>
        <v>0</v>
      </c>
      <c r="P58" s="264">
        <f t="shared" si="3"/>
        <v>0</v>
      </c>
      <c r="Q58" s="297"/>
      <c r="R58" s="277"/>
      <c r="S58" s="272"/>
      <c r="T58" s="290"/>
      <c r="U58" s="158"/>
      <c r="V58" s="158"/>
    </row>
    <row r="59" spans="1:22" s="5" customFormat="1" ht="18.75" hidden="1" customHeight="1">
      <c r="A59" s="160"/>
      <c r="B59" s="161" t="s">
        <v>11</v>
      </c>
      <c r="C59" s="214"/>
      <c r="D59" s="253"/>
      <c r="E59" s="219"/>
      <c r="F59" s="214">
        <f t="shared" si="4"/>
        <v>0</v>
      </c>
      <c r="G59" s="253"/>
      <c r="H59" s="219"/>
      <c r="I59" s="214"/>
      <c r="J59" s="253"/>
      <c r="K59" s="219"/>
      <c r="L59" s="162"/>
      <c r="M59" s="158">
        <f t="shared" si="0"/>
        <v>0</v>
      </c>
      <c r="N59" s="267">
        <f t="shared" si="1"/>
        <v>0</v>
      </c>
      <c r="O59" s="268">
        <f t="shared" si="2"/>
        <v>0</v>
      </c>
      <c r="P59" s="264">
        <f t="shared" si="3"/>
        <v>0</v>
      </c>
      <c r="Q59" s="294"/>
      <c r="R59" s="277"/>
      <c r="S59" s="272"/>
      <c r="T59" s="290"/>
      <c r="U59" s="7"/>
      <c r="V59" s="7"/>
    </row>
    <row r="60" spans="1:22" s="5" customFormat="1" ht="18.75" hidden="1" customHeight="1">
      <c r="A60" s="160" t="s">
        <v>79</v>
      </c>
      <c r="B60" s="161" t="s">
        <v>49</v>
      </c>
      <c r="C60" s="214"/>
      <c r="D60" s="253"/>
      <c r="E60" s="219"/>
      <c r="F60" s="214">
        <f t="shared" si="4"/>
        <v>0</v>
      </c>
      <c r="G60" s="253"/>
      <c r="H60" s="219"/>
      <c r="I60" s="214"/>
      <c r="J60" s="253"/>
      <c r="K60" s="219"/>
      <c r="L60" s="162"/>
      <c r="M60" s="158">
        <f t="shared" si="0"/>
        <v>0</v>
      </c>
      <c r="N60" s="267">
        <f t="shared" si="1"/>
        <v>0</v>
      </c>
      <c r="O60" s="268">
        <f t="shared" si="2"/>
        <v>0</v>
      </c>
      <c r="P60" s="264">
        <f t="shared" si="3"/>
        <v>0</v>
      </c>
      <c r="Q60" s="294"/>
      <c r="R60" s="277"/>
      <c r="S60" s="272"/>
      <c r="T60" s="290"/>
      <c r="U60" s="7"/>
      <c r="V60" s="7"/>
    </row>
    <row r="61" spans="1:22" s="5" customFormat="1" ht="18.75" hidden="1" customHeight="1">
      <c r="A61" s="160" t="s">
        <v>80</v>
      </c>
      <c r="B61" s="161" t="s">
        <v>15</v>
      </c>
      <c r="C61" s="214"/>
      <c r="D61" s="253"/>
      <c r="E61" s="219"/>
      <c r="F61" s="214">
        <f t="shared" si="4"/>
        <v>0</v>
      </c>
      <c r="G61" s="253"/>
      <c r="H61" s="219"/>
      <c r="I61" s="214"/>
      <c r="J61" s="253"/>
      <c r="K61" s="219"/>
      <c r="L61" s="162"/>
      <c r="M61" s="158">
        <f t="shared" si="0"/>
        <v>0</v>
      </c>
      <c r="N61" s="267">
        <f t="shared" si="1"/>
        <v>0</v>
      </c>
      <c r="O61" s="268">
        <f t="shared" si="2"/>
        <v>0</v>
      </c>
      <c r="P61" s="264">
        <f t="shared" si="3"/>
        <v>0</v>
      </c>
      <c r="Q61" s="294"/>
      <c r="R61" s="277"/>
      <c r="S61" s="272"/>
      <c r="T61" s="290"/>
      <c r="U61" s="7"/>
      <c r="V61" s="7"/>
    </row>
    <row r="62" spans="1:22" s="5" customFormat="1" ht="18.75" hidden="1" customHeight="1">
      <c r="A62" s="160"/>
      <c r="B62" s="161" t="s">
        <v>11</v>
      </c>
      <c r="C62" s="214"/>
      <c r="D62" s="253"/>
      <c r="E62" s="219"/>
      <c r="F62" s="214">
        <f t="shared" si="4"/>
        <v>0</v>
      </c>
      <c r="G62" s="253"/>
      <c r="H62" s="219"/>
      <c r="I62" s="214"/>
      <c r="J62" s="253"/>
      <c r="K62" s="219"/>
      <c r="L62" s="162"/>
      <c r="M62" s="158">
        <f t="shared" si="0"/>
        <v>0</v>
      </c>
      <c r="N62" s="267">
        <f t="shared" si="1"/>
        <v>0</v>
      </c>
      <c r="O62" s="268">
        <f t="shared" si="2"/>
        <v>0</v>
      </c>
      <c r="P62" s="264">
        <f t="shared" si="3"/>
        <v>0</v>
      </c>
      <c r="Q62" s="294"/>
      <c r="R62" s="277"/>
      <c r="S62" s="272"/>
      <c r="T62" s="290"/>
      <c r="U62" s="7"/>
      <c r="V62" s="7"/>
    </row>
    <row r="63" spans="1:22" s="5" customFormat="1" ht="18.75" hidden="1" customHeight="1">
      <c r="A63" s="160" t="s">
        <v>81</v>
      </c>
      <c r="B63" s="161" t="s">
        <v>335</v>
      </c>
      <c r="C63" s="214"/>
      <c r="D63" s="253"/>
      <c r="E63" s="219"/>
      <c r="F63" s="214">
        <f t="shared" si="4"/>
        <v>0</v>
      </c>
      <c r="G63" s="253"/>
      <c r="H63" s="219"/>
      <c r="I63" s="214"/>
      <c r="J63" s="253"/>
      <c r="K63" s="219"/>
      <c r="L63" s="162"/>
      <c r="M63" s="158">
        <f t="shared" si="0"/>
        <v>0</v>
      </c>
      <c r="N63" s="267">
        <f t="shared" si="1"/>
        <v>0</v>
      </c>
      <c r="O63" s="268">
        <f t="shared" si="2"/>
        <v>0</v>
      </c>
      <c r="P63" s="264">
        <f t="shared" si="3"/>
        <v>0</v>
      </c>
      <c r="Q63" s="294"/>
      <c r="R63" s="277"/>
      <c r="S63" s="272"/>
      <c r="T63" s="290"/>
      <c r="U63" s="7"/>
      <c r="V63" s="7"/>
    </row>
    <row r="64" spans="1:22" s="5" customFormat="1" ht="18.75" hidden="1" customHeight="1">
      <c r="A64" s="160" t="s">
        <v>82</v>
      </c>
      <c r="B64" s="161" t="s">
        <v>54</v>
      </c>
      <c r="C64" s="214"/>
      <c r="D64" s="253"/>
      <c r="E64" s="219"/>
      <c r="F64" s="214">
        <f t="shared" si="4"/>
        <v>0</v>
      </c>
      <c r="G64" s="253"/>
      <c r="H64" s="219"/>
      <c r="I64" s="214"/>
      <c r="J64" s="253"/>
      <c r="K64" s="219"/>
      <c r="L64" s="162"/>
      <c r="M64" s="158">
        <f t="shared" si="0"/>
        <v>0</v>
      </c>
      <c r="N64" s="267">
        <f t="shared" si="1"/>
        <v>0</v>
      </c>
      <c r="O64" s="268">
        <f t="shared" si="2"/>
        <v>0</v>
      </c>
      <c r="P64" s="264">
        <f t="shared" si="3"/>
        <v>0</v>
      </c>
      <c r="Q64" s="294"/>
      <c r="R64" s="277"/>
      <c r="S64" s="272"/>
      <c r="T64" s="290"/>
      <c r="U64" s="7"/>
      <c r="V64" s="7"/>
    </row>
    <row r="65" spans="1:22" s="176" customFormat="1" ht="19.5" hidden="1" customHeight="1" thickBot="1">
      <c r="A65" s="160"/>
      <c r="B65" s="161" t="s">
        <v>45</v>
      </c>
      <c r="C65" s="214"/>
      <c r="D65" s="253"/>
      <c r="E65" s="219"/>
      <c r="F65" s="214">
        <f t="shared" si="4"/>
        <v>0</v>
      </c>
      <c r="G65" s="253"/>
      <c r="H65" s="219"/>
      <c r="I65" s="214"/>
      <c r="J65" s="253"/>
      <c r="K65" s="219"/>
      <c r="L65" s="162"/>
      <c r="M65" s="158">
        <f t="shared" si="0"/>
        <v>0</v>
      </c>
      <c r="N65" s="267">
        <f t="shared" si="1"/>
        <v>0</v>
      </c>
      <c r="O65" s="268">
        <f t="shared" si="2"/>
        <v>0</v>
      </c>
      <c r="P65" s="264">
        <f t="shared" si="3"/>
        <v>0</v>
      </c>
      <c r="Q65" s="294"/>
      <c r="R65" s="277"/>
      <c r="S65" s="272"/>
      <c r="T65" s="290"/>
      <c r="U65" s="7"/>
      <c r="V65" s="7"/>
    </row>
    <row r="66" spans="1:22" s="182" customFormat="1" ht="18.75" hidden="1" customHeight="1">
      <c r="A66" s="153" t="s">
        <v>83</v>
      </c>
      <c r="B66" s="154" t="s">
        <v>56</v>
      </c>
      <c r="C66" s="211"/>
      <c r="D66" s="251"/>
      <c r="E66" s="218"/>
      <c r="F66" s="211">
        <f t="shared" si="4"/>
        <v>0</v>
      </c>
      <c r="G66" s="251"/>
      <c r="H66" s="218"/>
      <c r="I66" s="211"/>
      <c r="J66" s="251"/>
      <c r="K66" s="218"/>
      <c r="L66" s="155"/>
      <c r="M66" s="158">
        <f t="shared" si="0"/>
        <v>0</v>
      </c>
      <c r="N66" s="267">
        <f t="shared" si="1"/>
        <v>0</v>
      </c>
      <c r="O66" s="268">
        <f t="shared" si="2"/>
        <v>0</v>
      </c>
      <c r="P66" s="264">
        <f t="shared" si="3"/>
        <v>0</v>
      </c>
      <c r="Q66" s="298"/>
      <c r="R66" s="277"/>
      <c r="S66" s="272"/>
      <c r="T66" s="290"/>
      <c r="U66" s="181"/>
      <c r="V66" s="181"/>
    </row>
    <row r="67" spans="1:22" s="182" customFormat="1" ht="18.75" hidden="1" customHeight="1">
      <c r="A67" s="153" t="s">
        <v>84</v>
      </c>
      <c r="B67" s="154" t="s">
        <v>58</v>
      </c>
      <c r="C67" s="211"/>
      <c r="D67" s="251"/>
      <c r="E67" s="218"/>
      <c r="F67" s="211">
        <f t="shared" si="4"/>
        <v>0</v>
      </c>
      <c r="G67" s="251"/>
      <c r="H67" s="218"/>
      <c r="I67" s="211"/>
      <c r="J67" s="251"/>
      <c r="K67" s="218"/>
      <c r="L67" s="155"/>
      <c r="M67" s="158">
        <f t="shared" si="0"/>
        <v>0</v>
      </c>
      <c r="N67" s="267">
        <f t="shared" si="1"/>
        <v>0</v>
      </c>
      <c r="O67" s="268">
        <f t="shared" si="2"/>
        <v>0</v>
      </c>
      <c r="P67" s="264">
        <f t="shared" si="3"/>
        <v>0</v>
      </c>
      <c r="Q67" s="298"/>
      <c r="R67" s="277"/>
      <c r="S67" s="272"/>
      <c r="T67" s="290"/>
      <c r="U67" s="181"/>
      <c r="V67" s="181"/>
    </row>
    <row r="68" spans="1:22" s="5" customFormat="1" ht="18.75" hidden="1" customHeight="1">
      <c r="A68" s="160"/>
      <c r="B68" s="161" t="s">
        <v>28</v>
      </c>
      <c r="C68" s="214"/>
      <c r="D68" s="253"/>
      <c r="E68" s="219"/>
      <c r="F68" s="214">
        <f t="shared" si="4"/>
        <v>0</v>
      </c>
      <c r="G68" s="253"/>
      <c r="H68" s="219"/>
      <c r="I68" s="214"/>
      <c r="J68" s="253"/>
      <c r="K68" s="219"/>
      <c r="L68" s="162"/>
      <c r="M68" s="158">
        <f t="shared" si="0"/>
        <v>0</v>
      </c>
      <c r="N68" s="267">
        <f t="shared" si="1"/>
        <v>0</v>
      </c>
      <c r="O68" s="268">
        <f t="shared" si="2"/>
        <v>0</v>
      </c>
      <c r="P68" s="264">
        <f t="shared" si="3"/>
        <v>0</v>
      </c>
      <c r="Q68" s="294"/>
      <c r="R68" s="277"/>
      <c r="S68" s="272"/>
      <c r="T68" s="290"/>
      <c r="U68" s="7"/>
      <c r="V68" s="7"/>
    </row>
    <row r="69" spans="1:22" s="5" customFormat="1" ht="18.75" hidden="1" customHeight="1">
      <c r="A69" s="160" t="s">
        <v>85</v>
      </c>
      <c r="B69" s="161" t="s">
        <v>30</v>
      </c>
      <c r="C69" s="214"/>
      <c r="D69" s="253"/>
      <c r="E69" s="219"/>
      <c r="F69" s="214">
        <f t="shared" si="4"/>
        <v>0</v>
      </c>
      <c r="G69" s="253"/>
      <c r="H69" s="219"/>
      <c r="I69" s="214"/>
      <c r="J69" s="253"/>
      <c r="K69" s="219"/>
      <c r="L69" s="162"/>
      <c r="M69" s="158">
        <f t="shared" si="0"/>
        <v>0</v>
      </c>
      <c r="N69" s="267">
        <f t="shared" si="1"/>
        <v>0</v>
      </c>
      <c r="O69" s="268">
        <f t="shared" si="2"/>
        <v>0</v>
      </c>
      <c r="P69" s="264">
        <f t="shared" si="3"/>
        <v>0</v>
      </c>
      <c r="Q69" s="294"/>
      <c r="R69" s="277"/>
      <c r="S69" s="272"/>
      <c r="T69" s="290"/>
      <c r="U69" s="7"/>
      <c r="V69" s="7"/>
    </row>
    <row r="70" spans="1:22" s="185" customFormat="1" ht="19.5" hidden="1" customHeight="1">
      <c r="A70" s="160" t="s">
        <v>86</v>
      </c>
      <c r="B70" s="161" t="s">
        <v>32</v>
      </c>
      <c r="C70" s="214"/>
      <c r="D70" s="253"/>
      <c r="E70" s="220"/>
      <c r="F70" s="215">
        <f t="shared" si="4"/>
        <v>0</v>
      </c>
      <c r="G70" s="260"/>
      <c r="H70" s="220"/>
      <c r="I70" s="214"/>
      <c r="J70" s="253"/>
      <c r="K70" s="220"/>
      <c r="L70" s="162"/>
      <c r="M70" s="158">
        <f t="shared" si="0"/>
        <v>0</v>
      </c>
      <c r="N70" s="267">
        <f t="shared" si="1"/>
        <v>0</v>
      </c>
      <c r="O70" s="268">
        <f t="shared" si="2"/>
        <v>0</v>
      </c>
      <c r="P70" s="264">
        <f t="shared" si="3"/>
        <v>0</v>
      </c>
      <c r="Q70" s="299"/>
      <c r="R70" s="277"/>
      <c r="S70" s="272"/>
      <c r="T70" s="290"/>
      <c r="U70" s="184"/>
      <c r="V70" s="184"/>
    </row>
    <row r="71" spans="1:22" s="5" customFormat="1" ht="18.75" hidden="1" customHeight="1">
      <c r="A71" s="160"/>
      <c r="B71" s="161" t="s">
        <v>28</v>
      </c>
      <c r="C71" s="214"/>
      <c r="D71" s="253"/>
      <c r="E71" s="219"/>
      <c r="F71" s="214">
        <f t="shared" si="4"/>
        <v>0</v>
      </c>
      <c r="G71" s="253"/>
      <c r="H71" s="219"/>
      <c r="I71" s="214"/>
      <c r="J71" s="253"/>
      <c r="K71" s="219"/>
      <c r="L71" s="162"/>
      <c r="M71" s="158">
        <f t="shared" si="0"/>
        <v>0</v>
      </c>
      <c r="N71" s="267">
        <f t="shared" si="1"/>
        <v>0</v>
      </c>
      <c r="O71" s="268">
        <f t="shared" si="2"/>
        <v>0</v>
      </c>
      <c r="P71" s="264">
        <f t="shared" si="3"/>
        <v>0</v>
      </c>
      <c r="Q71" s="294"/>
      <c r="R71" s="277"/>
      <c r="S71" s="272"/>
      <c r="T71" s="290"/>
      <c r="U71" s="7"/>
      <c r="V71" s="7"/>
    </row>
    <row r="72" spans="1:22" s="5" customFormat="1" ht="18.75" hidden="1" customHeight="1">
      <c r="A72" s="171" t="s">
        <v>87</v>
      </c>
      <c r="B72" s="161" t="s">
        <v>335</v>
      </c>
      <c r="C72" s="214"/>
      <c r="D72" s="253"/>
      <c r="E72" s="219"/>
      <c r="F72" s="214">
        <f t="shared" si="4"/>
        <v>0</v>
      </c>
      <c r="G72" s="253"/>
      <c r="H72" s="219"/>
      <c r="I72" s="214"/>
      <c r="J72" s="253"/>
      <c r="K72" s="219"/>
      <c r="L72" s="162"/>
      <c r="M72" s="158">
        <f t="shared" si="0"/>
        <v>0</v>
      </c>
      <c r="N72" s="267">
        <f t="shared" si="1"/>
        <v>0</v>
      </c>
      <c r="O72" s="268">
        <f t="shared" si="2"/>
        <v>0</v>
      </c>
      <c r="P72" s="264">
        <f t="shared" si="3"/>
        <v>0</v>
      </c>
      <c r="Q72" s="294"/>
      <c r="R72" s="277"/>
      <c r="S72" s="272"/>
      <c r="T72" s="290"/>
      <c r="U72" s="7"/>
      <c r="V72" s="7"/>
    </row>
    <row r="73" spans="1:22" s="5" customFormat="1" ht="37.5" hidden="1" customHeight="1">
      <c r="A73" s="171" t="s">
        <v>88</v>
      </c>
      <c r="B73" s="172" t="s">
        <v>89</v>
      </c>
      <c r="C73" s="214"/>
      <c r="D73" s="253"/>
      <c r="E73" s="219"/>
      <c r="F73" s="214">
        <f t="shared" si="4"/>
        <v>0</v>
      </c>
      <c r="G73" s="253"/>
      <c r="H73" s="219"/>
      <c r="I73" s="214"/>
      <c r="J73" s="253"/>
      <c r="K73" s="219"/>
      <c r="L73" s="162"/>
      <c r="M73" s="158">
        <f t="shared" ref="M73:M136" si="5">(D73+G73)/2</f>
        <v>0</v>
      </c>
      <c r="N73" s="267">
        <f t="shared" ref="N73:N136" si="6">J73-M73</f>
        <v>0</v>
      </c>
      <c r="O73" s="268">
        <f t="shared" ref="O73:O136" si="7">C73+F73</f>
        <v>0</v>
      </c>
      <c r="P73" s="264">
        <f t="shared" ref="P73:P136" si="8">O73-I73</f>
        <v>0</v>
      </c>
      <c r="Q73" s="294"/>
      <c r="R73" s="277"/>
      <c r="S73" s="272"/>
      <c r="T73" s="290"/>
      <c r="U73" s="7"/>
      <c r="V73" s="7"/>
    </row>
    <row r="74" spans="1:22" s="5" customFormat="1" ht="18.75" hidden="1" customHeight="1">
      <c r="A74" s="171" t="s">
        <v>90</v>
      </c>
      <c r="B74" s="172" t="s">
        <v>54</v>
      </c>
      <c r="C74" s="214"/>
      <c r="D74" s="253"/>
      <c r="E74" s="219"/>
      <c r="F74" s="214">
        <f t="shared" si="4"/>
        <v>0</v>
      </c>
      <c r="G74" s="253"/>
      <c r="H74" s="219"/>
      <c r="I74" s="214"/>
      <c r="J74" s="253"/>
      <c r="K74" s="219"/>
      <c r="L74" s="162"/>
      <c r="M74" s="158">
        <f t="shared" si="5"/>
        <v>0</v>
      </c>
      <c r="N74" s="267">
        <f t="shared" si="6"/>
        <v>0</v>
      </c>
      <c r="O74" s="268">
        <f t="shared" si="7"/>
        <v>0</v>
      </c>
      <c r="P74" s="264">
        <f t="shared" si="8"/>
        <v>0</v>
      </c>
      <c r="Q74" s="294"/>
      <c r="R74" s="277"/>
      <c r="S74" s="272"/>
      <c r="T74" s="290"/>
      <c r="U74" s="7"/>
      <c r="V74" s="7"/>
    </row>
    <row r="75" spans="1:22" s="5" customFormat="1" ht="37.5" hidden="1" customHeight="1">
      <c r="A75" s="171" t="s">
        <v>91</v>
      </c>
      <c r="B75" s="172" t="s">
        <v>92</v>
      </c>
      <c r="C75" s="214"/>
      <c r="D75" s="253"/>
      <c r="E75" s="219"/>
      <c r="F75" s="214">
        <f t="shared" si="4"/>
        <v>0</v>
      </c>
      <c r="G75" s="253"/>
      <c r="H75" s="219"/>
      <c r="I75" s="214"/>
      <c r="J75" s="253"/>
      <c r="K75" s="219"/>
      <c r="L75" s="162"/>
      <c r="M75" s="158">
        <f t="shared" si="5"/>
        <v>0</v>
      </c>
      <c r="N75" s="267">
        <f t="shared" si="6"/>
        <v>0</v>
      </c>
      <c r="O75" s="268">
        <f t="shared" si="7"/>
        <v>0</v>
      </c>
      <c r="P75" s="264">
        <f t="shared" si="8"/>
        <v>0</v>
      </c>
      <c r="Q75" s="294"/>
      <c r="R75" s="277"/>
      <c r="S75" s="272"/>
      <c r="T75" s="290"/>
      <c r="U75" s="7"/>
      <c r="V75" s="7"/>
    </row>
    <row r="76" spans="1:22" s="5" customFormat="1" ht="18.75" hidden="1" customHeight="1">
      <c r="A76" s="160"/>
      <c r="B76" s="161" t="s">
        <v>45</v>
      </c>
      <c r="C76" s="214"/>
      <c r="D76" s="253"/>
      <c r="E76" s="219"/>
      <c r="F76" s="214">
        <f t="shared" si="4"/>
        <v>0</v>
      </c>
      <c r="G76" s="253"/>
      <c r="H76" s="219"/>
      <c r="I76" s="214"/>
      <c r="J76" s="253"/>
      <c r="K76" s="219"/>
      <c r="L76" s="162"/>
      <c r="M76" s="158">
        <f t="shared" si="5"/>
        <v>0</v>
      </c>
      <c r="N76" s="267">
        <f t="shared" si="6"/>
        <v>0</v>
      </c>
      <c r="O76" s="268">
        <f t="shared" si="7"/>
        <v>0</v>
      </c>
      <c r="P76" s="264">
        <f t="shared" si="8"/>
        <v>0</v>
      </c>
      <c r="Q76" s="294"/>
      <c r="R76" s="277"/>
      <c r="S76" s="272"/>
      <c r="T76" s="290"/>
      <c r="U76" s="7"/>
      <c r="V76" s="7"/>
    </row>
    <row r="77" spans="1:22" s="5" customFormat="1" ht="18.75" hidden="1" customHeight="1">
      <c r="A77" s="160" t="s">
        <v>93</v>
      </c>
      <c r="B77" s="161" t="s">
        <v>94</v>
      </c>
      <c r="C77" s="214"/>
      <c r="D77" s="253"/>
      <c r="E77" s="219"/>
      <c r="F77" s="214">
        <f t="shared" si="4"/>
        <v>0</v>
      </c>
      <c r="G77" s="253"/>
      <c r="H77" s="219"/>
      <c r="I77" s="214"/>
      <c r="J77" s="253"/>
      <c r="K77" s="219"/>
      <c r="L77" s="162"/>
      <c r="M77" s="158">
        <f t="shared" si="5"/>
        <v>0</v>
      </c>
      <c r="N77" s="267">
        <f t="shared" si="6"/>
        <v>0</v>
      </c>
      <c r="O77" s="268">
        <f t="shared" si="7"/>
        <v>0</v>
      </c>
      <c r="P77" s="264">
        <f t="shared" si="8"/>
        <v>0</v>
      </c>
      <c r="Q77" s="294"/>
      <c r="R77" s="277"/>
      <c r="S77" s="272"/>
      <c r="T77" s="290"/>
      <c r="U77" s="7"/>
      <c r="V77" s="7"/>
    </row>
    <row r="78" spans="1:22" s="5" customFormat="1" ht="18.75" hidden="1" customHeight="1">
      <c r="A78" s="160" t="s">
        <v>95</v>
      </c>
      <c r="B78" s="178" t="s">
        <v>72</v>
      </c>
      <c r="C78" s="214"/>
      <c r="D78" s="253"/>
      <c r="E78" s="219"/>
      <c r="F78" s="214">
        <f t="shared" si="4"/>
        <v>0</v>
      </c>
      <c r="G78" s="253"/>
      <c r="H78" s="219"/>
      <c r="I78" s="214"/>
      <c r="J78" s="253"/>
      <c r="K78" s="219"/>
      <c r="L78" s="162"/>
      <c r="M78" s="158">
        <f t="shared" si="5"/>
        <v>0</v>
      </c>
      <c r="N78" s="267">
        <f t="shared" si="6"/>
        <v>0</v>
      </c>
      <c r="O78" s="268">
        <f t="shared" si="7"/>
        <v>0</v>
      </c>
      <c r="P78" s="264">
        <f t="shared" si="8"/>
        <v>0</v>
      </c>
      <c r="Q78" s="294"/>
      <c r="R78" s="277"/>
      <c r="S78" s="272"/>
      <c r="T78" s="290"/>
      <c r="U78" s="7"/>
      <c r="V78" s="7"/>
    </row>
    <row r="79" spans="1:22" s="5" customFormat="1" ht="18.75" hidden="1" customHeight="1">
      <c r="A79" s="160" t="s">
        <v>96</v>
      </c>
      <c r="B79" s="178" t="s">
        <v>74</v>
      </c>
      <c r="C79" s="214"/>
      <c r="D79" s="253"/>
      <c r="E79" s="219"/>
      <c r="F79" s="214">
        <f t="shared" si="4"/>
        <v>0</v>
      </c>
      <c r="G79" s="253"/>
      <c r="H79" s="219"/>
      <c r="I79" s="214"/>
      <c r="J79" s="253"/>
      <c r="K79" s="219"/>
      <c r="L79" s="162"/>
      <c r="M79" s="158">
        <f t="shared" si="5"/>
        <v>0</v>
      </c>
      <c r="N79" s="267">
        <f t="shared" si="6"/>
        <v>0</v>
      </c>
      <c r="O79" s="268">
        <f t="shared" si="7"/>
        <v>0</v>
      </c>
      <c r="P79" s="264">
        <f t="shared" si="8"/>
        <v>0</v>
      </c>
      <c r="Q79" s="294"/>
      <c r="R79" s="277"/>
      <c r="S79" s="272"/>
      <c r="T79" s="290"/>
      <c r="U79" s="7"/>
      <c r="V79" s="7"/>
    </row>
    <row r="80" spans="1:22" s="5" customFormat="1" ht="18.75" hidden="1" customHeight="1">
      <c r="A80" s="160" t="s">
        <v>97</v>
      </c>
      <c r="B80" s="178" t="s">
        <v>76</v>
      </c>
      <c r="C80" s="214"/>
      <c r="D80" s="253"/>
      <c r="E80" s="219"/>
      <c r="F80" s="214">
        <f t="shared" ref="F80:F138" si="9">I80-C80</f>
        <v>0</v>
      </c>
      <c r="G80" s="253"/>
      <c r="H80" s="219"/>
      <c r="I80" s="214"/>
      <c r="J80" s="253"/>
      <c r="K80" s="219"/>
      <c r="L80" s="162"/>
      <c r="M80" s="158">
        <f t="shared" si="5"/>
        <v>0</v>
      </c>
      <c r="N80" s="267">
        <f t="shared" si="6"/>
        <v>0</v>
      </c>
      <c r="O80" s="268">
        <f t="shared" si="7"/>
        <v>0</v>
      </c>
      <c r="P80" s="264">
        <f t="shared" si="8"/>
        <v>0</v>
      </c>
      <c r="Q80" s="294"/>
      <c r="R80" s="277"/>
      <c r="S80" s="272"/>
      <c r="T80" s="290"/>
      <c r="U80" s="7"/>
      <c r="V80" s="7"/>
    </row>
    <row r="81" spans="1:22" s="159" customFormat="1" ht="18.75" hidden="1" customHeight="1">
      <c r="A81" s="153" t="s">
        <v>98</v>
      </c>
      <c r="B81" s="154" t="s">
        <v>99</v>
      </c>
      <c r="C81" s="257"/>
      <c r="D81" s="254"/>
      <c r="E81" s="218"/>
      <c r="F81" s="211">
        <f t="shared" si="9"/>
        <v>0</v>
      </c>
      <c r="G81" s="251"/>
      <c r="H81" s="218"/>
      <c r="I81" s="257"/>
      <c r="J81" s="254"/>
      <c r="K81" s="218"/>
      <c r="L81" s="155"/>
      <c r="M81" s="158">
        <f t="shared" si="5"/>
        <v>0</v>
      </c>
      <c r="N81" s="267">
        <f t="shared" si="6"/>
        <v>0</v>
      </c>
      <c r="O81" s="268">
        <f t="shared" si="7"/>
        <v>0</v>
      </c>
      <c r="P81" s="264">
        <f t="shared" si="8"/>
        <v>0</v>
      </c>
      <c r="Q81" s="297"/>
      <c r="R81" s="277"/>
      <c r="S81" s="272"/>
      <c r="T81" s="290"/>
      <c r="U81" s="158"/>
      <c r="V81" s="158"/>
    </row>
    <row r="82" spans="1:22" s="5" customFormat="1" ht="18.75" hidden="1" customHeight="1">
      <c r="A82" s="160"/>
      <c r="B82" s="161" t="s">
        <v>11</v>
      </c>
      <c r="C82" s="214"/>
      <c r="D82" s="253"/>
      <c r="E82" s="219"/>
      <c r="F82" s="214">
        <f t="shared" si="9"/>
        <v>0</v>
      </c>
      <c r="G82" s="253"/>
      <c r="H82" s="219"/>
      <c r="I82" s="214"/>
      <c r="J82" s="253"/>
      <c r="K82" s="219"/>
      <c r="L82" s="162"/>
      <c r="M82" s="158">
        <f t="shared" si="5"/>
        <v>0</v>
      </c>
      <c r="N82" s="267">
        <f t="shared" si="6"/>
        <v>0</v>
      </c>
      <c r="O82" s="268">
        <f t="shared" si="7"/>
        <v>0</v>
      </c>
      <c r="P82" s="264">
        <f t="shared" si="8"/>
        <v>0</v>
      </c>
      <c r="Q82" s="294"/>
      <c r="R82" s="277"/>
      <c r="S82" s="272"/>
      <c r="T82" s="290"/>
      <c r="U82" s="7"/>
      <c r="V82" s="7"/>
    </row>
    <row r="83" spans="1:22" s="5" customFormat="1" ht="18.75" hidden="1" customHeight="1">
      <c r="A83" s="160" t="s">
        <v>100</v>
      </c>
      <c r="B83" s="161" t="s">
        <v>49</v>
      </c>
      <c r="C83" s="214"/>
      <c r="D83" s="253"/>
      <c r="E83" s="219"/>
      <c r="F83" s="214">
        <f t="shared" si="9"/>
        <v>0</v>
      </c>
      <c r="G83" s="253"/>
      <c r="H83" s="219"/>
      <c r="I83" s="214"/>
      <c r="J83" s="253"/>
      <c r="K83" s="219"/>
      <c r="L83" s="162"/>
      <c r="M83" s="158">
        <f t="shared" si="5"/>
        <v>0</v>
      </c>
      <c r="N83" s="267">
        <f t="shared" si="6"/>
        <v>0</v>
      </c>
      <c r="O83" s="268">
        <f t="shared" si="7"/>
        <v>0</v>
      </c>
      <c r="P83" s="264">
        <f t="shared" si="8"/>
        <v>0</v>
      </c>
      <c r="Q83" s="294"/>
      <c r="R83" s="277"/>
      <c r="S83" s="272"/>
      <c r="T83" s="290"/>
      <c r="U83" s="7"/>
      <c r="V83" s="7"/>
    </row>
    <row r="84" spans="1:22" s="5" customFormat="1" ht="18.75" hidden="1" customHeight="1">
      <c r="A84" s="160" t="s">
        <v>101</v>
      </c>
      <c r="B84" s="161" t="s">
        <v>15</v>
      </c>
      <c r="C84" s="214">
        <f>C86</f>
        <v>0</v>
      </c>
      <c r="D84" s="253">
        <f>D86</f>
        <v>0</v>
      </c>
      <c r="E84" s="219"/>
      <c r="F84" s="214">
        <f t="shared" si="9"/>
        <v>0</v>
      </c>
      <c r="G84" s="253">
        <f>G86</f>
        <v>0</v>
      </c>
      <c r="H84" s="219"/>
      <c r="I84" s="214">
        <f>I86</f>
        <v>0</v>
      </c>
      <c r="J84" s="253">
        <f>J86</f>
        <v>0</v>
      </c>
      <c r="K84" s="219"/>
      <c r="L84" s="162"/>
      <c r="M84" s="158">
        <f t="shared" si="5"/>
        <v>0</v>
      </c>
      <c r="N84" s="267">
        <f t="shared" si="6"/>
        <v>0</v>
      </c>
      <c r="O84" s="268">
        <f t="shared" si="7"/>
        <v>0</v>
      </c>
      <c r="P84" s="264">
        <f t="shared" si="8"/>
        <v>0</v>
      </c>
      <c r="Q84" s="294"/>
      <c r="R84" s="277"/>
      <c r="S84" s="272"/>
      <c r="T84" s="290"/>
      <c r="U84" s="7"/>
      <c r="V84" s="7"/>
    </row>
    <row r="85" spans="1:22" s="5" customFormat="1" ht="18.75" hidden="1" customHeight="1">
      <c r="A85" s="160"/>
      <c r="B85" s="161" t="s">
        <v>102</v>
      </c>
      <c r="C85" s="214"/>
      <c r="D85" s="253"/>
      <c r="E85" s="219"/>
      <c r="F85" s="214">
        <f t="shared" si="9"/>
        <v>0</v>
      </c>
      <c r="G85" s="253"/>
      <c r="H85" s="219"/>
      <c r="I85" s="214"/>
      <c r="J85" s="253"/>
      <c r="K85" s="219"/>
      <c r="L85" s="162"/>
      <c r="M85" s="158">
        <f t="shared" si="5"/>
        <v>0</v>
      </c>
      <c r="N85" s="267">
        <f t="shared" si="6"/>
        <v>0</v>
      </c>
      <c r="O85" s="268">
        <f t="shared" si="7"/>
        <v>0</v>
      </c>
      <c r="P85" s="264">
        <f t="shared" si="8"/>
        <v>0</v>
      </c>
      <c r="Q85" s="294"/>
      <c r="R85" s="277"/>
      <c r="S85" s="272"/>
      <c r="T85" s="290"/>
      <c r="U85" s="7"/>
      <c r="V85" s="7"/>
    </row>
    <row r="86" spans="1:22" s="5" customFormat="1" ht="18.75" hidden="1" customHeight="1">
      <c r="A86" s="160" t="s">
        <v>103</v>
      </c>
      <c r="B86" s="161" t="s">
        <v>335</v>
      </c>
      <c r="C86" s="214"/>
      <c r="D86" s="253"/>
      <c r="E86" s="219"/>
      <c r="F86" s="214">
        <f t="shared" si="9"/>
        <v>0</v>
      </c>
      <c r="G86" s="253"/>
      <c r="H86" s="219"/>
      <c r="I86" s="214"/>
      <c r="J86" s="253"/>
      <c r="K86" s="219"/>
      <c r="L86" s="162"/>
      <c r="M86" s="158">
        <f t="shared" si="5"/>
        <v>0</v>
      </c>
      <c r="N86" s="267">
        <f t="shared" si="6"/>
        <v>0</v>
      </c>
      <c r="O86" s="268">
        <f t="shared" si="7"/>
        <v>0</v>
      </c>
      <c r="P86" s="264">
        <f t="shared" si="8"/>
        <v>0</v>
      </c>
      <c r="Q86" s="294"/>
      <c r="R86" s="277"/>
      <c r="S86" s="272"/>
      <c r="T86" s="290"/>
      <c r="U86" s="7"/>
      <c r="V86" s="7"/>
    </row>
    <row r="87" spans="1:22" s="5" customFormat="1" ht="18.75" hidden="1" customHeight="1">
      <c r="A87" s="160" t="s">
        <v>104</v>
      </c>
      <c r="B87" s="161" t="s">
        <v>54</v>
      </c>
      <c r="C87" s="214"/>
      <c r="D87" s="253"/>
      <c r="E87" s="219"/>
      <c r="F87" s="214">
        <f t="shared" si="9"/>
        <v>0</v>
      </c>
      <c r="G87" s="253"/>
      <c r="H87" s="219"/>
      <c r="I87" s="214"/>
      <c r="J87" s="253"/>
      <c r="K87" s="219"/>
      <c r="L87" s="162"/>
      <c r="M87" s="158">
        <f t="shared" si="5"/>
        <v>0</v>
      </c>
      <c r="N87" s="267">
        <f t="shared" si="6"/>
        <v>0</v>
      </c>
      <c r="O87" s="268">
        <f t="shared" si="7"/>
        <v>0</v>
      </c>
      <c r="P87" s="264">
        <f t="shared" si="8"/>
        <v>0</v>
      </c>
      <c r="Q87" s="294"/>
      <c r="R87" s="277"/>
      <c r="S87" s="272"/>
      <c r="T87" s="290"/>
      <c r="U87" s="7"/>
      <c r="V87" s="7"/>
    </row>
    <row r="88" spans="1:22" s="5" customFormat="1" ht="18.75" hidden="1" customHeight="1">
      <c r="A88" s="160"/>
      <c r="B88" s="161" t="s">
        <v>45</v>
      </c>
      <c r="C88" s="214"/>
      <c r="D88" s="253"/>
      <c r="E88" s="219"/>
      <c r="F88" s="214">
        <f t="shared" si="9"/>
        <v>0</v>
      </c>
      <c r="G88" s="253"/>
      <c r="H88" s="219"/>
      <c r="I88" s="214"/>
      <c r="J88" s="253"/>
      <c r="K88" s="219"/>
      <c r="L88" s="162"/>
      <c r="M88" s="158">
        <f t="shared" si="5"/>
        <v>0</v>
      </c>
      <c r="N88" s="267">
        <f t="shared" si="6"/>
        <v>0</v>
      </c>
      <c r="O88" s="268">
        <f t="shared" si="7"/>
        <v>0</v>
      </c>
      <c r="P88" s="264">
        <f t="shared" si="8"/>
        <v>0</v>
      </c>
      <c r="Q88" s="294"/>
      <c r="R88" s="277"/>
      <c r="S88" s="272"/>
      <c r="T88" s="290"/>
      <c r="U88" s="7"/>
      <c r="V88" s="7"/>
    </row>
    <row r="89" spans="1:22" s="159" customFormat="1" ht="18.75" hidden="1" customHeight="1">
      <c r="A89" s="153" t="s">
        <v>105</v>
      </c>
      <c r="B89" s="154" t="s">
        <v>56</v>
      </c>
      <c r="C89" s="214"/>
      <c r="D89" s="253"/>
      <c r="E89" s="218"/>
      <c r="F89" s="211">
        <f t="shared" si="9"/>
        <v>0</v>
      </c>
      <c r="G89" s="251"/>
      <c r="H89" s="218"/>
      <c r="I89" s="214"/>
      <c r="J89" s="253"/>
      <c r="K89" s="218"/>
      <c r="L89" s="155"/>
      <c r="M89" s="158">
        <f t="shared" si="5"/>
        <v>0</v>
      </c>
      <c r="N89" s="267">
        <f t="shared" si="6"/>
        <v>0</v>
      </c>
      <c r="O89" s="268">
        <f t="shared" si="7"/>
        <v>0</v>
      </c>
      <c r="P89" s="264">
        <f t="shared" si="8"/>
        <v>0</v>
      </c>
      <c r="Q89" s="297"/>
      <c r="R89" s="277"/>
      <c r="S89" s="272"/>
      <c r="T89" s="290"/>
      <c r="U89" s="158"/>
      <c r="V89" s="158"/>
    </row>
    <row r="90" spans="1:22" s="182" customFormat="1" ht="18.75" hidden="1" customHeight="1">
      <c r="A90" s="153" t="s">
        <v>106</v>
      </c>
      <c r="B90" s="154" t="s">
        <v>58</v>
      </c>
      <c r="C90" s="214"/>
      <c r="D90" s="253"/>
      <c r="E90" s="218"/>
      <c r="F90" s="211">
        <f t="shared" si="9"/>
        <v>0</v>
      </c>
      <c r="G90" s="251"/>
      <c r="H90" s="218"/>
      <c r="I90" s="214"/>
      <c r="J90" s="253"/>
      <c r="K90" s="218"/>
      <c r="L90" s="155"/>
      <c r="M90" s="158">
        <f t="shared" si="5"/>
        <v>0</v>
      </c>
      <c r="N90" s="267">
        <f t="shared" si="6"/>
        <v>0</v>
      </c>
      <c r="O90" s="268">
        <f t="shared" si="7"/>
        <v>0</v>
      </c>
      <c r="P90" s="264">
        <f t="shared" si="8"/>
        <v>0</v>
      </c>
      <c r="Q90" s="298"/>
      <c r="R90" s="277"/>
      <c r="S90" s="272"/>
      <c r="T90" s="290"/>
      <c r="U90" s="181"/>
      <c r="V90" s="181"/>
    </row>
    <row r="91" spans="1:22" s="5" customFormat="1" ht="18.75" hidden="1" customHeight="1">
      <c r="A91" s="160"/>
      <c r="B91" s="161" t="s">
        <v>28</v>
      </c>
      <c r="C91" s="214"/>
      <c r="D91" s="253"/>
      <c r="E91" s="219"/>
      <c r="F91" s="214">
        <f t="shared" si="9"/>
        <v>0</v>
      </c>
      <c r="G91" s="253"/>
      <c r="H91" s="219"/>
      <c r="I91" s="214"/>
      <c r="J91" s="253"/>
      <c r="K91" s="219"/>
      <c r="L91" s="162"/>
      <c r="M91" s="158">
        <f t="shared" si="5"/>
        <v>0</v>
      </c>
      <c r="N91" s="267">
        <f t="shared" si="6"/>
        <v>0</v>
      </c>
      <c r="O91" s="268">
        <f t="shared" si="7"/>
        <v>0</v>
      </c>
      <c r="P91" s="264">
        <f t="shared" si="8"/>
        <v>0</v>
      </c>
      <c r="Q91" s="294"/>
      <c r="R91" s="277"/>
      <c r="S91" s="272"/>
      <c r="T91" s="290"/>
      <c r="U91" s="7"/>
      <c r="V91" s="7"/>
    </row>
    <row r="92" spans="1:22" s="5" customFormat="1" ht="18.75" hidden="1" customHeight="1">
      <c r="A92" s="160" t="s">
        <v>107</v>
      </c>
      <c r="B92" s="161" t="s">
        <v>30</v>
      </c>
      <c r="C92" s="214"/>
      <c r="D92" s="253"/>
      <c r="E92" s="219"/>
      <c r="F92" s="214">
        <f t="shared" si="9"/>
        <v>0</v>
      </c>
      <c r="G92" s="253"/>
      <c r="H92" s="219"/>
      <c r="I92" s="214"/>
      <c r="J92" s="253"/>
      <c r="K92" s="219"/>
      <c r="L92" s="162"/>
      <c r="M92" s="158">
        <f t="shared" si="5"/>
        <v>0</v>
      </c>
      <c r="N92" s="267">
        <f t="shared" si="6"/>
        <v>0</v>
      </c>
      <c r="O92" s="268">
        <f t="shared" si="7"/>
        <v>0</v>
      </c>
      <c r="P92" s="264">
        <f t="shared" si="8"/>
        <v>0</v>
      </c>
      <c r="Q92" s="294"/>
      <c r="R92" s="277"/>
      <c r="S92" s="272"/>
      <c r="T92" s="290"/>
      <c r="U92" s="7"/>
      <c r="V92" s="7"/>
    </row>
    <row r="93" spans="1:22" s="185" customFormat="1" ht="19.5" hidden="1" customHeight="1">
      <c r="A93" s="160" t="s">
        <v>108</v>
      </c>
      <c r="B93" s="161" t="s">
        <v>109</v>
      </c>
      <c r="C93" s="214"/>
      <c r="D93" s="253"/>
      <c r="E93" s="220"/>
      <c r="F93" s="215">
        <f t="shared" si="9"/>
        <v>0</v>
      </c>
      <c r="G93" s="260"/>
      <c r="H93" s="220"/>
      <c r="I93" s="214"/>
      <c r="J93" s="253"/>
      <c r="K93" s="220"/>
      <c r="L93" s="162"/>
      <c r="M93" s="158">
        <f t="shared" si="5"/>
        <v>0</v>
      </c>
      <c r="N93" s="267">
        <f t="shared" si="6"/>
        <v>0</v>
      </c>
      <c r="O93" s="268">
        <f t="shared" si="7"/>
        <v>0</v>
      </c>
      <c r="P93" s="264">
        <f t="shared" si="8"/>
        <v>0</v>
      </c>
      <c r="Q93" s="299"/>
      <c r="R93" s="277"/>
      <c r="S93" s="272"/>
      <c r="T93" s="290"/>
      <c r="U93" s="184"/>
      <c r="V93" s="184"/>
    </row>
    <row r="94" spans="1:22" s="5" customFormat="1" ht="18.75" hidden="1" customHeight="1">
      <c r="A94" s="160"/>
      <c r="B94" s="161" t="s">
        <v>28</v>
      </c>
      <c r="C94" s="214"/>
      <c r="D94" s="253"/>
      <c r="E94" s="219"/>
      <c r="F94" s="214">
        <f t="shared" si="9"/>
        <v>0</v>
      </c>
      <c r="G94" s="253"/>
      <c r="H94" s="219"/>
      <c r="I94" s="214"/>
      <c r="J94" s="253"/>
      <c r="K94" s="219"/>
      <c r="L94" s="162"/>
      <c r="M94" s="158">
        <f t="shared" si="5"/>
        <v>0</v>
      </c>
      <c r="N94" s="267">
        <f t="shared" si="6"/>
        <v>0</v>
      </c>
      <c r="O94" s="268">
        <f t="shared" si="7"/>
        <v>0</v>
      </c>
      <c r="P94" s="264">
        <f t="shared" si="8"/>
        <v>0</v>
      </c>
      <c r="Q94" s="294"/>
      <c r="R94" s="277"/>
      <c r="S94" s="272"/>
      <c r="T94" s="290"/>
      <c r="U94" s="7"/>
      <c r="V94" s="7"/>
    </row>
    <row r="95" spans="1:22" s="5" customFormat="1" ht="18.75" hidden="1" customHeight="1">
      <c r="A95" s="171" t="s">
        <v>110</v>
      </c>
      <c r="B95" s="161" t="s">
        <v>335</v>
      </c>
      <c r="C95" s="214"/>
      <c r="D95" s="253"/>
      <c r="E95" s="219"/>
      <c r="F95" s="214">
        <f t="shared" si="9"/>
        <v>0</v>
      </c>
      <c r="G95" s="253"/>
      <c r="H95" s="219"/>
      <c r="I95" s="214"/>
      <c r="J95" s="253"/>
      <c r="K95" s="219"/>
      <c r="L95" s="162"/>
      <c r="M95" s="158">
        <f t="shared" si="5"/>
        <v>0</v>
      </c>
      <c r="N95" s="267">
        <f t="shared" si="6"/>
        <v>0</v>
      </c>
      <c r="O95" s="268">
        <f t="shared" si="7"/>
        <v>0</v>
      </c>
      <c r="P95" s="264">
        <f t="shared" si="8"/>
        <v>0</v>
      </c>
      <c r="Q95" s="294"/>
      <c r="R95" s="277"/>
      <c r="S95" s="272"/>
      <c r="T95" s="290"/>
      <c r="U95" s="7"/>
      <c r="V95" s="7"/>
    </row>
    <row r="96" spans="1:22" s="5" customFormat="1" ht="37.5" hidden="1" customHeight="1">
      <c r="A96" s="171" t="s">
        <v>111</v>
      </c>
      <c r="B96" s="172" t="s">
        <v>112</v>
      </c>
      <c r="C96" s="214"/>
      <c r="D96" s="253"/>
      <c r="E96" s="219"/>
      <c r="F96" s="214">
        <f t="shared" si="9"/>
        <v>0</v>
      </c>
      <c r="G96" s="253"/>
      <c r="H96" s="219"/>
      <c r="I96" s="214"/>
      <c r="J96" s="253"/>
      <c r="K96" s="219"/>
      <c r="L96" s="162"/>
      <c r="M96" s="158">
        <f t="shared" si="5"/>
        <v>0</v>
      </c>
      <c r="N96" s="267">
        <f t="shared" si="6"/>
        <v>0</v>
      </c>
      <c r="O96" s="268">
        <f t="shared" si="7"/>
        <v>0</v>
      </c>
      <c r="P96" s="264">
        <f t="shared" si="8"/>
        <v>0</v>
      </c>
      <c r="Q96" s="294"/>
      <c r="R96" s="277"/>
      <c r="S96" s="272"/>
      <c r="T96" s="290"/>
      <c r="U96" s="7"/>
      <c r="V96" s="7"/>
    </row>
    <row r="97" spans="1:22" s="5" customFormat="1" ht="18.75" hidden="1" customHeight="1">
      <c r="A97" s="171" t="s">
        <v>113</v>
      </c>
      <c r="B97" s="172" t="s">
        <v>54</v>
      </c>
      <c r="C97" s="214"/>
      <c r="D97" s="253"/>
      <c r="E97" s="219"/>
      <c r="F97" s="214">
        <f t="shared" si="9"/>
        <v>0</v>
      </c>
      <c r="G97" s="253"/>
      <c r="H97" s="219"/>
      <c r="I97" s="214"/>
      <c r="J97" s="253"/>
      <c r="K97" s="219"/>
      <c r="L97" s="162"/>
      <c r="M97" s="158">
        <f t="shared" si="5"/>
        <v>0</v>
      </c>
      <c r="N97" s="267">
        <f t="shared" si="6"/>
        <v>0</v>
      </c>
      <c r="O97" s="268">
        <f t="shared" si="7"/>
        <v>0</v>
      </c>
      <c r="P97" s="264">
        <f t="shared" si="8"/>
        <v>0</v>
      </c>
      <c r="Q97" s="294"/>
      <c r="R97" s="277"/>
      <c r="S97" s="272"/>
      <c r="T97" s="290"/>
      <c r="U97" s="7"/>
      <c r="V97" s="7"/>
    </row>
    <row r="98" spans="1:22" s="5" customFormat="1" ht="37.5" hidden="1" customHeight="1">
      <c r="A98" s="171" t="s">
        <v>114</v>
      </c>
      <c r="B98" s="172" t="s">
        <v>115</v>
      </c>
      <c r="C98" s="214"/>
      <c r="D98" s="253"/>
      <c r="E98" s="219"/>
      <c r="F98" s="214">
        <f t="shared" si="9"/>
        <v>0</v>
      </c>
      <c r="G98" s="253"/>
      <c r="H98" s="219"/>
      <c r="I98" s="214"/>
      <c r="J98" s="253"/>
      <c r="K98" s="219"/>
      <c r="L98" s="162"/>
      <c r="M98" s="158">
        <f t="shared" si="5"/>
        <v>0</v>
      </c>
      <c r="N98" s="267">
        <f t="shared" si="6"/>
        <v>0</v>
      </c>
      <c r="O98" s="268">
        <f t="shared" si="7"/>
        <v>0</v>
      </c>
      <c r="P98" s="264">
        <f t="shared" si="8"/>
        <v>0</v>
      </c>
      <c r="Q98" s="294"/>
      <c r="R98" s="277"/>
      <c r="S98" s="272"/>
      <c r="T98" s="290"/>
      <c r="U98" s="7"/>
      <c r="V98" s="7"/>
    </row>
    <row r="99" spans="1:22" s="187" customFormat="1" ht="19.5" hidden="1" customHeight="1" thickBot="1">
      <c r="A99" s="186"/>
      <c r="B99" s="161" t="s">
        <v>45</v>
      </c>
      <c r="C99" s="224"/>
      <c r="D99" s="255"/>
      <c r="E99" s="219"/>
      <c r="F99" s="214">
        <f t="shared" si="9"/>
        <v>0</v>
      </c>
      <c r="G99" s="253"/>
      <c r="H99" s="219"/>
      <c r="I99" s="224"/>
      <c r="J99" s="255"/>
      <c r="K99" s="219"/>
      <c r="L99" s="162"/>
      <c r="M99" s="158">
        <f t="shared" si="5"/>
        <v>0</v>
      </c>
      <c r="N99" s="267">
        <f t="shared" si="6"/>
        <v>0</v>
      </c>
      <c r="O99" s="268">
        <f t="shared" si="7"/>
        <v>0</v>
      </c>
      <c r="P99" s="264">
        <f t="shared" si="8"/>
        <v>0</v>
      </c>
      <c r="Q99" s="298"/>
      <c r="R99" s="277"/>
      <c r="S99" s="272"/>
      <c r="T99" s="290"/>
      <c r="U99" s="181"/>
      <c r="V99" s="181"/>
    </row>
    <row r="100" spans="1:22" s="5" customFormat="1" ht="18.75" hidden="1" customHeight="1">
      <c r="A100" s="160" t="s">
        <v>116</v>
      </c>
      <c r="B100" s="161" t="s">
        <v>117</v>
      </c>
      <c r="C100" s="214"/>
      <c r="D100" s="253"/>
      <c r="E100" s="219"/>
      <c r="F100" s="214">
        <f t="shared" si="9"/>
        <v>0</v>
      </c>
      <c r="G100" s="253"/>
      <c r="H100" s="219"/>
      <c r="I100" s="214"/>
      <c r="J100" s="253"/>
      <c r="K100" s="219"/>
      <c r="L100" s="162"/>
      <c r="M100" s="158">
        <f t="shared" si="5"/>
        <v>0</v>
      </c>
      <c r="N100" s="267">
        <f t="shared" si="6"/>
        <v>0</v>
      </c>
      <c r="O100" s="268">
        <f t="shared" si="7"/>
        <v>0</v>
      </c>
      <c r="P100" s="264">
        <f t="shared" si="8"/>
        <v>0</v>
      </c>
      <c r="Q100" s="294"/>
      <c r="R100" s="277"/>
      <c r="S100" s="272"/>
      <c r="T100" s="290"/>
      <c r="U100" s="7"/>
      <c r="V100" s="7"/>
    </row>
    <row r="101" spans="1:22" s="5" customFormat="1" ht="18.75" hidden="1" customHeight="1">
      <c r="A101" s="160" t="s">
        <v>118</v>
      </c>
      <c r="B101" s="178" t="s">
        <v>74</v>
      </c>
      <c r="C101" s="258"/>
      <c r="D101" s="256"/>
      <c r="E101" s="219"/>
      <c r="F101" s="214">
        <f t="shared" si="9"/>
        <v>0</v>
      </c>
      <c r="G101" s="253"/>
      <c r="H101" s="219"/>
      <c r="I101" s="258"/>
      <c r="J101" s="256"/>
      <c r="K101" s="219"/>
      <c r="L101" s="162"/>
      <c r="M101" s="158">
        <f t="shared" si="5"/>
        <v>0</v>
      </c>
      <c r="N101" s="267">
        <f t="shared" si="6"/>
        <v>0</v>
      </c>
      <c r="O101" s="268">
        <f t="shared" si="7"/>
        <v>0</v>
      </c>
      <c r="P101" s="264">
        <f t="shared" si="8"/>
        <v>0</v>
      </c>
      <c r="Q101" s="294"/>
      <c r="R101" s="277"/>
      <c r="S101" s="272"/>
      <c r="T101" s="290"/>
      <c r="U101" s="7"/>
      <c r="V101" s="7"/>
    </row>
    <row r="102" spans="1:22" s="5" customFormat="1" ht="18.75" hidden="1" customHeight="1">
      <c r="A102" s="160" t="s">
        <v>119</v>
      </c>
      <c r="B102" s="178" t="s">
        <v>76</v>
      </c>
      <c r="C102" s="214"/>
      <c r="D102" s="253"/>
      <c r="E102" s="219"/>
      <c r="F102" s="214">
        <f t="shared" si="9"/>
        <v>0</v>
      </c>
      <c r="G102" s="253"/>
      <c r="H102" s="219"/>
      <c r="I102" s="214"/>
      <c r="J102" s="253"/>
      <c r="K102" s="219"/>
      <c r="L102" s="162"/>
      <c r="M102" s="158">
        <f t="shared" si="5"/>
        <v>0</v>
      </c>
      <c r="N102" s="267">
        <f t="shared" si="6"/>
        <v>0</v>
      </c>
      <c r="O102" s="268">
        <f t="shared" si="7"/>
        <v>0</v>
      </c>
      <c r="P102" s="264">
        <f t="shared" si="8"/>
        <v>0</v>
      </c>
      <c r="Q102" s="294"/>
      <c r="R102" s="277"/>
      <c r="S102" s="272"/>
      <c r="T102" s="290"/>
      <c r="U102" s="7"/>
      <c r="V102" s="7"/>
    </row>
    <row r="103" spans="1:22" s="159" customFormat="1" ht="18.75">
      <c r="A103" s="153" t="s">
        <v>120</v>
      </c>
      <c r="B103" s="154" t="s">
        <v>121</v>
      </c>
      <c r="C103" s="211">
        <f>C106+C105</f>
        <v>349201.71968686813</v>
      </c>
      <c r="D103" s="251">
        <f>D106+D105</f>
        <v>110.68715688381771</v>
      </c>
      <c r="E103" s="218"/>
      <c r="F103" s="211">
        <f>F106+F105</f>
        <v>298970.42954313185</v>
      </c>
      <c r="G103" s="251">
        <f>G106+G105</f>
        <v>94.107429111546082</v>
      </c>
      <c r="H103" s="218"/>
      <c r="I103" s="211">
        <f>I106+I105</f>
        <v>648172.1492300001</v>
      </c>
      <c r="J103" s="251">
        <f>J106+J105</f>
        <v>102.3972929976819</v>
      </c>
      <c r="K103" s="218"/>
      <c r="L103" s="155"/>
      <c r="M103" s="158">
        <f t="shared" si="5"/>
        <v>102.39729299768189</v>
      </c>
      <c r="N103" s="267">
        <f t="shared" si="6"/>
        <v>0</v>
      </c>
      <c r="O103" s="268">
        <f t="shared" si="7"/>
        <v>648172.14922999998</v>
      </c>
      <c r="P103" s="264">
        <f t="shared" si="8"/>
        <v>0</v>
      </c>
      <c r="Q103" s="297"/>
      <c r="R103" s="277"/>
      <c r="S103" s="272"/>
      <c r="T103" s="290"/>
      <c r="U103" s="158"/>
      <c r="V103" s="158"/>
    </row>
    <row r="104" spans="1:22" s="5" customFormat="1" ht="18.75">
      <c r="A104" s="160"/>
      <c r="B104" s="161" t="s">
        <v>11</v>
      </c>
      <c r="C104" s="214"/>
      <c r="D104" s="253"/>
      <c r="E104" s="219"/>
      <c r="F104" s="214"/>
      <c r="G104" s="253"/>
      <c r="H104" s="219"/>
      <c r="I104" s="214"/>
      <c r="J104" s="253"/>
      <c r="K104" s="219"/>
      <c r="L104" s="162"/>
      <c r="M104" s="158">
        <f t="shared" si="5"/>
        <v>0</v>
      </c>
      <c r="N104" s="267">
        <f t="shared" si="6"/>
        <v>0</v>
      </c>
      <c r="O104" s="268">
        <f t="shared" si="7"/>
        <v>0</v>
      </c>
      <c r="P104" s="264">
        <f t="shared" si="8"/>
        <v>0</v>
      </c>
      <c r="Q104" s="294"/>
      <c r="R104" s="277"/>
      <c r="S104" s="272"/>
      <c r="T104" s="290"/>
      <c r="U104" s="7"/>
      <c r="V104" s="7"/>
    </row>
    <row r="105" spans="1:22" s="5" customFormat="1" ht="18.75">
      <c r="A105" s="160" t="s">
        <v>122</v>
      </c>
      <c r="B105" s="161" t="s">
        <v>13</v>
      </c>
      <c r="C105" s="214"/>
      <c r="D105" s="253"/>
      <c r="E105" s="219"/>
      <c r="F105" s="214"/>
      <c r="G105" s="253"/>
      <c r="H105" s="219"/>
      <c r="I105" s="214"/>
      <c r="J105" s="253"/>
      <c r="K105" s="219"/>
      <c r="L105" s="162"/>
      <c r="M105" s="158">
        <f t="shared" si="5"/>
        <v>0</v>
      </c>
      <c r="N105" s="267">
        <f t="shared" si="6"/>
        <v>0</v>
      </c>
      <c r="O105" s="268">
        <f t="shared" si="7"/>
        <v>0</v>
      </c>
      <c r="P105" s="264">
        <f t="shared" si="8"/>
        <v>0</v>
      </c>
      <c r="Q105" s="294"/>
      <c r="R105" s="277"/>
      <c r="S105" s="272"/>
      <c r="T105" s="290"/>
      <c r="U105" s="7"/>
      <c r="V105" s="7"/>
    </row>
    <row r="106" spans="1:22" s="5" customFormat="1" ht="18.75">
      <c r="A106" s="160" t="s">
        <v>123</v>
      </c>
      <c r="B106" s="161" t="s">
        <v>15</v>
      </c>
      <c r="C106" s="214">
        <f>C108+C109+C110+C111+C112+C113</f>
        <v>349201.71968686813</v>
      </c>
      <c r="D106" s="253">
        <f>D108+D109+D110+D111+D112+D113</f>
        <v>110.68715688381771</v>
      </c>
      <c r="E106" s="219"/>
      <c r="F106" s="214">
        <f>F108+F109+F110+F111+F112+F113</f>
        <v>298970.42954313185</v>
      </c>
      <c r="G106" s="253">
        <f>G108+G109+G110+G111+G112+G113</f>
        <v>94.107429111546082</v>
      </c>
      <c r="H106" s="219"/>
      <c r="I106" s="214">
        <f>I108+I109+I110+I111+I112+I113</f>
        <v>648172.1492300001</v>
      </c>
      <c r="J106" s="253">
        <f>J108+J109+J110+J111+J112+J113</f>
        <v>102.3972929976819</v>
      </c>
      <c r="K106" s="219"/>
      <c r="L106" s="162"/>
      <c r="M106" s="158">
        <f t="shared" si="5"/>
        <v>102.39729299768189</v>
      </c>
      <c r="N106" s="267">
        <f t="shared" si="6"/>
        <v>0</v>
      </c>
      <c r="O106" s="268">
        <f t="shared" si="7"/>
        <v>648172.14922999998</v>
      </c>
      <c r="P106" s="264">
        <f t="shared" si="8"/>
        <v>0</v>
      </c>
      <c r="Q106" s="294"/>
      <c r="R106" s="277"/>
      <c r="S106" s="272"/>
      <c r="T106" s="290"/>
      <c r="U106" s="7"/>
      <c r="V106" s="7"/>
    </row>
    <row r="107" spans="1:22" s="5" customFormat="1" ht="18.75">
      <c r="A107" s="160"/>
      <c r="B107" s="161" t="s">
        <v>11</v>
      </c>
      <c r="C107" s="214"/>
      <c r="D107" s="253"/>
      <c r="E107" s="219"/>
      <c r="F107" s="214">
        <f t="shared" si="9"/>
        <v>0</v>
      </c>
      <c r="G107" s="253"/>
      <c r="H107" s="219"/>
      <c r="I107" s="214"/>
      <c r="J107" s="253"/>
      <c r="K107" s="219"/>
      <c r="L107" s="162"/>
      <c r="M107" s="158">
        <f t="shared" si="5"/>
        <v>0</v>
      </c>
      <c r="N107" s="267">
        <f t="shared" si="6"/>
        <v>0</v>
      </c>
      <c r="O107" s="268">
        <f t="shared" si="7"/>
        <v>0</v>
      </c>
      <c r="P107" s="264">
        <f t="shared" si="8"/>
        <v>0</v>
      </c>
      <c r="Q107" s="294"/>
      <c r="R107" s="277"/>
      <c r="S107" s="272"/>
      <c r="T107" s="290"/>
      <c r="U107" s="7"/>
      <c r="V107" s="7"/>
    </row>
    <row r="108" spans="1:22" s="5" customFormat="1" ht="18.75">
      <c r="A108" s="160" t="s">
        <v>124</v>
      </c>
      <c r="B108" s="161" t="s">
        <v>243</v>
      </c>
      <c r="C108" s="211">
        <v>22276.345000000001</v>
      </c>
      <c r="D108" s="253">
        <v>7.8310000000000004</v>
      </c>
      <c r="E108" s="253"/>
      <c r="F108" s="211">
        <v>16937.786</v>
      </c>
      <c r="G108" s="253">
        <f>(J108*2)-D108</f>
        <v>6.528999999999999</v>
      </c>
      <c r="H108" s="253"/>
      <c r="I108" s="214">
        <f>C108+F108</f>
        <v>39214.131000000001</v>
      </c>
      <c r="J108" s="253">
        <v>7.18</v>
      </c>
      <c r="K108" s="219"/>
      <c r="L108" s="162"/>
      <c r="M108" s="158">
        <f t="shared" si="5"/>
        <v>7.18</v>
      </c>
      <c r="N108" s="267">
        <f t="shared" si="6"/>
        <v>0</v>
      </c>
      <c r="O108" s="268">
        <f t="shared" si="7"/>
        <v>39214.131000000001</v>
      </c>
      <c r="P108" s="264">
        <f t="shared" si="8"/>
        <v>0</v>
      </c>
      <c r="Q108" s="294"/>
      <c r="R108" s="277"/>
      <c r="S108" s="272"/>
      <c r="T108" s="290"/>
      <c r="U108" s="7"/>
      <c r="V108" s="7"/>
    </row>
    <row r="109" spans="1:22" s="5" customFormat="1" ht="18.75">
      <c r="A109" s="160" t="s">
        <v>125</v>
      </c>
      <c r="B109" s="161" t="s">
        <v>335</v>
      </c>
      <c r="C109" s="214">
        <v>306225.37468686816</v>
      </c>
      <c r="D109" s="253">
        <v>95.909576521162506</v>
      </c>
      <c r="E109" s="219"/>
      <c r="F109" s="214">
        <f>I109-C109</f>
        <v>260235.34354313184</v>
      </c>
      <c r="G109" s="253">
        <v>80.63487086701511</v>
      </c>
      <c r="H109" s="219"/>
      <c r="I109" s="214">
        <v>566460.71823</v>
      </c>
      <c r="J109" s="253">
        <f>(D109+G109)/2</f>
        <v>88.272223694088808</v>
      </c>
      <c r="K109" s="219"/>
      <c r="L109" s="162"/>
      <c r="M109" s="158">
        <f t="shared" si="5"/>
        <v>88.272223694088808</v>
      </c>
      <c r="N109" s="267">
        <f t="shared" si="6"/>
        <v>0</v>
      </c>
      <c r="O109" s="268">
        <f t="shared" si="7"/>
        <v>566460.71823</v>
      </c>
      <c r="P109" s="264">
        <f t="shared" si="8"/>
        <v>0</v>
      </c>
      <c r="Q109" s="294"/>
      <c r="R109" s="277"/>
      <c r="S109" s="272"/>
      <c r="T109" s="290"/>
      <c r="U109" s="431"/>
      <c r="V109" s="7"/>
    </row>
    <row r="110" spans="1:22" s="5" customFormat="1" ht="18.75">
      <c r="A110" s="160" t="s">
        <v>126</v>
      </c>
      <c r="B110" s="161" t="s">
        <v>19</v>
      </c>
      <c r="C110" s="214">
        <v>0</v>
      </c>
      <c r="D110" s="253">
        <v>0</v>
      </c>
      <c r="E110" s="219"/>
      <c r="F110" s="214">
        <f t="shared" si="9"/>
        <v>0</v>
      </c>
      <c r="G110" s="253"/>
      <c r="H110" s="219"/>
      <c r="I110" s="214">
        <v>0</v>
      </c>
      <c r="J110" s="253">
        <v>0</v>
      </c>
      <c r="K110" s="219"/>
      <c r="L110" s="162"/>
      <c r="M110" s="158">
        <f t="shared" si="5"/>
        <v>0</v>
      </c>
      <c r="N110" s="267">
        <f t="shared" si="6"/>
        <v>0</v>
      </c>
      <c r="O110" s="268">
        <f t="shared" si="7"/>
        <v>0</v>
      </c>
      <c r="P110" s="264">
        <f t="shared" si="8"/>
        <v>0</v>
      </c>
      <c r="Q110" s="294"/>
      <c r="R110" s="277"/>
      <c r="S110" s="272"/>
      <c r="T110" s="290"/>
      <c r="U110" s="7"/>
      <c r="V110" s="7"/>
    </row>
    <row r="111" spans="1:22" s="5" customFormat="1" ht="18.75">
      <c r="A111" s="160" t="s">
        <v>127</v>
      </c>
      <c r="B111" s="161" t="s">
        <v>172</v>
      </c>
      <c r="C111" s="214">
        <v>1400</v>
      </c>
      <c r="D111" s="253">
        <v>0.44358036265520323</v>
      </c>
      <c r="E111" s="219"/>
      <c r="F111" s="214">
        <f>I111-C111</f>
        <v>1390</v>
      </c>
      <c r="G111" s="253">
        <f>(J111*2)-D111</f>
        <v>0.44055824453097253</v>
      </c>
      <c r="H111" s="219"/>
      <c r="I111" s="214">
        <v>2790</v>
      </c>
      <c r="J111" s="253">
        <v>0.44206930359308788</v>
      </c>
      <c r="K111" s="219"/>
      <c r="L111" s="162"/>
      <c r="M111" s="158">
        <f t="shared" si="5"/>
        <v>0.44206930359308788</v>
      </c>
      <c r="N111" s="267">
        <f t="shared" si="6"/>
        <v>0</v>
      </c>
      <c r="O111" s="268">
        <f t="shared" si="7"/>
        <v>2790</v>
      </c>
      <c r="P111" s="264">
        <f t="shared" si="8"/>
        <v>0</v>
      </c>
      <c r="Q111" s="294"/>
      <c r="R111" s="277"/>
      <c r="S111" s="272"/>
      <c r="T111" s="290"/>
      <c r="U111" s="7"/>
      <c r="V111" s="7"/>
    </row>
    <row r="112" spans="1:22" s="5" customFormat="1" ht="18.75">
      <c r="A112" s="160" t="s">
        <v>244</v>
      </c>
      <c r="B112" s="161" t="s">
        <v>247</v>
      </c>
      <c r="C112" s="214"/>
      <c r="D112" s="253"/>
      <c r="E112" s="219"/>
      <c r="F112" s="214"/>
      <c r="G112" s="253"/>
      <c r="H112" s="219"/>
      <c r="I112" s="214"/>
      <c r="J112" s="253"/>
      <c r="K112" s="219"/>
      <c r="L112" s="162"/>
      <c r="M112" s="158">
        <f t="shared" si="5"/>
        <v>0</v>
      </c>
      <c r="N112" s="267">
        <f t="shared" si="6"/>
        <v>0</v>
      </c>
      <c r="O112" s="268">
        <f t="shared" si="7"/>
        <v>0</v>
      </c>
      <c r="P112" s="264">
        <f t="shared" si="8"/>
        <v>0</v>
      </c>
      <c r="Q112" s="294"/>
      <c r="R112" s="277"/>
      <c r="S112" s="272"/>
      <c r="T112" s="290"/>
      <c r="U112" s="7"/>
      <c r="V112" s="7"/>
    </row>
    <row r="113" spans="1:22" s="5" customFormat="1" ht="37.5">
      <c r="A113" s="160" t="s">
        <v>22</v>
      </c>
      <c r="B113" s="161" t="s">
        <v>342</v>
      </c>
      <c r="C113" s="214">
        <v>19300</v>
      </c>
      <c r="D113" s="253">
        <v>6.5030000000000001</v>
      </c>
      <c r="E113" s="214"/>
      <c r="F113" s="214">
        <f>I113-C113</f>
        <v>20407.300000000003</v>
      </c>
      <c r="G113" s="253">
        <v>6.5030000000000001</v>
      </c>
      <c r="H113" s="253"/>
      <c r="I113" s="214">
        <v>39707.300000000003</v>
      </c>
      <c r="J113" s="253">
        <f>(D113+G113)/2</f>
        <v>6.5030000000000001</v>
      </c>
      <c r="K113" s="253"/>
      <c r="L113" s="162"/>
      <c r="M113" s="158">
        <f t="shared" si="5"/>
        <v>6.5030000000000001</v>
      </c>
      <c r="N113" s="267">
        <f t="shared" si="6"/>
        <v>0</v>
      </c>
      <c r="O113" s="268">
        <f t="shared" si="7"/>
        <v>39707.300000000003</v>
      </c>
      <c r="P113" s="264">
        <f t="shared" si="8"/>
        <v>0</v>
      </c>
      <c r="Q113" s="294"/>
      <c r="R113" s="277"/>
      <c r="S113" s="272"/>
      <c r="T113" s="303"/>
      <c r="U113" s="431"/>
      <c r="V113" s="7"/>
    </row>
    <row r="114" spans="1:22" s="159" customFormat="1" ht="18.75">
      <c r="A114" s="153" t="s">
        <v>128</v>
      </c>
      <c r="B114" s="154" t="s">
        <v>56</v>
      </c>
      <c r="C114" s="211">
        <v>17875.91</v>
      </c>
      <c r="D114" s="251">
        <v>6.0636621288157686</v>
      </c>
      <c r="E114" s="218"/>
      <c r="F114" s="211">
        <f t="shared" si="9"/>
        <v>15725.249999999996</v>
      </c>
      <c r="G114" s="251">
        <f>(J114*2)-D114</f>
        <v>5.4685424359210932</v>
      </c>
      <c r="H114" s="218"/>
      <c r="I114" s="211">
        <f>33819.34-218.18</f>
        <v>33601.159999999996</v>
      </c>
      <c r="J114" s="251">
        <v>5.7661022823684309</v>
      </c>
      <c r="K114" s="218"/>
      <c r="L114" s="155"/>
      <c r="M114" s="158">
        <f t="shared" si="5"/>
        <v>5.7661022823684309</v>
      </c>
      <c r="N114" s="267">
        <f t="shared" si="6"/>
        <v>0</v>
      </c>
      <c r="O114" s="268">
        <f t="shared" si="7"/>
        <v>33601.159999999996</v>
      </c>
      <c r="P114" s="264">
        <f t="shared" si="8"/>
        <v>0</v>
      </c>
      <c r="Q114" s="297"/>
      <c r="R114" s="277"/>
      <c r="S114" s="272"/>
      <c r="T114" s="432"/>
      <c r="U114" s="158"/>
      <c r="V114" s="158"/>
    </row>
    <row r="115" spans="1:22" s="182" customFormat="1" ht="18.75">
      <c r="A115" s="153" t="s">
        <v>129</v>
      </c>
      <c r="B115" s="154" t="s">
        <v>58</v>
      </c>
      <c r="C115" s="211">
        <f>C117+C118</f>
        <v>91041.83968686813</v>
      </c>
      <c r="D115" s="251">
        <f>D117+D118</f>
        <v>27.661350991735098</v>
      </c>
      <c r="E115" s="218"/>
      <c r="F115" s="211">
        <f>F117+F118</f>
        <v>81024.309543131851</v>
      </c>
      <c r="G115" s="251">
        <f>G117+G118</f>
        <v>24.559905629201918</v>
      </c>
      <c r="H115" s="218"/>
      <c r="I115" s="211">
        <f>I117+I118</f>
        <v>172066.14922999998</v>
      </c>
      <c r="J115" s="251">
        <f>J117+J118</f>
        <v>26.11062831046851</v>
      </c>
      <c r="K115" s="218"/>
      <c r="L115" s="155"/>
      <c r="M115" s="158">
        <f t="shared" si="5"/>
        <v>26.110628310468506</v>
      </c>
      <c r="N115" s="267">
        <f t="shared" si="6"/>
        <v>0</v>
      </c>
      <c r="O115" s="268">
        <f t="shared" si="7"/>
        <v>172066.14922999998</v>
      </c>
      <c r="P115" s="264">
        <f t="shared" si="8"/>
        <v>0</v>
      </c>
      <c r="Q115" s="298"/>
      <c r="R115" s="277"/>
      <c r="S115" s="272"/>
      <c r="T115" s="290"/>
      <c r="U115" s="181"/>
      <c r="V115" s="181"/>
    </row>
    <row r="116" spans="1:22" s="5" customFormat="1" ht="18.75">
      <c r="A116" s="160"/>
      <c r="B116" s="161" t="s">
        <v>28</v>
      </c>
      <c r="C116" s="214"/>
      <c r="D116" s="253"/>
      <c r="E116" s="219"/>
      <c r="F116" s="214"/>
      <c r="G116" s="253"/>
      <c r="H116" s="219"/>
      <c r="I116" s="214"/>
      <c r="J116" s="253"/>
      <c r="K116" s="219"/>
      <c r="L116" s="162"/>
      <c r="M116" s="158">
        <f t="shared" si="5"/>
        <v>0</v>
      </c>
      <c r="N116" s="267">
        <f t="shared" si="6"/>
        <v>0</v>
      </c>
      <c r="O116" s="268">
        <f t="shared" si="7"/>
        <v>0</v>
      </c>
      <c r="P116" s="264">
        <f t="shared" si="8"/>
        <v>0</v>
      </c>
      <c r="Q116" s="294"/>
      <c r="R116" s="277"/>
      <c r="S116" s="272"/>
      <c r="T116" s="290"/>
      <c r="U116" s="7"/>
      <c r="V116" s="7"/>
    </row>
    <row r="117" spans="1:22" s="5" customFormat="1" ht="18.75">
      <c r="A117" s="160" t="s">
        <v>130</v>
      </c>
      <c r="B117" s="161" t="s">
        <v>30</v>
      </c>
      <c r="C117" s="214">
        <v>81341.83968686813</v>
      </c>
      <c r="D117" s="253">
        <v>24.587972764766906</v>
      </c>
      <c r="E117" s="219"/>
      <c r="F117" s="214">
        <f t="shared" si="9"/>
        <v>73344.309543131851</v>
      </c>
      <c r="G117" s="253">
        <f>(J117*2)-D117</f>
        <v>22.12563905584906</v>
      </c>
      <c r="H117" s="219"/>
      <c r="I117" s="214">
        <v>154686.14922999998</v>
      </c>
      <c r="J117" s="253">
        <v>23.356805910307983</v>
      </c>
      <c r="K117" s="219"/>
      <c r="L117" s="162"/>
      <c r="M117" s="158">
        <f t="shared" si="5"/>
        <v>23.356805910307983</v>
      </c>
      <c r="N117" s="267">
        <f t="shared" si="6"/>
        <v>0</v>
      </c>
      <c r="O117" s="268">
        <f t="shared" si="7"/>
        <v>154686.14922999998</v>
      </c>
      <c r="P117" s="264">
        <f t="shared" si="8"/>
        <v>0</v>
      </c>
      <c r="Q117" s="294"/>
      <c r="R117" s="277"/>
      <c r="S117" s="272"/>
      <c r="T117" s="290"/>
      <c r="U117" s="7"/>
      <c r="V117" s="7"/>
    </row>
    <row r="118" spans="1:22" s="185" customFormat="1" ht="19.5">
      <c r="A118" s="160" t="s">
        <v>131</v>
      </c>
      <c r="B118" s="161" t="s">
        <v>32</v>
      </c>
      <c r="C118" s="214">
        <f>C120+C122+C124+C126</f>
        <v>9700</v>
      </c>
      <c r="D118" s="253">
        <f>D120+D122+D124+D126</f>
        <v>3.0733782269681935</v>
      </c>
      <c r="E118" s="220"/>
      <c r="F118" s="215">
        <f t="shared" si="9"/>
        <v>7680</v>
      </c>
      <c r="G118" s="260">
        <f>G120+G122+G124+G126</f>
        <v>2.4342665733528586</v>
      </c>
      <c r="H118" s="220"/>
      <c r="I118" s="214">
        <f>I120+I122+I124+I126</f>
        <v>17380</v>
      </c>
      <c r="J118" s="253">
        <f>J120+J122+J124+J126</f>
        <v>2.753822400160526</v>
      </c>
      <c r="K118" s="220"/>
      <c r="L118" s="190"/>
      <c r="M118" s="158">
        <f t="shared" si="5"/>
        <v>2.753822400160526</v>
      </c>
      <c r="N118" s="267">
        <f t="shared" si="6"/>
        <v>0</v>
      </c>
      <c r="O118" s="268">
        <f t="shared" si="7"/>
        <v>17380</v>
      </c>
      <c r="P118" s="264">
        <f t="shared" si="8"/>
        <v>0</v>
      </c>
      <c r="Q118" s="299"/>
      <c r="R118" s="277"/>
      <c r="S118" s="272"/>
      <c r="T118" s="290"/>
      <c r="U118" s="184"/>
      <c r="V118" s="184"/>
    </row>
    <row r="119" spans="1:22" s="5" customFormat="1" ht="18.75">
      <c r="A119" s="160"/>
      <c r="B119" s="161" t="s">
        <v>28</v>
      </c>
      <c r="C119" s="214"/>
      <c r="D119" s="253"/>
      <c r="E119" s="219"/>
      <c r="F119" s="214"/>
      <c r="G119" s="253"/>
      <c r="H119" s="219"/>
      <c r="I119" s="214"/>
      <c r="J119" s="253"/>
      <c r="K119" s="219"/>
      <c r="L119" s="162"/>
      <c r="M119" s="158">
        <f t="shared" si="5"/>
        <v>0</v>
      </c>
      <c r="N119" s="267">
        <f t="shared" si="6"/>
        <v>0</v>
      </c>
      <c r="O119" s="268">
        <f t="shared" si="7"/>
        <v>0</v>
      </c>
      <c r="P119" s="264">
        <f t="shared" si="8"/>
        <v>0</v>
      </c>
      <c r="Q119" s="294"/>
      <c r="R119" s="277"/>
      <c r="S119" s="272"/>
      <c r="T119" s="290"/>
      <c r="U119" s="7"/>
      <c r="V119" s="7"/>
    </row>
    <row r="120" spans="1:22" s="5" customFormat="1" ht="18.75">
      <c r="A120" s="153" t="s">
        <v>132</v>
      </c>
      <c r="B120" s="161" t="s">
        <v>335</v>
      </c>
      <c r="C120" s="214"/>
      <c r="D120" s="253"/>
      <c r="E120" s="219"/>
      <c r="F120" s="214"/>
      <c r="G120" s="253"/>
      <c r="H120" s="219"/>
      <c r="I120" s="214"/>
      <c r="J120" s="253"/>
      <c r="K120" s="219"/>
      <c r="L120" s="162"/>
      <c r="M120" s="158">
        <f t="shared" si="5"/>
        <v>0</v>
      </c>
      <c r="N120" s="267">
        <f t="shared" si="6"/>
        <v>0</v>
      </c>
      <c r="O120" s="268">
        <f t="shared" si="7"/>
        <v>0</v>
      </c>
      <c r="P120" s="264">
        <f t="shared" si="8"/>
        <v>0</v>
      </c>
      <c r="Q120" s="294"/>
      <c r="R120" s="277"/>
      <c r="S120" s="272"/>
      <c r="T120" s="290"/>
      <c r="U120" s="7"/>
      <c r="V120" s="7"/>
    </row>
    <row r="121" spans="1:22" s="5" customFormat="1" ht="37.5">
      <c r="A121" s="171" t="s">
        <v>133</v>
      </c>
      <c r="B121" s="172" t="s">
        <v>134</v>
      </c>
      <c r="C121" s="214">
        <f>C120-C109</f>
        <v>-306225.37468686816</v>
      </c>
      <c r="D121" s="253">
        <f>D120-D109</f>
        <v>-95.909576521162506</v>
      </c>
      <c r="E121" s="219"/>
      <c r="F121" s="214">
        <f t="shared" si="9"/>
        <v>-260235.34354313184</v>
      </c>
      <c r="G121" s="253">
        <f>G120-G109</f>
        <v>-80.63487086701511</v>
      </c>
      <c r="H121" s="219"/>
      <c r="I121" s="214">
        <f>I120-I109</f>
        <v>-566460.71823</v>
      </c>
      <c r="J121" s="253">
        <f>J120-J109</f>
        <v>-88.272223694088808</v>
      </c>
      <c r="K121" s="219"/>
      <c r="L121" s="162"/>
      <c r="M121" s="158">
        <f t="shared" si="5"/>
        <v>-88.272223694088808</v>
      </c>
      <c r="N121" s="267">
        <f t="shared" si="6"/>
        <v>0</v>
      </c>
      <c r="O121" s="268">
        <f t="shared" si="7"/>
        <v>-566460.71823</v>
      </c>
      <c r="P121" s="264">
        <f t="shared" si="8"/>
        <v>0</v>
      </c>
      <c r="Q121" s="294"/>
      <c r="R121" s="277"/>
      <c r="S121" s="272"/>
      <c r="T121" s="290"/>
      <c r="U121" s="7"/>
      <c r="V121" s="7"/>
    </row>
    <row r="122" spans="1:22" s="187" customFormat="1" ht="19.5" thickBot="1">
      <c r="A122" s="153" t="s">
        <v>135</v>
      </c>
      <c r="B122" s="161" t="s">
        <v>19</v>
      </c>
      <c r="C122" s="214"/>
      <c r="D122" s="253"/>
      <c r="E122" s="218"/>
      <c r="F122" s="211"/>
      <c r="G122" s="251"/>
      <c r="H122" s="218"/>
      <c r="I122" s="214"/>
      <c r="J122" s="253"/>
      <c r="K122" s="218"/>
      <c r="L122" s="155"/>
      <c r="M122" s="158">
        <f t="shared" si="5"/>
        <v>0</v>
      </c>
      <c r="N122" s="267">
        <f t="shared" si="6"/>
        <v>0</v>
      </c>
      <c r="O122" s="268">
        <f t="shared" si="7"/>
        <v>0</v>
      </c>
      <c r="P122" s="264">
        <f t="shared" si="8"/>
        <v>0</v>
      </c>
      <c r="Q122" s="298"/>
      <c r="R122" s="277"/>
      <c r="S122" s="272"/>
      <c r="T122" s="290"/>
      <c r="U122" s="181"/>
      <c r="V122" s="181"/>
    </row>
    <row r="123" spans="1:22" s="181" customFormat="1" ht="37.5">
      <c r="A123" s="171" t="s">
        <v>136</v>
      </c>
      <c r="B123" s="172" t="s">
        <v>137</v>
      </c>
      <c r="C123" s="214">
        <f>C122-C110</f>
        <v>0</v>
      </c>
      <c r="D123" s="253">
        <f>D122-D110</f>
        <v>0</v>
      </c>
      <c r="E123" s="218"/>
      <c r="F123" s="211">
        <f t="shared" si="9"/>
        <v>0</v>
      </c>
      <c r="G123" s="251">
        <f>G122-G110</f>
        <v>0</v>
      </c>
      <c r="H123" s="218"/>
      <c r="I123" s="214">
        <f>I122-I110</f>
        <v>0</v>
      </c>
      <c r="J123" s="253">
        <f>J122-J110</f>
        <v>0</v>
      </c>
      <c r="K123" s="218"/>
      <c r="L123" s="155"/>
      <c r="M123" s="158">
        <f t="shared" si="5"/>
        <v>0</v>
      </c>
      <c r="N123" s="267">
        <f t="shared" si="6"/>
        <v>0</v>
      </c>
      <c r="O123" s="268">
        <f t="shared" si="7"/>
        <v>0</v>
      </c>
      <c r="P123" s="264">
        <f t="shared" si="8"/>
        <v>0</v>
      </c>
      <c r="Q123" s="298"/>
      <c r="R123" s="277"/>
      <c r="S123" s="272"/>
      <c r="T123" s="290"/>
    </row>
    <row r="124" spans="1:22" s="159" customFormat="1" ht="18.75">
      <c r="A124" s="153" t="s">
        <v>138</v>
      </c>
      <c r="B124" s="161" t="s">
        <v>172</v>
      </c>
      <c r="C124" s="214">
        <v>9700</v>
      </c>
      <c r="D124" s="253">
        <v>3.0733782269681935</v>
      </c>
      <c r="E124" s="211"/>
      <c r="F124" s="211">
        <f t="shared" si="9"/>
        <v>7680</v>
      </c>
      <c r="G124" s="251">
        <f>(J124*2)-D124</f>
        <v>2.4342665733528586</v>
      </c>
      <c r="H124" s="211"/>
      <c r="I124" s="214">
        <v>17380</v>
      </c>
      <c r="J124" s="253">
        <v>2.753822400160526</v>
      </c>
      <c r="K124" s="218"/>
      <c r="L124" s="155"/>
      <c r="M124" s="158">
        <f t="shared" si="5"/>
        <v>2.753822400160526</v>
      </c>
      <c r="N124" s="267">
        <f t="shared" si="6"/>
        <v>0</v>
      </c>
      <c r="O124" s="268">
        <f t="shared" si="7"/>
        <v>17380</v>
      </c>
      <c r="P124" s="264">
        <f t="shared" si="8"/>
        <v>0</v>
      </c>
      <c r="Q124" s="297"/>
      <c r="R124" s="277"/>
      <c r="S124" s="272"/>
      <c r="T124" s="290"/>
      <c r="U124" s="158"/>
      <c r="V124" s="158"/>
    </row>
    <row r="125" spans="1:22" s="159" customFormat="1" ht="37.5">
      <c r="A125" s="171" t="s">
        <v>139</v>
      </c>
      <c r="B125" s="172" t="s">
        <v>140</v>
      </c>
      <c r="C125" s="214">
        <f>C124-C111</f>
        <v>8300</v>
      </c>
      <c r="D125" s="253">
        <f>D124-D111</f>
        <v>2.6297978643129905</v>
      </c>
      <c r="E125" s="218"/>
      <c r="F125" s="211">
        <f t="shared" si="9"/>
        <v>6290</v>
      </c>
      <c r="G125" s="251">
        <f>G124-G111</f>
        <v>1.993708328821886</v>
      </c>
      <c r="H125" s="218"/>
      <c r="I125" s="214">
        <f>I124-I111</f>
        <v>14590</v>
      </c>
      <c r="J125" s="253">
        <f>J124-J111</f>
        <v>2.311753096567438</v>
      </c>
      <c r="K125" s="218"/>
      <c r="L125" s="155"/>
      <c r="M125" s="158">
        <f t="shared" si="5"/>
        <v>2.311753096567438</v>
      </c>
      <c r="N125" s="267">
        <f t="shared" si="6"/>
        <v>0</v>
      </c>
      <c r="O125" s="268">
        <f t="shared" si="7"/>
        <v>14590</v>
      </c>
      <c r="P125" s="264">
        <f t="shared" si="8"/>
        <v>0</v>
      </c>
      <c r="Q125" s="297"/>
      <c r="R125" s="277"/>
      <c r="S125" s="272"/>
      <c r="T125" s="290"/>
      <c r="U125" s="158"/>
      <c r="V125" s="158"/>
    </row>
    <row r="126" spans="1:22" s="159" customFormat="1" ht="18.75">
      <c r="A126" s="153" t="s">
        <v>141</v>
      </c>
      <c r="B126" s="161" t="s">
        <v>247</v>
      </c>
      <c r="C126" s="214"/>
      <c r="D126" s="253"/>
      <c r="E126" s="218"/>
      <c r="F126" s="211"/>
      <c r="G126" s="251"/>
      <c r="H126" s="218"/>
      <c r="I126" s="214"/>
      <c r="J126" s="253"/>
      <c r="K126" s="218"/>
      <c r="L126" s="155"/>
      <c r="M126" s="158">
        <f t="shared" si="5"/>
        <v>0</v>
      </c>
      <c r="N126" s="267">
        <f t="shared" si="6"/>
        <v>0</v>
      </c>
      <c r="O126" s="268">
        <f t="shared" si="7"/>
        <v>0</v>
      </c>
      <c r="P126" s="264">
        <f t="shared" si="8"/>
        <v>0</v>
      </c>
      <c r="Q126" s="297"/>
      <c r="R126" s="277"/>
      <c r="S126" s="272"/>
      <c r="T126" s="290"/>
      <c r="U126" s="158"/>
      <c r="V126" s="158"/>
    </row>
    <row r="127" spans="1:22" s="159" customFormat="1" ht="37.5">
      <c r="A127" s="171" t="s">
        <v>142</v>
      </c>
      <c r="B127" s="172" t="s">
        <v>143</v>
      </c>
      <c r="C127" s="214">
        <f>C126-C112</f>
        <v>0</v>
      </c>
      <c r="D127" s="253"/>
      <c r="E127" s="218"/>
      <c r="F127" s="211">
        <f t="shared" si="9"/>
        <v>0</v>
      </c>
      <c r="G127" s="251"/>
      <c r="H127" s="218"/>
      <c r="I127" s="214">
        <f>I126-I112</f>
        <v>0</v>
      </c>
      <c r="J127" s="253"/>
      <c r="K127" s="218"/>
      <c r="L127" s="155"/>
      <c r="M127" s="158">
        <f t="shared" si="5"/>
        <v>0</v>
      </c>
      <c r="N127" s="267">
        <f t="shared" si="6"/>
        <v>0</v>
      </c>
      <c r="O127" s="268">
        <f t="shared" si="7"/>
        <v>0</v>
      </c>
      <c r="P127" s="264">
        <f t="shared" si="8"/>
        <v>0</v>
      </c>
      <c r="Q127" s="297"/>
      <c r="R127" s="277"/>
      <c r="S127" s="272"/>
      <c r="T127" s="290"/>
      <c r="U127" s="158"/>
      <c r="V127" s="158"/>
    </row>
    <row r="128" spans="1:22" s="181" customFormat="1" ht="18.75">
      <c r="A128" s="186"/>
      <c r="B128" s="161" t="s">
        <v>45</v>
      </c>
      <c r="C128" s="214"/>
      <c r="D128" s="253"/>
      <c r="E128" s="219"/>
      <c r="F128" s="214"/>
      <c r="G128" s="253"/>
      <c r="H128" s="219"/>
      <c r="I128" s="214"/>
      <c r="J128" s="253"/>
      <c r="K128" s="219"/>
      <c r="L128" s="162"/>
      <c r="M128" s="158">
        <f t="shared" si="5"/>
        <v>0</v>
      </c>
      <c r="N128" s="267">
        <f t="shared" si="6"/>
        <v>0</v>
      </c>
      <c r="O128" s="268">
        <f t="shared" si="7"/>
        <v>0</v>
      </c>
      <c r="P128" s="264">
        <f t="shared" si="8"/>
        <v>0</v>
      </c>
      <c r="Q128" s="298"/>
      <c r="R128" s="277"/>
      <c r="S128" s="272"/>
      <c r="T128" s="290"/>
    </row>
    <row r="129" spans="1:22" s="5" customFormat="1" ht="18.75">
      <c r="A129" s="160" t="s">
        <v>144</v>
      </c>
      <c r="B129" s="161" t="s">
        <v>145</v>
      </c>
      <c r="C129" s="214"/>
      <c r="D129" s="253"/>
      <c r="E129" s="219"/>
      <c r="F129" s="214"/>
      <c r="G129" s="253"/>
      <c r="H129" s="219"/>
      <c r="I129" s="214"/>
      <c r="J129" s="253"/>
      <c r="K129" s="219"/>
      <c r="L129" s="162"/>
      <c r="M129" s="158">
        <f t="shared" si="5"/>
        <v>0</v>
      </c>
      <c r="N129" s="267">
        <f t="shared" si="6"/>
        <v>0</v>
      </c>
      <c r="O129" s="268">
        <f t="shared" si="7"/>
        <v>0</v>
      </c>
      <c r="P129" s="264">
        <f t="shared" si="8"/>
        <v>0</v>
      </c>
      <c r="Q129" s="294"/>
      <c r="R129" s="277"/>
      <c r="S129" s="272"/>
      <c r="T129" s="290"/>
      <c r="U129" s="7"/>
      <c r="V129" s="7"/>
    </row>
    <row r="130" spans="1:22" s="5" customFormat="1" ht="18.75">
      <c r="A130" s="160" t="s">
        <v>146</v>
      </c>
      <c r="B130" s="178" t="s">
        <v>76</v>
      </c>
      <c r="C130" s="214">
        <f>C103-C114-C115</f>
        <v>240283.97000000003</v>
      </c>
      <c r="D130" s="253">
        <f>D103-D114-D115</f>
        <v>76.962143763266852</v>
      </c>
      <c r="E130" s="219"/>
      <c r="F130" s="214">
        <f>F103-F114-F115</f>
        <v>202220.87</v>
      </c>
      <c r="G130" s="253">
        <f>G103-G114-G115</f>
        <v>64.078981046423067</v>
      </c>
      <c r="H130" s="219"/>
      <c r="I130" s="214">
        <f>I103-I114-I115</f>
        <v>442504.84000000008</v>
      </c>
      <c r="J130" s="253">
        <f>J103-J114-J115</f>
        <v>70.520562404844952</v>
      </c>
      <c r="K130" s="219"/>
      <c r="L130" s="162"/>
      <c r="M130" s="158">
        <f t="shared" si="5"/>
        <v>70.520562404844952</v>
      </c>
      <c r="N130" s="267">
        <f t="shared" si="6"/>
        <v>0</v>
      </c>
      <c r="O130" s="268">
        <f t="shared" si="7"/>
        <v>442504.84</v>
      </c>
      <c r="P130" s="264">
        <f t="shared" si="8"/>
        <v>0</v>
      </c>
      <c r="Q130" s="294"/>
      <c r="R130" s="277"/>
      <c r="S130" s="272"/>
      <c r="T130" s="290"/>
      <c r="U130" s="7"/>
      <c r="V130" s="7"/>
    </row>
    <row r="131" spans="1:22" s="159" customFormat="1" ht="18.75">
      <c r="A131" s="153" t="s">
        <v>147</v>
      </c>
      <c r="B131" s="154" t="s">
        <v>148</v>
      </c>
      <c r="C131" s="211">
        <f>C134+C133</f>
        <v>1042</v>
      </c>
      <c r="D131" s="251">
        <f>D134+D133</f>
        <v>0.316843116182288</v>
      </c>
      <c r="E131" s="218"/>
      <c r="F131" s="211">
        <f t="shared" si="9"/>
        <v>999</v>
      </c>
      <c r="G131" s="251">
        <f>G134+G133</f>
        <v>0.25356888845395448</v>
      </c>
      <c r="H131" s="218"/>
      <c r="I131" s="211">
        <f>I134+I133</f>
        <v>2041</v>
      </c>
      <c r="J131" s="251">
        <f>J134+J133</f>
        <v>0.28520600231812127</v>
      </c>
      <c r="K131" s="218"/>
      <c r="L131" s="155"/>
      <c r="M131" s="158">
        <f t="shared" si="5"/>
        <v>0.28520600231812121</v>
      </c>
      <c r="N131" s="267">
        <f t="shared" si="6"/>
        <v>0</v>
      </c>
      <c r="O131" s="268">
        <f t="shared" si="7"/>
        <v>2041</v>
      </c>
      <c r="P131" s="264">
        <f t="shared" si="8"/>
        <v>0</v>
      </c>
      <c r="Q131" s="297"/>
      <c r="R131" s="277"/>
      <c r="S131" s="272"/>
      <c r="T131" s="290"/>
      <c r="U131" s="158"/>
      <c r="V131" s="158"/>
    </row>
    <row r="132" spans="1:22" s="5" customFormat="1" ht="18.75">
      <c r="A132" s="160"/>
      <c r="B132" s="161" t="s">
        <v>11</v>
      </c>
      <c r="C132" s="214"/>
      <c r="D132" s="253"/>
      <c r="E132" s="219"/>
      <c r="F132" s="214"/>
      <c r="G132" s="253"/>
      <c r="H132" s="219"/>
      <c r="I132" s="214"/>
      <c r="J132" s="253"/>
      <c r="K132" s="219"/>
      <c r="L132" s="162"/>
      <c r="M132" s="158">
        <f t="shared" si="5"/>
        <v>0</v>
      </c>
      <c r="N132" s="267">
        <f t="shared" si="6"/>
        <v>0</v>
      </c>
      <c r="O132" s="268">
        <f t="shared" si="7"/>
        <v>0</v>
      </c>
      <c r="P132" s="264">
        <f t="shared" si="8"/>
        <v>0</v>
      </c>
      <c r="Q132" s="294"/>
      <c r="R132" s="277"/>
      <c r="S132" s="272"/>
      <c r="T132" s="377"/>
      <c r="U132" s="7"/>
      <c r="V132" s="7"/>
    </row>
    <row r="133" spans="1:22" s="5" customFormat="1" ht="18.75">
      <c r="A133" s="160" t="s">
        <v>149</v>
      </c>
      <c r="B133" s="161" t="s">
        <v>49</v>
      </c>
      <c r="C133" s="214"/>
      <c r="D133" s="253"/>
      <c r="E133" s="219"/>
      <c r="F133" s="214"/>
      <c r="G133" s="253"/>
      <c r="H133" s="219"/>
      <c r="I133" s="214"/>
      <c r="J133" s="253"/>
      <c r="K133" s="219"/>
      <c r="L133" s="162"/>
      <c r="M133" s="158">
        <f t="shared" si="5"/>
        <v>0</v>
      </c>
      <c r="N133" s="267">
        <f t="shared" si="6"/>
        <v>0</v>
      </c>
      <c r="O133" s="268">
        <f t="shared" si="7"/>
        <v>0</v>
      </c>
      <c r="P133" s="264">
        <f t="shared" si="8"/>
        <v>0</v>
      </c>
      <c r="Q133" s="294"/>
      <c r="R133" s="277"/>
      <c r="S133" s="272"/>
      <c r="T133" s="290"/>
      <c r="U133" s="7"/>
      <c r="V133" s="7"/>
    </row>
    <row r="134" spans="1:22" s="5" customFormat="1" ht="18.75">
      <c r="A134" s="160" t="s">
        <v>150</v>
      </c>
      <c r="B134" s="161" t="s">
        <v>15</v>
      </c>
      <c r="C134" s="214">
        <f>C136+C137+C138</f>
        <v>1042</v>
      </c>
      <c r="D134" s="253">
        <f>D136+D137+D138</f>
        <v>0.316843116182288</v>
      </c>
      <c r="E134" s="219"/>
      <c r="F134" s="214">
        <f t="shared" si="9"/>
        <v>999</v>
      </c>
      <c r="G134" s="253">
        <f>G136+G137+G138</f>
        <v>0.25356888845395448</v>
      </c>
      <c r="H134" s="219"/>
      <c r="I134" s="214">
        <f>I136+I137+I138</f>
        <v>2041</v>
      </c>
      <c r="J134" s="253">
        <f>J136+J137+J138</f>
        <v>0.28520600231812127</v>
      </c>
      <c r="K134" s="219"/>
      <c r="L134" s="162"/>
      <c r="M134" s="158">
        <f t="shared" si="5"/>
        <v>0.28520600231812121</v>
      </c>
      <c r="N134" s="267">
        <f t="shared" si="6"/>
        <v>0</v>
      </c>
      <c r="O134" s="268">
        <f t="shared" si="7"/>
        <v>2041</v>
      </c>
      <c r="P134" s="264">
        <f t="shared" si="8"/>
        <v>0</v>
      </c>
      <c r="Q134" s="294"/>
      <c r="R134" s="277"/>
      <c r="S134" s="272"/>
      <c r="T134" s="290"/>
      <c r="U134" s="7"/>
      <c r="V134" s="7"/>
    </row>
    <row r="135" spans="1:22" s="5" customFormat="1" ht="18.75">
      <c r="A135" s="160"/>
      <c r="B135" s="161" t="s">
        <v>11</v>
      </c>
      <c r="C135" s="214"/>
      <c r="D135" s="253"/>
      <c r="E135" s="219"/>
      <c r="F135" s="214"/>
      <c r="G135" s="253"/>
      <c r="H135" s="219"/>
      <c r="I135" s="214"/>
      <c r="J135" s="253"/>
      <c r="K135" s="219"/>
      <c r="L135" s="162"/>
      <c r="M135" s="158">
        <f t="shared" si="5"/>
        <v>0</v>
      </c>
      <c r="N135" s="267">
        <f t="shared" si="6"/>
        <v>0</v>
      </c>
      <c r="O135" s="268">
        <f t="shared" si="7"/>
        <v>0</v>
      </c>
      <c r="P135" s="264">
        <f t="shared" si="8"/>
        <v>0</v>
      </c>
      <c r="Q135" s="294"/>
      <c r="R135" s="277"/>
      <c r="S135" s="272"/>
      <c r="T135" s="290"/>
      <c r="U135" s="7"/>
      <c r="V135" s="7"/>
    </row>
    <row r="136" spans="1:22" s="5" customFormat="1" ht="18.75">
      <c r="A136" s="160" t="s">
        <v>151</v>
      </c>
      <c r="B136" s="161" t="s">
        <v>335</v>
      </c>
      <c r="C136" s="214">
        <v>932</v>
      </c>
      <c r="D136" s="253">
        <v>0.28199037340223632</v>
      </c>
      <c r="E136" s="219"/>
      <c r="F136" s="214">
        <f t="shared" si="9"/>
        <v>909</v>
      </c>
      <c r="G136" s="253">
        <f>(J136*2)-D136</f>
        <v>0.22504251960775701</v>
      </c>
      <c r="H136" s="219"/>
      <c r="I136" s="214">
        <v>1841</v>
      </c>
      <c r="J136" s="253">
        <v>0.25351644650499666</v>
      </c>
      <c r="K136" s="219"/>
      <c r="L136" s="162"/>
      <c r="M136" s="158">
        <f t="shared" si="5"/>
        <v>0.25351644650499666</v>
      </c>
      <c r="N136" s="267">
        <f t="shared" si="6"/>
        <v>0</v>
      </c>
      <c r="O136" s="268">
        <f t="shared" si="7"/>
        <v>1841</v>
      </c>
      <c r="P136" s="264">
        <f t="shared" si="8"/>
        <v>0</v>
      </c>
      <c r="Q136" s="294"/>
      <c r="R136" s="277"/>
      <c r="S136" s="272"/>
      <c r="T136" s="377"/>
      <c r="U136" s="7"/>
      <c r="V136" s="7"/>
    </row>
    <row r="137" spans="1:22" s="5" customFormat="1" ht="18.75">
      <c r="A137" s="160" t="s">
        <v>152</v>
      </c>
      <c r="B137" s="161" t="s">
        <v>172</v>
      </c>
      <c r="C137" s="214"/>
      <c r="D137" s="253"/>
      <c r="E137" s="219"/>
      <c r="F137" s="214"/>
      <c r="G137" s="253"/>
      <c r="H137" s="219"/>
      <c r="I137" s="214"/>
      <c r="J137" s="253"/>
      <c r="K137" s="219"/>
      <c r="L137" s="162"/>
      <c r="M137" s="158">
        <f t="shared" ref="M137:M153" si="10">(D137+G137)/2</f>
        <v>0</v>
      </c>
      <c r="N137" s="267">
        <f t="shared" ref="N137:N153" si="11">J137-M137</f>
        <v>0</v>
      </c>
      <c r="O137" s="268">
        <f t="shared" ref="O137:O153" si="12">C137+F137</f>
        <v>0</v>
      </c>
      <c r="P137" s="264">
        <f t="shared" ref="P137:P153" si="13">O137-I137</f>
        <v>0</v>
      </c>
      <c r="Q137" s="294"/>
      <c r="R137" s="277"/>
      <c r="S137" s="272"/>
      <c r="T137" s="290"/>
      <c r="U137" s="7"/>
      <c r="V137" s="7"/>
    </row>
    <row r="138" spans="1:22" s="5" customFormat="1" ht="18.75">
      <c r="A138" s="160" t="s">
        <v>153</v>
      </c>
      <c r="B138" s="161" t="s">
        <v>247</v>
      </c>
      <c r="C138" s="214">
        <v>110</v>
      </c>
      <c r="D138" s="253">
        <v>3.4852742780051682E-2</v>
      </c>
      <c r="E138" s="219"/>
      <c r="F138" s="214">
        <f t="shared" si="9"/>
        <v>90</v>
      </c>
      <c r="G138" s="253">
        <f>(J138*2)-D138</f>
        <v>2.8526368846197483E-2</v>
      </c>
      <c r="H138" s="219"/>
      <c r="I138" s="214">
        <v>200</v>
      </c>
      <c r="J138" s="253">
        <v>3.1689555813124583E-2</v>
      </c>
      <c r="K138" s="219"/>
      <c r="L138" s="162"/>
      <c r="M138" s="158">
        <f t="shared" si="10"/>
        <v>3.1689555813124583E-2</v>
      </c>
      <c r="N138" s="267">
        <f t="shared" si="11"/>
        <v>0</v>
      </c>
      <c r="O138" s="268">
        <f t="shared" si="12"/>
        <v>200</v>
      </c>
      <c r="P138" s="264">
        <f t="shared" si="13"/>
        <v>0</v>
      </c>
      <c r="Q138" s="294"/>
      <c r="R138" s="277"/>
      <c r="S138" s="272"/>
      <c r="T138" s="290"/>
      <c r="U138" s="7"/>
      <c r="V138" s="7"/>
    </row>
    <row r="139" spans="1:22" s="5" customFormat="1" ht="18.75">
      <c r="A139" s="160"/>
      <c r="B139" s="161" t="s">
        <v>45</v>
      </c>
      <c r="C139" s="214"/>
      <c r="D139" s="253"/>
      <c r="E139" s="219"/>
      <c r="F139" s="214"/>
      <c r="G139" s="253"/>
      <c r="H139" s="219"/>
      <c r="I139" s="214"/>
      <c r="J139" s="253"/>
      <c r="K139" s="219"/>
      <c r="L139" s="162"/>
      <c r="M139" s="158">
        <f t="shared" si="10"/>
        <v>0</v>
      </c>
      <c r="N139" s="267">
        <f t="shared" si="11"/>
        <v>0</v>
      </c>
      <c r="O139" s="268">
        <f t="shared" si="12"/>
        <v>0</v>
      </c>
      <c r="P139" s="264">
        <f t="shared" si="13"/>
        <v>0</v>
      </c>
      <c r="Q139" s="294"/>
      <c r="R139" s="277"/>
      <c r="S139" s="272"/>
      <c r="T139" s="290"/>
      <c r="U139" s="7"/>
      <c r="V139" s="7"/>
    </row>
    <row r="140" spans="1:22" s="159" customFormat="1" ht="18.75">
      <c r="A140" s="153" t="s">
        <v>154</v>
      </c>
      <c r="B140" s="154" t="s">
        <v>56</v>
      </c>
      <c r="C140" s="211">
        <v>40926.699999999997</v>
      </c>
      <c r="D140" s="251">
        <v>12.379870717090071</v>
      </c>
      <c r="E140" s="218"/>
      <c r="F140" s="211">
        <v>31497.4</v>
      </c>
      <c r="G140" s="262">
        <f>(J140*2)-D140</f>
        <v>9.4780688544531628</v>
      </c>
      <c r="H140" s="218"/>
      <c r="I140" s="211">
        <f>C140+F140</f>
        <v>72424.100000000006</v>
      </c>
      <c r="J140" s="251">
        <v>10.928969785771617</v>
      </c>
      <c r="K140" s="302"/>
      <c r="L140" s="155"/>
      <c r="M140" s="158">
        <f t="shared" si="10"/>
        <v>10.928969785771617</v>
      </c>
      <c r="N140" s="267">
        <f t="shared" si="11"/>
        <v>0</v>
      </c>
      <c r="O140" s="268">
        <f t="shared" si="12"/>
        <v>72424.100000000006</v>
      </c>
      <c r="P140" s="264">
        <f t="shared" si="13"/>
        <v>0</v>
      </c>
      <c r="Q140" s="297"/>
      <c r="R140" s="277"/>
      <c r="S140" s="272"/>
      <c r="T140" s="290"/>
      <c r="U140" s="158"/>
      <c r="V140" s="158"/>
    </row>
    <row r="141" spans="1:22" s="182" customFormat="1" ht="18.75">
      <c r="A141" s="153" t="s">
        <v>155</v>
      </c>
      <c r="B141" s="154" t="s">
        <v>58</v>
      </c>
      <c r="C141" s="211">
        <f>C143+C144</f>
        <v>200399.27</v>
      </c>
      <c r="D141" s="251">
        <f>D143+D144</f>
        <v>64.899116162359064</v>
      </c>
      <c r="E141" s="218"/>
      <c r="F141" s="211">
        <f t="shared" ref="F141:F151" si="14">I141-C141</f>
        <v>171722.46969999999</v>
      </c>
      <c r="G141" s="251">
        <f>G143+G144</f>
        <v>54.854481080423867</v>
      </c>
      <c r="H141" s="218"/>
      <c r="I141" s="211">
        <f>I143+I144</f>
        <v>372121.73969999998</v>
      </c>
      <c r="J141" s="251">
        <f>J143+J144</f>
        <v>59.876798621391458</v>
      </c>
      <c r="K141" s="218"/>
      <c r="L141" s="155"/>
      <c r="M141" s="158">
        <f t="shared" si="10"/>
        <v>59.876798621391465</v>
      </c>
      <c r="N141" s="267">
        <f t="shared" si="11"/>
        <v>0</v>
      </c>
      <c r="O141" s="268">
        <f t="shared" si="12"/>
        <v>372121.73969999998</v>
      </c>
      <c r="P141" s="264">
        <f t="shared" si="13"/>
        <v>0</v>
      </c>
      <c r="Q141" s="298"/>
      <c r="R141" s="277"/>
      <c r="S141" s="272"/>
      <c r="T141" s="290"/>
      <c r="U141" s="181"/>
      <c r="V141" s="181"/>
    </row>
    <row r="142" spans="1:22" s="5" customFormat="1" ht="18.75">
      <c r="A142" s="160"/>
      <c r="B142" s="161" t="s">
        <v>28</v>
      </c>
      <c r="C142" s="214"/>
      <c r="D142" s="253"/>
      <c r="E142" s="219"/>
      <c r="F142" s="214"/>
      <c r="G142" s="253"/>
      <c r="H142" s="219"/>
      <c r="I142" s="214"/>
      <c r="J142" s="253"/>
      <c r="K142" s="219"/>
      <c r="L142" s="162"/>
      <c r="M142" s="158">
        <f t="shared" si="10"/>
        <v>0</v>
      </c>
      <c r="N142" s="267">
        <f t="shared" si="11"/>
        <v>0</v>
      </c>
      <c r="O142" s="268">
        <f t="shared" si="12"/>
        <v>0</v>
      </c>
      <c r="P142" s="264">
        <f t="shared" si="13"/>
        <v>0</v>
      </c>
      <c r="Q142" s="294"/>
      <c r="R142" s="277"/>
      <c r="S142" s="272"/>
      <c r="T142" s="290"/>
      <c r="U142" s="7"/>
      <c r="V142" s="7"/>
    </row>
    <row r="143" spans="1:22" s="5" customFormat="1" ht="18.75">
      <c r="A143" s="160" t="s">
        <v>156</v>
      </c>
      <c r="B143" s="161" t="s">
        <v>30</v>
      </c>
      <c r="C143" s="214">
        <f>207640.69-8431.42</f>
        <v>199209.27</v>
      </c>
      <c r="D143" s="253">
        <v>64.522072854102134</v>
      </c>
      <c r="E143" s="219"/>
      <c r="F143" s="214">
        <f>171019.4877-227.018</f>
        <v>170792.46969999999</v>
      </c>
      <c r="G143" s="253">
        <f>(J143*2)-D143</f>
        <v>54.559705805442547</v>
      </c>
      <c r="H143" s="219"/>
      <c r="I143" s="214">
        <f>C143+F143</f>
        <v>370001.73969999998</v>
      </c>
      <c r="J143" s="253">
        <v>59.540889329772341</v>
      </c>
      <c r="K143" s="219"/>
      <c r="L143" s="162"/>
      <c r="M143" s="158">
        <f t="shared" si="10"/>
        <v>59.540889329772341</v>
      </c>
      <c r="N143" s="267">
        <f t="shared" si="11"/>
        <v>0</v>
      </c>
      <c r="O143" s="268">
        <f t="shared" si="12"/>
        <v>370001.73969999998</v>
      </c>
      <c r="P143" s="264">
        <f t="shared" si="13"/>
        <v>0</v>
      </c>
      <c r="Q143" s="294"/>
      <c r="R143" s="277"/>
      <c r="S143" s="290"/>
      <c r="T143" s="290"/>
      <c r="U143" s="7"/>
      <c r="V143" s="7"/>
    </row>
    <row r="144" spans="1:22" s="185" customFormat="1" ht="19.5">
      <c r="A144" s="160" t="s">
        <v>157</v>
      </c>
      <c r="B144" s="161" t="s">
        <v>32</v>
      </c>
      <c r="C144" s="214">
        <f>C148</f>
        <v>1190</v>
      </c>
      <c r="D144" s="253">
        <f>D148</f>
        <v>0.37704330825692273</v>
      </c>
      <c r="E144" s="219"/>
      <c r="F144" s="214">
        <f t="shared" si="14"/>
        <v>930</v>
      </c>
      <c r="G144" s="253">
        <f>G148</f>
        <v>0.29477527498131834</v>
      </c>
      <c r="H144" s="219"/>
      <c r="I144" s="214">
        <f>I148</f>
        <v>2120</v>
      </c>
      <c r="J144" s="253">
        <f>J148</f>
        <v>0.33590929161912053</v>
      </c>
      <c r="K144" s="219"/>
      <c r="L144" s="162"/>
      <c r="M144" s="158">
        <f t="shared" si="10"/>
        <v>0.33590929161912053</v>
      </c>
      <c r="N144" s="267">
        <f t="shared" si="11"/>
        <v>0</v>
      </c>
      <c r="O144" s="268">
        <f t="shared" si="12"/>
        <v>2120</v>
      </c>
      <c r="P144" s="264">
        <f t="shared" si="13"/>
        <v>0</v>
      </c>
      <c r="Q144" s="299"/>
      <c r="R144" s="277"/>
      <c r="S144" s="272"/>
      <c r="T144" s="290"/>
      <c r="U144" s="184"/>
      <c r="V144" s="184"/>
    </row>
    <row r="145" spans="1:22" s="5" customFormat="1" ht="18.75">
      <c r="A145" s="160"/>
      <c r="B145" s="161" t="s">
        <v>28</v>
      </c>
      <c r="C145" s="214"/>
      <c r="D145" s="253"/>
      <c r="E145" s="219"/>
      <c r="F145" s="214"/>
      <c r="G145" s="253"/>
      <c r="H145" s="219"/>
      <c r="I145" s="214"/>
      <c r="J145" s="253"/>
      <c r="K145" s="219"/>
      <c r="L145" s="162"/>
      <c r="M145" s="158">
        <f t="shared" si="10"/>
        <v>0</v>
      </c>
      <c r="N145" s="267">
        <f t="shared" si="11"/>
        <v>0</v>
      </c>
      <c r="O145" s="268">
        <f t="shared" si="12"/>
        <v>0</v>
      </c>
      <c r="P145" s="264">
        <f t="shared" si="13"/>
        <v>0</v>
      </c>
      <c r="Q145" s="294"/>
      <c r="R145" s="277"/>
      <c r="S145" s="303"/>
      <c r="T145" s="290"/>
      <c r="U145" s="7"/>
      <c r="V145" s="7"/>
    </row>
    <row r="146" spans="1:22" s="5" customFormat="1" ht="18.75">
      <c r="A146" s="160" t="s">
        <v>158</v>
      </c>
      <c r="B146" s="161" t="s">
        <v>335</v>
      </c>
      <c r="C146" s="214">
        <v>0</v>
      </c>
      <c r="D146" s="253">
        <v>0</v>
      </c>
      <c r="E146" s="219"/>
      <c r="F146" s="214">
        <f t="shared" si="14"/>
        <v>0</v>
      </c>
      <c r="G146" s="253">
        <v>0</v>
      </c>
      <c r="H146" s="219"/>
      <c r="I146" s="214">
        <v>0</v>
      </c>
      <c r="J146" s="253">
        <v>0</v>
      </c>
      <c r="K146" s="219"/>
      <c r="L146" s="162"/>
      <c r="M146" s="158">
        <f t="shared" si="10"/>
        <v>0</v>
      </c>
      <c r="N146" s="267">
        <f t="shared" si="11"/>
        <v>0</v>
      </c>
      <c r="O146" s="268">
        <f t="shared" si="12"/>
        <v>0</v>
      </c>
      <c r="P146" s="264">
        <f t="shared" si="13"/>
        <v>0</v>
      </c>
      <c r="Q146" s="294"/>
      <c r="R146" s="277"/>
      <c r="S146" s="303"/>
      <c r="T146" s="290"/>
      <c r="U146" s="7"/>
      <c r="V146" s="7"/>
    </row>
    <row r="147" spans="1:22" s="5" customFormat="1" ht="37.5">
      <c r="A147" s="177" t="s">
        <v>159</v>
      </c>
      <c r="B147" s="161" t="s">
        <v>160</v>
      </c>
      <c r="C147" s="214">
        <f>C146-C136</f>
        <v>-932</v>
      </c>
      <c r="D147" s="253">
        <f>D146-D136</f>
        <v>-0.28199037340223632</v>
      </c>
      <c r="E147" s="219"/>
      <c r="F147" s="214">
        <f t="shared" si="14"/>
        <v>-909</v>
      </c>
      <c r="G147" s="253">
        <f>G146-G136</f>
        <v>-0.22504251960775701</v>
      </c>
      <c r="H147" s="219"/>
      <c r="I147" s="214">
        <f>I146-I136</f>
        <v>-1841</v>
      </c>
      <c r="J147" s="253">
        <f>J146-J136</f>
        <v>-0.25351644650499666</v>
      </c>
      <c r="K147" s="219"/>
      <c r="L147" s="162"/>
      <c r="M147" s="158">
        <f t="shared" si="10"/>
        <v>-0.25351644650499666</v>
      </c>
      <c r="N147" s="267">
        <f t="shared" si="11"/>
        <v>0</v>
      </c>
      <c r="O147" s="268">
        <f t="shared" si="12"/>
        <v>-1841</v>
      </c>
      <c r="P147" s="264">
        <f t="shared" si="13"/>
        <v>0</v>
      </c>
      <c r="Q147" s="294"/>
      <c r="R147" s="277"/>
      <c r="S147" s="272"/>
      <c r="T147" s="290"/>
      <c r="U147" s="7"/>
      <c r="V147" s="7"/>
    </row>
    <row r="148" spans="1:22" s="5" customFormat="1" ht="18.75">
      <c r="A148" s="160" t="s">
        <v>161</v>
      </c>
      <c r="B148" s="161" t="s">
        <v>172</v>
      </c>
      <c r="C148" s="214">
        <v>1190</v>
      </c>
      <c r="D148" s="253">
        <v>0.37704330825692273</v>
      </c>
      <c r="E148" s="219"/>
      <c r="F148" s="214">
        <f t="shared" si="14"/>
        <v>930</v>
      </c>
      <c r="G148" s="253">
        <f>(J148*2)-D148</f>
        <v>0.29477527498131834</v>
      </c>
      <c r="H148" s="219"/>
      <c r="I148" s="214">
        <v>2120</v>
      </c>
      <c r="J148" s="253">
        <v>0.33590929161912053</v>
      </c>
      <c r="K148" s="219"/>
      <c r="L148" s="162"/>
      <c r="M148" s="158">
        <f t="shared" si="10"/>
        <v>0.33590929161912053</v>
      </c>
      <c r="N148" s="267">
        <f t="shared" si="11"/>
        <v>0</v>
      </c>
      <c r="O148" s="268">
        <f t="shared" si="12"/>
        <v>2120</v>
      </c>
      <c r="P148" s="264">
        <f t="shared" si="13"/>
        <v>0</v>
      </c>
      <c r="Q148" s="294"/>
      <c r="R148" s="277"/>
      <c r="S148" s="272"/>
      <c r="T148" s="290"/>
      <c r="U148" s="7"/>
      <c r="V148" s="7"/>
    </row>
    <row r="149" spans="1:22" s="5" customFormat="1" ht="37.5">
      <c r="A149" s="177" t="s">
        <v>162</v>
      </c>
      <c r="B149" s="161" t="s">
        <v>163</v>
      </c>
      <c r="C149" s="214">
        <f>C148-C137</f>
        <v>1190</v>
      </c>
      <c r="D149" s="253">
        <f>D148-D137</f>
        <v>0.37704330825692273</v>
      </c>
      <c r="E149" s="219"/>
      <c r="F149" s="214">
        <f t="shared" si="14"/>
        <v>930</v>
      </c>
      <c r="G149" s="253">
        <f>G148-G137</f>
        <v>0.29477527498131834</v>
      </c>
      <c r="H149" s="219"/>
      <c r="I149" s="214">
        <f>I148-I137</f>
        <v>2120</v>
      </c>
      <c r="J149" s="253">
        <f>J148-J137</f>
        <v>0.33590929161912053</v>
      </c>
      <c r="K149" s="219"/>
      <c r="L149" s="162"/>
      <c r="M149" s="158">
        <f t="shared" si="10"/>
        <v>0.33590929161912053</v>
      </c>
      <c r="N149" s="267">
        <f t="shared" si="11"/>
        <v>0</v>
      </c>
      <c r="O149" s="268">
        <f t="shared" si="12"/>
        <v>2120</v>
      </c>
      <c r="P149" s="264">
        <f t="shared" si="13"/>
        <v>0</v>
      </c>
      <c r="Q149" s="294"/>
      <c r="R149" s="277"/>
      <c r="S149" s="272"/>
      <c r="T149" s="290"/>
      <c r="U149" s="7"/>
      <c r="V149" s="7"/>
    </row>
    <row r="150" spans="1:22" s="5" customFormat="1" ht="18.75">
      <c r="A150" s="160" t="s">
        <v>164</v>
      </c>
      <c r="B150" s="161" t="s">
        <v>247</v>
      </c>
      <c r="C150" s="214">
        <v>0</v>
      </c>
      <c r="D150" s="253">
        <v>0</v>
      </c>
      <c r="E150" s="219"/>
      <c r="F150" s="214">
        <f t="shared" si="14"/>
        <v>0</v>
      </c>
      <c r="G150" s="253">
        <v>0</v>
      </c>
      <c r="H150" s="219"/>
      <c r="I150" s="214">
        <v>0</v>
      </c>
      <c r="J150" s="253">
        <v>0</v>
      </c>
      <c r="K150" s="219"/>
      <c r="L150" s="162"/>
      <c r="M150" s="158">
        <f t="shared" si="10"/>
        <v>0</v>
      </c>
      <c r="N150" s="267">
        <f t="shared" si="11"/>
        <v>0</v>
      </c>
      <c r="O150" s="268">
        <f t="shared" si="12"/>
        <v>0</v>
      </c>
      <c r="P150" s="264">
        <f t="shared" si="13"/>
        <v>0</v>
      </c>
      <c r="Q150" s="294"/>
      <c r="R150" s="277"/>
      <c r="S150" s="272"/>
      <c r="T150" s="290"/>
      <c r="U150" s="7"/>
      <c r="V150" s="7"/>
    </row>
    <row r="151" spans="1:22" s="5" customFormat="1" ht="37.5">
      <c r="A151" s="177" t="s">
        <v>166</v>
      </c>
      <c r="B151" s="161" t="s">
        <v>167</v>
      </c>
      <c r="C151" s="214">
        <f>C150-C138</f>
        <v>-110</v>
      </c>
      <c r="D151" s="256">
        <f>D150-D138</f>
        <v>-3.4852742780051682E-2</v>
      </c>
      <c r="E151" s="219"/>
      <c r="F151" s="214">
        <f t="shared" si="14"/>
        <v>-90</v>
      </c>
      <c r="G151" s="253">
        <f>G150-G138</f>
        <v>-2.8526368846197483E-2</v>
      </c>
      <c r="H151" s="219"/>
      <c r="I151" s="214">
        <f>I150-I138</f>
        <v>-200</v>
      </c>
      <c r="J151" s="256">
        <f>J150-J138</f>
        <v>-3.1689555813124583E-2</v>
      </c>
      <c r="K151" s="219"/>
      <c r="L151" s="162"/>
      <c r="M151" s="158">
        <f t="shared" si="10"/>
        <v>-3.1689555813124583E-2</v>
      </c>
      <c r="N151" s="267">
        <f t="shared" si="11"/>
        <v>0</v>
      </c>
      <c r="O151" s="268">
        <f t="shared" si="12"/>
        <v>-200</v>
      </c>
      <c r="P151" s="264">
        <f t="shared" si="13"/>
        <v>0</v>
      </c>
      <c r="Q151" s="294"/>
      <c r="R151" s="277"/>
      <c r="S151" s="272"/>
      <c r="T151" s="290"/>
      <c r="U151" s="7"/>
      <c r="V151" s="7"/>
    </row>
    <row r="152" spans="1:22" ht="24.95" hidden="1" customHeight="1">
      <c r="D152" s="205"/>
      <c r="J152" s="205"/>
      <c r="M152" s="158">
        <f t="shared" si="10"/>
        <v>0</v>
      </c>
      <c r="N152" s="267">
        <f t="shared" si="11"/>
        <v>0</v>
      </c>
      <c r="O152" s="268">
        <f t="shared" si="12"/>
        <v>0</v>
      </c>
      <c r="P152" s="264">
        <f t="shared" si="13"/>
        <v>0</v>
      </c>
      <c r="R152" s="277"/>
    </row>
    <row r="153" spans="1:22" ht="24.75" hidden="1" customHeight="1">
      <c r="D153" s="205"/>
      <c r="J153" s="205"/>
      <c r="M153" s="158">
        <f t="shared" si="10"/>
        <v>0</v>
      </c>
      <c r="N153" s="267">
        <f t="shared" si="11"/>
        <v>0</v>
      </c>
      <c r="O153" s="268">
        <f t="shared" si="12"/>
        <v>0</v>
      </c>
      <c r="P153" s="264">
        <f t="shared" si="13"/>
        <v>0</v>
      </c>
      <c r="R153" s="277"/>
    </row>
    <row r="154" spans="1:22" s="13" customFormat="1" ht="77.25" customHeight="1">
      <c r="A154" s="13" t="s">
        <v>168</v>
      </c>
      <c r="B154" s="14"/>
      <c r="C154" s="17"/>
      <c r="D154" s="229"/>
      <c r="J154" s="286" t="s">
        <v>334</v>
      </c>
      <c r="M154" s="16"/>
      <c r="N154" s="16"/>
      <c r="O154" s="230"/>
      <c r="P154" s="16"/>
      <c r="Q154" s="300"/>
      <c r="R154" s="278"/>
      <c r="S154" s="16"/>
      <c r="T154" s="291"/>
      <c r="U154" s="16"/>
      <c r="V154" s="16"/>
    </row>
    <row r="155" spans="1:22" s="13" customFormat="1" ht="39.6" customHeight="1">
      <c r="B155" s="14"/>
      <c r="C155" s="17"/>
      <c r="D155" s="229"/>
      <c r="I155" s="17"/>
      <c r="J155" s="286"/>
      <c r="M155" s="16"/>
      <c r="N155" s="16"/>
      <c r="O155" s="230"/>
      <c r="P155" s="16"/>
      <c r="Q155" s="300"/>
      <c r="R155" s="278"/>
      <c r="S155" s="16"/>
      <c r="T155" s="291"/>
      <c r="U155" s="16"/>
      <c r="V155" s="16"/>
    </row>
    <row r="156" spans="1:22" s="13" customFormat="1" ht="43.9" customHeight="1">
      <c r="A156" s="13" t="s">
        <v>336</v>
      </c>
      <c r="B156" s="14"/>
      <c r="C156" s="17"/>
      <c r="D156" s="229"/>
      <c r="J156" s="286" t="s">
        <v>338</v>
      </c>
      <c r="M156" s="16"/>
      <c r="N156" s="16"/>
      <c r="O156" s="230"/>
      <c r="P156" s="16"/>
      <c r="Q156" s="300"/>
      <c r="R156" s="278"/>
      <c r="S156" s="16"/>
      <c r="T156" s="291"/>
      <c r="U156" s="16"/>
      <c r="V156" s="16"/>
    </row>
    <row r="157" spans="1:22" s="13" customFormat="1" ht="28.9" customHeight="1">
      <c r="B157" s="14"/>
      <c r="C157" s="17"/>
      <c r="D157" s="229"/>
      <c r="I157" s="17"/>
      <c r="J157" s="286"/>
      <c r="M157" s="16"/>
      <c r="N157" s="16"/>
      <c r="O157" s="230"/>
      <c r="P157" s="16"/>
      <c r="Q157" s="300"/>
      <c r="R157" s="278"/>
      <c r="S157" s="16"/>
      <c r="T157" s="291"/>
      <c r="U157" s="16"/>
      <c r="V157" s="16"/>
    </row>
    <row r="158" spans="1:22" s="13" customFormat="1" ht="50.45" customHeight="1">
      <c r="A158" s="13" t="s">
        <v>337</v>
      </c>
      <c r="B158" s="14"/>
      <c r="C158" s="17"/>
      <c r="D158" s="229"/>
      <c r="E158" s="14"/>
      <c r="F158" s="14"/>
      <c r="G158" s="14"/>
      <c r="H158" s="14"/>
      <c r="J158" s="286" t="s">
        <v>253</v>
      </c>
      <c r="M158" s="16"/>
      <c r="N158" s="16"/>
      <c r="O158" s="230"/>
      <c r="P158" s="16"/>
      <c r="Q158" s="300"/>
      <c r="R158" s="278"/>
      <c r="S158" s="16"/>
      <c r="T158" s="291"/>
      <c r="U158" s="16"/>
      <c r="V158" s="16"/>
    </row>
    <row r="161" spans="2:20">
      <c r="D161" s="292"/>
      <c r="E161" s="293"/>
      <c r="F161" s="293"/>
      <c r="G161" s="293"/>
      <c r="H161" s="293"/>
      <c r="I161" s="292"/>
      <c r="J161" s="292"/>
      <c r="K161" s="293"/>
    </row>
    <row r="162" spans="2:20" s="435" customFormat="1">
      <c r="B162" s="4"/>
      <c r="C162" s="205"/>
      <c r="D162" s="281"/>
      <c r="E162" s="282"/>
      <c r="F162" s="282"/>
      <c r="G162" s="282"/>
      <c r="H162" s="282"/>
      <c r="I162" s="281"/>
      <c r="J162" s="281"/>
      <c r="K162" s="282"/>
      <c r="L162" s="439"/>
      <c r="O162" s="437"/>
      <c r="Q162" s="434"/>
      <c r="R162" s="438"/>
      <c r="T162" s="436"/>
    </row>
    <row r="163" spans="2:20" s="435" customFormat="1">
      <c r="B163" s="4"/>
      <c r="C163" s="205"/>
      <c r="D163" s="206"/>
      <c r="E163" s="145"/>
      <c r="F163" s="145"/>
      <c r="G163" s="145"/>
      <c r="H163" s="145"/>
      <c r="I163" s="205"/>
      <c r="J163" s="206"/>
      <c r="K163" s="145"/>
      <c r="L163" s="433"/>
      <c r="O163" s="437"/>
      <c r="Q163" s="434"/>
      <c r="R163" s="438"/>
      <c r="T163" s="436"/>
    </row>
    <row r="164" spans="2:20" s="435" customFormat="1">
      <c r="B164" s="4"/>
      <c r="C164" s="205"/>
      <c r="D164" s="206"/>
      <c r="E164" s="145"/>
      <c r="F164" s="145"/>
      <c r="G164" s="145"/>
      <c r="H164" s="145"/>
      <c r="I164" s="205"/>
      <c r="J164" s="206"/>
      <c r="K164" s="145"/>
      <c r="L164" s="433"/>
      <c r="O164" s="437"/>
      <c r="Q164" s="434"/>
      <c r="R164" s="438"/>
      <c r="T164" s="436"/>
    </row>
    <row r="165" spans="2:20" s="435" customFormat="1">
      <c r="B165" s="4"/>
      <c r="C165" s="205"/>
      <c r="D165" s="206"/>
      <c r="E165" s="145"/>
      <c r="F165" s="145"/>
      <c r="G165" s="145"/>
      <c r="H165" s="145"/>
      <c r="I165" s="205"/>
      <c r="J165" s="206"/>
      <c r="K165" s="145"/>
      <c r="L165" s="433"/>
      <c r="O165" s="437"/>
      <c r="Q165" s="434"/>
      <c r="R165" s="438"/>
      <c r="T165" s="436"/>
    </row>
    <row r="166" spans="2:20" s="435" customFormat="1">
      <c r="B166" s="4"/>
      <c r="C166" s="205"/>
      <c r="D166" s="206"/>
      <c r="E166" s="145"/>
      <c r="F166" s="145"/>
      <c r="G166" s="145"/>
      <c r="H166" s="145"/>
      <c r="I166" s="205"/>
      <c r="J166" s="206"/>
      <c r="K166" s="145"/>
      <c r="L166" s="433"/>
      <c r="O166" s="437"/>
      <c r="Q166" s="434"/>
      <c r="R166" s="438"/>
      <c r="T166" s="436"/>
    </row>
    <row r="167" spans="2:20" s="435" customFormat="1">
      <c r="B167" s="4"/>
      <c r="C167" s="205"/>
      <c r="D167" s="206"/>
      <c r="E167" s="145"/>
      <c r="F167" s="145"/>
      <c r="G167" s="145"/>
      <c r="H167" s="145"/>
      <c r="I167" s="205"/>
      <c r="J167" s="206"/>
      <c r="K167" s="145"/>
      <c r="L167" s="433"/>
      <c r="O167" s="437"/>
      <c r="Q167" s="434"/>
      <c r="R167" s="438"/>
      <c r="T167" s="436"/>
    </row>
    <row r="168" spans="2:20" s="435" customFormat="1">
      <c r="B168" s="4"/>
      <c r="C168" s="205"/>
      <c r="D168" s="206"/>
      <c r="E168" s="145"/>
      <c r="F168" s="145"/>
      <c r="G168" s="145"/>
      <c r="H168" s="145"/>
      <c r="I168" s="205"/>
      <c r="J168" s="206"/>
      <c r="K168" s="145"/>
      <c r="L168" s="433"/>
      <c r="O168" s="437"/>
      <c r="Q168" s="434"/>
      <c r="R168" s="438"/>
      <c r="T168" s="436"/>
    </row>
    <row r="169" spans="2:20" s="435" customFormat="1">
      <c r="B169" s="4"/>
      <c r="C169" s="205"/>
      <c r="D169" s="206"/>
      <c r="E169" s="145"/>
      <c r="F169" s="145"/>
      <c r="G169" s="145"/>
      <c r="H169" s="145"/>
      <c r="I169" s="205"/>
      <c r="J169" s="206"/>
      <c r="K169" s="145"/>
      <c r="L169" s="433"/>
      <c r="O169" s="437"/>
      <c r="Q169" s="434"/>
      <c r="R169" s="438"/>
      <c r="T169" s="436"/>
    </row>
    <row r="170" spans="2:20" s="435" customFormat="1">
      <c r="B170" s="4"/>
      <c r="C170" s="205"/>
      <c r="D170" s="206"/>
      <c r="E170" s="145"/>
      <c r="F170" s="145"/>
      <c r="G170" s="145"/>
      <c r="H170" s="145"/>
      <c r="I170" s="205"/>
      <c r="J170" s="206"/>
      <c r="K170" s="145"/>
      <c r="L170" s="433"/>
      <c r="O170" s="437"/>
      <c r="Q170" s="434"/>
      <c r="R170" s="438"/>
      <c r="T170" s="436"/>
    </row>
    <row r="171" spans="2:20" s="435" customFormat="1">
      <c r="B171" s="4"/>
      <c r="C171" s="205"/>
      <c r="D171" s="206"/>
      <c r="E171" s="145"/>
      <c r="F171" s="145"/>
      <c r="G171" s="145"/>
      <c r="H171" s="145"/>
      <c r="I171" s="205"/>
      <c r="J171" s="206"/>
      <c r="K171" s="145"/>
      <c r="L171" s="433"/>
      <c r="O171" s="437"/>
      <c r="Q171" s="434"/>
      <c r="R171" s="438"/>
      <c r="T171" s="436"/>
    </row>
    <row r="172" spans="2:20" s="435" customFormat="1">
      <c r="B172" s="4"/>
      <c r="C172" s="205"/>
      <c r="D172" s="206"/>
      <c r="E172" s="145"/>
      <c r="F172" s="145"/>
      <c r="G172" s="145"/>
      <c r="H172" s="145"/>
      <c r="I172" s="205"/>
      <c r="J172" s="206"/>
      <c r="K172" s="145"/>
      <c r="L172" s="433"/>
      <c r="O172" s="437"/>
      <c r="Q172" s="434"/>
      <c r="R172" s="438"/>
      <c r="T172" s="436"/>
    </row>
    <row r="173" spans="2:20" s="435" customFormat="1">
      <c r="B173" s="4"/>
      <c r="C173" s="205"/>
      <c r="D173" s="206"/>
      <c r="E173" s="145"/>
      <c r="F173" s="145"/>
      <c r="G173" s="145"/>
      <c r="H173" s="145"/>
      <c r="I173" s="205"/>
      <c r="J173" s="206"/>
      <c r="K173" s="145"/>
      <c r="L173" s="433"/>
      <c r="O173" s="437"/>
      <c r="Q173" s="434"/>
      <c r="R173" s="438"/>
      <c r="T173" s="436"/>
    </row>
    <row r="174" spans="2:20" s="435" customFormat="1">
      <c r="B174" s="4"/>
      <c r="C174" s="205"/>
      <c r="D174" s="206"/>
      <c r="E174" s="145"/>
      <c r="F174" s="145"/>
      <c r="G174" s="145"/>
      <c r="H174" s="145"/>
      <c r="I174" s="205"/>
      <c r="J174" s="206"/>
      <c r="K174" s="145"/>
      <c r="L174" s="433"/>
      <c r="O174" s="437"/>
      <c r="Q174" s="434"/>
      <c r="R174" s="438"/>
      <c r="T174" s="436"/>
    </row>
    <row r="175" spans="2:20" s="435" customFormat="1">
      <c r="B175" s="4"/>
      <c r="C175" s="205"/>
      <c r="D175" s="206"/>
      <c r="E175" s="145"/>
      <c r="F175" s="145"/>
      <c r="G175" s="145"/>
      <c r="H175" s="145"/>
      <c r="I175" s="205"/>
      <c r="J175" s="206"/>
      <c r="K175" s="145"/>
      <c r="L175" s="433"/>
      <c r="O175" s="437"/>
      <c r="Q175" s="434"/>
      <c r="R175" s="438"/>
      <c r="T175" s="436"/>
    </row>
    <row r="176" spans="2:20" s="435" customFormat="1">
      <c r="B176" s="4"/>
      <c r="C176" s="205"/>
      <c r="D176" s="206"/>
      <c r="E176" s="145"/>
      <c r="F176" s="145"/>
      <c r="G176" s="145"/>
      <c r="H176" s="145"/>
      <c r="I176" s="205"/>
      <c r="J176" s="206"/>
      <c r="K176" s="145"/>
      <c r="L176" s="433"/>
      <c r="O176" s="437"/>
      <c r="Q176" s="434"/>
      <c r="R176" s="438"/>
      <c r="T176" s="436"/>
    </row>
    <row r="177" spans="2:20" s="435" customFormat="1">
      <c r="B177" s="4"/>
      <c r="C177" s="205"/>
      <c r="D177" s="206"/>
      <c r="E177" s="145"/>
      <c r="F177" s="145"/>
      <c r="G177" s="145"/>
      <c r="H177" s="145"/>
      <c r="I177" s="205"/>
      <c r="J177" s="206"/>
      <c r="K177" s="145"/>
      <c r="L177" s="433"/>
      <c r="O177" s="437"/>
      <c r="Q177" s="434"/>
      <c r="R177" s="438"/>
      <c r="T177" s="436"/>
    </row>
    <row r="178" spans="2:20" s="435" customFormat="1">
      <c r="B178" s="4"/>
      <c r="C178" s="205"/>
      <c r="D178" s="206"/>
      <c r="E178" s="145"/>
      <c r="F178" s="145"/>
      <c r="G178" s="145"/>
      <c r="H178" s="145"/>
      <c r="I178" s="205"/>
      <c r="J178" s="206"/>
      <c r="K178" s="145"/>
      <c r="L178" s="433"/>
      <c r="O178" s="437"/>
      <c r="Q178" s="434"/>
      <c r="R178" s="438"/>
      <c r="T178" s="436"/>
    </row>
    <row r="179" spans="2:20" s="435" customFormat="1">
      <c r="B179" s="4"/>
      <c r="C179" s="205"/>
      <c r="D179" s="206"/>
      <c r="E179" s="145"/>
      <c r="F179" s="145"/>
      <c r="G179" s="145"/>
      <c r="H179" s="145"/>
      <c r="I179" s="205"/>
      <c r="J179" s="206"/>
      <c r="K179" s="145"/>
      <c r="L179" s="433"/>
      <c r="O179" s="437"/>
      <c r="Q179" s="434"/>
      <c r="R179" s="438"/>
      <c r="T179" s="436"/>
    </row>
    <row r="180" spans="2:20" s="435" customFormat="1">
      <c r="B180" s="4"/>
      <c r="C180" s="205"/>
      <c r="D180" s="206"/>
      <c r="E180" s="145"/>
      <c r="F180" s="145"/>
      <c r="G180" s="145"/>
      <c r="H180" s="145"/>
      <c r="I180" s="205"/>
      <c r="J180" s="206"/>
      <c r="K180" s="145"/>
      <c r="L180" s="433"/>
      <c r="O180" s="437"/>
      <c r="Q180" s="434"/>
      <c r="R180" s="438"/>
      <c r="T180" s="436"/>
    </row>
    <row r="181" spans="2:20" s="435" customFormat="1">
      <c r="B181" s="4"/>
      <c r="C181" s="205"/>
      <c r="D181" s="206"/>
      <c r="E181" s="145"/>
      <c r="F181" s="145"/>
      <c r="G181" s="145"/>
      <c r="H181" s="145"/>
      <c r="I181" s="205"/>
      <c r="J181" s="206"/>
      <c r="K181" s="145"/>
      <c r="L181" s="433"/>
      <c r="O181" s="437"/>
      <c r="Q181" s="434"/>
      <c r="R181" s="438"/>
      <c r="T181" s="436"/>
    </row>
    <row r="182" spans="2:20" s="435" customFormat="1">
      <c r="B182" s="4"/>
      <c r="C182" s="205"/>
      <c r="D182" s="206"/>
      <c r="E182" s="145"/>
      <c r="F182" s="145"/>
      <c r="G182" s="145"/>
      <c r="H182" s="145"/>
      <c r="I182" s="205"/>
      <c r="J182" s="206"/>
      <c r="K182" s="145"/>
      <c r="L182" s="433"/>
      <c r="O182" s="437"/>
      <c r="Q182" s="434"/>
      <c r="R182" s="438"/>
      <c r="T182" s="436"/>
    </row>
    <row r="183" spans="2:20" s="435" customFormat="1">
      <c r="B183" s="4"/>
      <c r="C183" s="205"/>
      <c r="D183" s="206"/>
      <c r="E183" s="145"/>
      <c r="F183" s="145"/>
      <c r="G183" s="145"/>
      <c r="H183" s="145"/>
      <c r="I183" s="205"/>
      <c r="J183" s="206"/>
      <c r="K183" s="145"/>
      <c r="L183" s="433"/>
      <c r="O183" s="437"/>
      <c r="Q183" s="434"/>
      <c r="R183" s="438"/>
      <c r="T183" s="436"/>
    </row>
    <row r="184" spans="2:20" s="435" customFormat="1">
      <c r="B184" s="4"/>
      <c r="C184" s="205"/>
      <c r="D184" s="206"/>
      <c r="E184" s="145"/>
      <c r="F184" s="145"/>
      <c r="G184" s="145"/>
      <c r="H184" s="145"/>
      <c r="I184" s="205"/>
      <c r="J184" s="206"/>
      <c r="K184" s="145"/>
      <c r="L184" s="433"/>
      <c r="O184" s="437"/>
      <c r="Q184" s="434"/>
      <c r="R184" s="438"/>
      <c r="T184" s="436"/>
    </row>
    <row r="185" spans="2:20" s="435" customFormat="1">
      <c r="B185" s="4"/>
      <c r="C185" s="205"/>
      <c r="D185" s="206"/>
      <c r="E185" s="145"/>
      <c r="F185" s="145"/>
      <c r="G185" s="145"/>
      <c r="H185" s="145"/>
      <c r="I185" s="205"/>
      <c r="J185" s="206"/>
      <c r="K185" s="145"/>
      <c r="L185" s="433"/>
      <c r="O185" s="437"/>
      <c r="Q185" s="434"/>
      <c r="R185" s="438"/>
      <c r="T185" s="436"/>
    </row>
    <row r="186" spans="2:20" s="435" customFormat="1">
      <c r="B186" s="4"/>
      <c r="C186" s="205"/>
      <c r="D186" s="206"/>
      <c r="E186" s="145"/>
      <c r="F186" s="145"/>
      <c r="G186" s="145"/>
      <c r="H186" s="145"/>
      <c r="I186" s="205"/>
      <c r="J186" s="206"/>
      <c r="K186" s="145"/>
      <c r="L186" s="433"/>
      <c r="O186" s="437"/>
      <c r="Q186" s="434"/>
      <c r="R186" s="438"/>
      <c r="T186" s="436"/>
    </row>
    <row r="187" spans="2:20" s="435" customFormat="1">
      <c r="B187" s="4"/>
      <c r="C187" s="205"/>
      <c r="D187" s="206"/>
      <c r="E187" s="145"/>
      <c r="F187" s="145"/>
      <c r="G187" s="145"/>
      <c r="H187" s="145"/>
      <c r="I187" s="205"/>
      <c r="J187" s="206"/>
      <c r="K187" s="145"/>
      <c r="L187" s="433"/>
      <c r="O187" s="437"/>
      <c r="Q187" s="434"/>
      <c r="R187" s="438"/>
      <c r="T187" s="436"/>
    </row>
    <row r="188" spans="2:20" s="435" customFormat="1">
      <c r="B188" s="4"/>
      <c r="C188" s="205"/>
      <c r="D188" s="206"/>
      <c r="E188" s="145"/>
      <c r="F188" s="145"/>
      <c r="G188" s="145"/>
      <c r="H188" s="145"/>
      <c r="I188" s="205"/>
      <c r="J188" s="206"/>
      <c r="K188" s="145"/>
      <c r="L188" s="433"/>
      <c r="O188" s="437"/>
      <c r="Q188" s="434"/>
      <c r="R188" s="438"/>
      <c r="T188" s="436"/>
    </row>
    <row r="189" spans="2:20" s="435" customFormat="1">
      <c r="B189" s="4"/>
      <c r="C189" s="205"/>
      <c r="D189" s="206"/>
      <c r="E189" s="145"/>
      <c r="F189" s="145"/>
      <c r="G189" s="145"/>
      <c r="H189" s="145"/>
      <c r="I189" s="205"/>
      <c r="J189" s="206"/>
      <c r="K189" s="145"/>
      <c r="L189" s="433"/>
      <c r="O189" s="437"/>
      <c r="Q189" s="434"/>
      <c r="R189" s="438"/>
      <c r="T189" s="436"/>
    </row>
    <row r="190" spans="2:20" s="435" customFormat="1">
      <c r="B190" s="4"/>
      <c r="C190" s="205"/>
      <c r="D190" s="206"/>
      <c r="E190" s="145"/>
      <c r="F190" s="145"/>
      <c r="G190" s="145"/>
      <c r="H190" s="145"/>
      <c r="I190" s="205"/>
      <c r="J190" s="206"/>
      <c r="K190" s="145"/>
      <c r="L190" s="433"/>
      <c r="O190" s="437"/>
      <c r="Q190" s="434"/>
      <c r="R190" s="438"/>
      <c r="T190" s="436"/>
    </row>
    <row r="191" spans="2:20" s="435" customFormat="1">
      <c r="B191" s="4"/>
      <c r="C191" s="205"/>
      <c r="D191" s="206"/>
      <c r="E191" s="145"/>
      <c r="F191" s="145"/>
      <c r="G191" s="145"/>
      <c r="H191" s="145"/>
      <c r="I191" s="205"/>
      <c r="J191" s="206"/>
      <c r="K191" s="145"/>
      <c r="L191" s="433"/>
      <c r="O191" s="437"/>
      <c r="Q191" s="434"/>
      <c r="R191" s="438"/>
      <c r="T191" s="436"/>
    </row>
    <row r="192" spans="2:20" s="435" customFormat="1">
      <c r="B192" s="4"/>
      <c r="C192" s="205"/>
      <c r="D192" s="206"/>
      <c r="E192" s="145"/>
      <c r="F192" s="145"/>
      <c r="G192" s="145"/>
      <c r="H192" s="145"/>
      <c r="I192" s="205"/>
      <c r="J192" s="206"/>
      <c r="K192" s="145"/>
      <c r="L192" s="433"/>
      <c r="O192" s="437"/>
      <c r="Q192" s="434"/>
      <c r="R192" s="438"/>
      <c r="T192" s="436"/>
    </row>
    <row r="193" spans="2:20" s="435" customFormat="1">
      <c r="B193" s="4"/>
      <c r="C193" s="205"/>
      <c r="D193" s="206"/>
      <c r="E193" s="145"/>
      <c r="F193" s="145"/>
      <c r="G193" s="145"/>
      <c r="H193" s="145"/>
      <c r="I193" s="205"/>
      <c r="J193" s="206"/>
      <c r="K193" s="145"/>
      <c r="L193" s="433"/>
      <c r="O193" s="437"/>
      <c r="Q193" s="434"/>
      <c r="R193" s="438"/>
      <c r="T193" s="436"/>
    </row>
    <row r="194" spans="2:20" s="435" customFormat="1">
      <c r="B194" s="4"/>
      <c r="C194" s="205"/>
      <c r="D194" s="206"/>
      <c r="E194" s="145"/>
      <c r="F194" s="145"/>
      <c r="G194" s="145"/>
      <c r="H194" s="145"/>
      <c r="I194" s="205"/>
      <c r="J194" s="206"/>
      <c r="K194" s="145"/>
      <c r="L194" s="433"/>
      <c r="O194" s="437"/>
      <c r="Q194" s="434"/>
      <c r="R194" s="438"/>
      <c r="T194" s="436"/>
    </row>
    <row r="195" spans="2:20" s="435" customFormat="1">
      <c r="B195" s="4"/>
      <c r="C195" s="205"/>
      <c r="D195" s="206"/>
      <c r="E195" s="145"/>
      <c r="F195" s="145"/>
      <c r="G195" s="145"/>
      <c r="H195" s="145"/>
      <c r="I195" s="205"/>
      <c r="J195" s="206"/>
      <c r="K195" s="145"/>
      <c r="L195" s="433"/>
      <c r="O195" s="437"/>
      <c r="Q195" s="434"/>
      <c r="R195" s="438"/>
      <c r="T195" s="436"/>
    </row>
    <row r="196" spans="2:20" s="435" customFormat="1">
      <c r="B196" s="4"/>
      <c r="C196" s="205"/>
      <c r="D196" s="206"/>
      <c r="E196" s="145"/>
      <c r="F196" s="145"/>
      <c r="G196" s="145"/>
      <c r="H196" s="145"/>
      <c r="I196" s="205"/>
      <c r="J196" s="206"/>
      <c r="K196" s="145"/>
      <c r="L196" s="433"/>
      <c r="O196" s="437"/>
      <c r="Q196" s="434"/>
      <c r="R196" s="438"/>
      <c r="T196" s="436"/>
    </row>
    <row r="197" spans="2:20" s="435" customFormat="1">
      <c r="B197" s="4"/>
      <c r="C197" s="205"/>
      <c r="D197" s="206"/>
      <c r="E197" s="145"/>
      <c r="F197" s="145"/>
      <c r="G197" s="145"/>
      <c r="H197" s="145"/>
      <c r="I197" s="205"/>
      <c r="J197" s="206"/>
      <c r="K197" s="145"/>
      <c r="L197" s="433"/>
      <c r="O197" s="437"/>
      <c r="Q197" s="434"/>
      <c r="R197" s="438"/>
      <c r="T197" s="436"/>
    </row>
    <row r="198" spans="2:20" s="435" customFormat="1">
      <c r="B198" s="4"/>
      <c r="C198" s="205"/>
      <c r="D198" s="206"/>
      <c r="E198" s="145"/>
      <c r="F198" s="145"/>
      <c r="G198" s="145"/>
      <c r="H198" s="145"/>
      <c r="I198" s="205"/>
      <c r="J198" s="206"/>
      <c r="K198" s="145"/>
      <c r="L198" s="433"/>
      <c r="O198" s="437"/>
      <c r="Q198" s="434"/>
      <c r="R198" s="438"/>
      <c r="T198" s="436"/>
    </row>
    <row r="199" spans="2:20" s="435" customFormat="1">
      <c r="B199" s="4"/>
      <c r="C199" s="205"/>
      <c r="D199" s="206"/>
      <c r="E199" s="145"/>
      <c r="F199" s="145"/>
      <c r="G199" s="145"/>
      <c r="H199" s="145"/>
      <c r="I199" s="205"/>
      <c r="J199" s="206"/>
      <c r="K199" s="145"/>
      <c r="L199" s="433"/>
      <c r="O199" s="437"/>
      <c r="Q199" s="434"/>
      <c r="R199" s="438"/>
      <c r="T199" s="436"/>
    </row>
  </sheetData>
  <mergeCells count="8">
    <mergeCell ref="A1:L1"/>
    <mergeCell ref="A2:L2"/>
    <mergeCell ref="I4:L4"/>
    <mergeCell ref="A5:A6"/>
    <mergeCell ref="B5:B6"/>
    <mergeCell ref="C5:E5"/>
    <mergeCell ref="F5:H5"/>
    <mergeCell ref="I5:K5"/>
  </mergeCells>
  <printOptions horizontalCentered="1" verticalCentered="1"/>
  <pageMargins left="0" right="0" top="0" bottom="0" header="0" footer="0"/>
  <pageSetup paperSize="9" scale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workbookViewId="0">
      <selection activeCell="I12" sqref="I12"/>
    </sheetView>
  </sheetViews>
  <sheetFormatPr defaultRowHeight="15.75" customHeight="1" outlineLevelRow="1"/>
  <cols>
    <col min="2" max="2" width="49.28515625" customWidth="1"/>
    <col min="3" max="3" width="11" customWidth="1"/>
    <col min="4" max="12" width="10.140625" customWidth="1"/>
  </cols>
  <sheetData>
    <row r="1" spans="1:16" s="5" customFormat="1" ht="24" customHeight="1">
      <c r="A1" s="497" t="s">
        <v>241</v>
      </c>
      <c r="B1" s="497"/>
      <c r="C1" s="497"/>
      <c r="D1" s="497"/>
      <c r="E1" s="497"/>
      <c r="F1" s="497"/>
      <c r="G1" s="497"/>
      <c r="H1" s="497"/>
      <c r="I1" s="7"/>
      <c r="J1" s="7"/>
      <c r="K1" s="294"/>
      <c r="L1" s="274"/>
      <c r="M1" s="7"/>
      <c r="N1" s="287"/>
      <c r="O1" s="7"/>
      <c r="P1" s="7"/>
    </row>
    <row r="2" spans="1:16" s="5" customFormat="1" ht="23.25" customHeight="1">
      <c r="A2" s="497" t="s">
        <v>254</v>
      </c>
      <c r="B2" s="497"/>
      <c r="C2" s="497"/>
      <c r="D2" s="497"/>
      <c r="E2" s="497"/>
      <c r="F2" s="497"/>
      <c r="G2" s="497"/>
      <c r="H2" s="497"/>
      <c r="I2" s="7"/>
      <c r="J2" s="7"/>
      <c r="K2" s="294"/>
      <c r="L2" s="274"/>
      <c r="M2" s="7"/>
      <c r="N2" s="287"/>
      <c r="O2" s="7"/>
      <c r="P2" s="7"/>
    </row>
    <row r="3" spans="1:16" ht="25.5" customHeight="1">
      <c r="A3" s="498" t="s">
        <v>341</v>
      </c>
      <c r="B3" s="498"/>
      <c r="C3" s="498"/>
      <c r="D3" s="498"/>
      <c r="E3" s="498"/>
      <c r="F3" s="498"/>
      <c r="G3" s="498"/>
      <c r="H3" s="498"/>
      <c r="I3" s="498"/>
      <c r="J3" s="337"/>
      <c r="K3" s="337"/>
      <c r="L3" s="337"/>
    </row>
    <row r="4" spans="1:16" ht="15.75" customHeight="1">
      <c r="A4" s="338"/>
      <c r="B4" s="338"/>
      <c r="C4" s="338"/>
      <c r="D4" s="338"/>
      <c r="E4" s="338"/>
      <c r="F4" s="339"/>
      <c r="G4" s="338"/>
      <c r="H4" s="338"/>
      <c r="I4" s="339"/>
      <c r="J4" s="338"/>
      <c r="K4" s="338"/>
      <c r="L4" s="338"/>
    </row>
    <row r="5" spans="1:16" s="404" customFormat="1" ht="15.75" customHeight="1">
      <c r="A5" s="499" t="s">
        <v>261</v>
      </c>
      <c r="B5" s="496" t="s">
        <v>262</v>
      </c>
      <c r="C5" s="496" t="s">
        <v>263</v>
      </c>
      <c r="D5" s="496" t="s">
        <v>264</v>
      </c>
      <c r="E5" s="496"/>
      <c r="F5" s="496"/>
      <c r="G5" s="496" t="s">
        <v>265</v>
      </c>
      <c r="H5" s="496"/>
      <c r="I5" s="496"/>
      <c r="J5" s="496" t="s">
        <v>266</v>
      </c>
      <c r="K5" s="496"/>
      <c r="L5" s="496"/>
    </row>
    <row r="6" spans="1:16" s="404" customFormat="1" ht="15.75" customHeight="1">
      <c r="A6" s="499"/>
      <c r="B6" s="496"/>
      <c r="C6" s="496"/>
      <c r="D6" s="405" t="s">
        <v>267</v>
      </c>
      <c r="E6" s="405" t="s">
        <v>198</v>
      </c>
      <c r="F6" s="405" t="s">
        <v>199</v>
      </c>
      <c r="G6" s="405" t="s">
        <v>267</v>
      </c>
      <c r="H6" s="405" t="s">
        <v>198</v>
      </c>
      <c r="I6" s="405" t="s">
        <v>199</v>
      </c>
      <c r="J6" s="405" t="s">
        <v>267</v>
      </c>
      <c r="K6" s="405" t="s">
        <v>198</v>
      </c>
      <c r="L6" s="405" t="s">
        <v>199</v>
      </c>
    </row>
    <row r="7" spans="1:16" s="404" customFormat="1" ht="15.75" customHeight="1">
      <c r="A7" s="406" t="s">
        <v>9</v>
      </c>
      <c r="B7" s="406" t="s">
        <v>24</v>
      </c>
      <c r="C7" s="406" t="s">
        <v>26</v>
      </c>
      <c r="D7" s="406" t="s">
        <v>98</v>
      </c>
      <c r="E7" s="406" t="s">
        <v>116</v>
      </c>
      <c r="F7" s="406" t="s">
        <v>118</v>
      </c>
      <c r="G7" s="406" t="s">
        <v>119</v>
      </c>
      <c r="H7" s="406" t="s">
        <v>129</v>
      </c>
      <c r="I7" s="406" t="s">
        <v>144</v>
      </c>
      <c r="J7" s="406" t="s">
        <v>146</v>
      </c>
      <c r="K7" s="406" t="s">
        <v>155</v>
      </c>
      <c r="L7" s="406" t="s">
        <v>270</v>
      </c>
    </row>
    <row r="8" spans="1:16" s="404" customFormat="1" ht="21.75" customHeight="1">
      <c r="A8" s="405" t="s">
        <v>9</v>
      </c>
      <c r="B8" s="407" t="s">
        <v>318</v>
      </c>
      <c r="C8" s="408" t="s">
        <v>319</v>
      </c>
      <c r="D8" s="409">
        <f>SUM(E8:F8)</f>
        <v>350.24305000000004</v>
      </c>
      <c r="E8" s="409">
        <f>E9+E10+E11+E12</f>
        <v>349.20172000000002</v>
      </c>
      <c r="F8" s="409">
        <f>F9+F10+F11+F12</f>
        <v>1.0413300000000001</v>
      </c>
      <c r="G8" s="409">
        <f>SUM(H8:I8)</f>
        <v>299.96943000000005</v>
      </c>
      <c r="H8" s="409">
        <f>H9+H10+H11+H12</f>
        <v>298.97043000000002</v>
      </c>
      <c r="I8" s="409">
        <f>I9+I10+I11+I12</f>
        <v>0.999</v>
      </c>
      <c r="J8" s="409">
        <f>SUM(K8:L8)</f>
        <v>650.21248000000014</v>
      </c>
      <c r="K8" s="409">
        <f>K9+K10+K11+K12</f>
        <v>648.1721500000001</v>
      </c>
      <c r="L8" s="409">
        <f>L9+L10+L11+L12</f>
        <v>2.04033</v>
      </c>
    </row>
    <row r="9" spans="1:16" s="404" customFormat="1" ht="21.75" customHeight="1">
      <c r="A9" s="405" t="s">
        <v>12</v>
      </c>
      <c r="B9" s="410" t="s">
        <v>272</v>
      </c>
      <c r="C9" s="408" t="s">
        <v>319</v>
      </c>
      <c r="D9" s="409"/>
      <c r="E9" s="411"/>
      <c r="F9" s="411"/>
      <c r="G9" s="411"/>
      <c r="H9" s="411"/>
      <c r="I9" s="411"/>
      <c r="J9" s="411"/>
      <c r="K9" s="411"/>
      <c r="L9" s="411"/>
    </row>
    <row r="10" spans="1:16" s="404" customFormat="1" ht="0.75" customHeight="1">
      <c r="A10" s="405" t="s">
        <v>14</v>
      </c>
      <c r="B10" s="410" t="s">
        <v>279</v>
      </c>
      <c r="C10" s="408" t="s">
        <v>319</v>
      </c>
      <c r="D10" s="409"/>
      <c r="E10" s="412"/>
      <c r="F10" s="412"/>
      <c r="G10" s="411"/>
      <c r="H10" s="412"/>
      <c r="I10" s="412"/>
      <c r="J10" s="409"/>
      <c r="K10" s="412"/>
      <c r="L10" s="412"/>
    </row>
    <row r="11" spans="1:16" s="404" customFormat="1" ht="21.75" hidden="1" customHeight="1">
      <c r="A11" s="405" t="s">
        <v>280</v>
      </c>
      <c r="B11" s="410" t="s">
        <v>281</v>
      </c>
      <c r="C11" s="408" t="s">
        <v>319</v>
      </c>
      <c r="D11" s="409"/>
      <c r="E11" s="412"/>
      <c r="F11" s="412"/>
      <c r="G11" s="411"/>
      <c r="H11" s="412"/>
      <c r="I11" s="412"/>
      <c r="J11" s="409"/>
      <c r="K11" s="412"/>
      <c r="L11" s="412"/>
    </row>
    <row r="12" spans="1:16" s="404" customFormat="1" ht="21.75" customHeight="1">
      <c r="A12" s="405" t="s">
        <v>282</v>
      </c>
      <c r="B12" s="410" t="s">
        <v>320</v>
      </c>
      <c r="C12" s="408" t="s">
        <v>319</v>
      </c>
      <c r="D12" s="409">
        <f>SUM(E12:F12)</f>
        <v>350.24305000000004</v>
      </c>
      <c r="E12" s="412">
        <v>349.20172000000002</v>
      </c>
      <c r="F12" s="412">
        <v>1.0413300000000001</v>
      </c>
      <c r="G12" s="409">
        <f>SUM(H12:I12)</f>
        <v>299.96943000000005</v>
      </c>
      <c r="H12" s="412">
        <v>298.97043000000002</v>
      </c>
      <c r="I12" s="412">
        <v>0.999</v>
      </c>
      <c r="J12" s="409">
        <f>SUM(K12:L12)</f>
        <v>650.21248000000014</v>
      </c>
      <c r="K12" s="412">
        <f>E12+H12</f>
        <v>648.1721500000001</v>
      </c>
      <c r="L12" s="412">
        <f>F12+I12</f>
        <v>2.04033</v>
      </c>
    </row>
    <row r="13" spans="1:16" s="404" customFormat="1" ht="21.75" customHeight="1">
      <c r="A13" s="405" t="s">
        <v>24</v>
      </c>
      <c r="B13" s="407" t="s">
        <v>321</v>
      </c>
      <c r="C13" s="408" t="s">
        <v>319</v>
      </c>
      <c r="D13" s="409">
        <f>SUM(E13:F13)</f>
        <v>58.802610000000001</v>
      </c>
      <c r="E13" s="412">
        <v>17.875910000000001</v>
      </c>
      <c r="F13" s="412">
        <v>40.926699999999997</v>
      </c>
      <c r="G13" s="409">
        <f>SUM(H13:I13)</f>
        <v>47.222650000000002</v>
      </c>
      <c r="H13" s="412">
        <v>15.725250000000001</v>
      </c>
      <c r="I13" s="412">
        <v>31.497399999999999</v>
      </c>
      <c r="J13" s="409">
        <f>SUM(K13:L13)</f>
        <v>106.02526</v>
      </c>
      <c r="K13" s="412">
        <f>E13+H13</f>
        <v>33.60116</v>
      </c>
      <c r="L13" s="412">
        <f>F13+I13</f>
        <v>72.424099999999996</v>
      </c>
    </row>
    <row r="14" spans="1:16" s="404" customFormat="1" ht="21.75" customHeight="1">
      <c r="A14" s="405" t="s">
        <v>285</v>
      </c>
      <c r="B14" s="410" t="s">
        <v>322</v>
      </c>
      <c r="C14" s="408" t="s">
        <v>202</v>
      </c>
      <c r="D14" s="413">
        <f>D13/D8*100</f>
        <v>16.789086892659252</v>
      </c>
      <c r="E14" s="411"/>
      <c r="F14" s="411"/>
      <c r="G14" s="413">
        <f>G13/G8*100</f>
        <v>15.742487492808849</v>
      </c>
      <c r="H14" s="411"/>
      <c r="I14" s="411"/>
      <c r="J14" s="413">
        <f>J13/J8*100</f>
        <v>16.30624807447559</v>
      </c>
      <c r="K14" s="411"/>
      <c r="L14" s="411"/>
    </row>
    <row r="15" spans="1:16" s="404" customFormat="1" ht="21.75" customHeight="1">
      <c r="A15" s="405" t="s">
        <v>26</v>
      </c>
      <c r="B15" s="407" t="s">
        <v>323</v>
      </c>
      <c r="C15" s="408" t="s">
        <v>319</v>
      </c>
      <c r="D15" s="409"/>
      <c r="E15" s="414"/>
      <c r="F15" s="414"/>
      <c r="G15" s="409"/>
      <c r="H15" s="414"/>
      <c r="I15" s="414"/>
      <c r="J15" s="409"/>
      <c r="K15" s="414"/>
      <c r="L15" s="414"/>
    </row>
    <row r="16" spans="1:16" s="404" customFormat="1" ht="21.75" customHeight="1">
      <c r="A16" s="405" t="s">
        <v>46</v>
      </c>
      <c r="B16" s="407" t="s">
        <v>324</v>
      </c>
      <c r="C16" s="408" t="s">
        <v>319</v>
      </c>
      <c r="D16" s="409">
        <f>SUM(E16:F16)</f>
        <v>291.44114000000002</v>
      </c>
      <c r="E16" s="411">
        <f>E17+E18</f>
        <v>91.042140000000003</v>
      </c>
      <c r="F16" s="411">
        <f>F17+F18</f>
        <v>200.399</v>
      </c>
      <c r="G16" s="409">
        <f>SUM(H16:I16)</f>
        <v>252.74647999999996</v>
      </c>
      <c r="H16" s="411">
        <f>H17+H18</f>
        <v>81.02400999999999</v>
      </c>
      <c r="I16" s="411">
        <f>I17+I18</f>
        <v>171.72246999999999</v>
      </c>
      <c r="J16" s="409">
        <f>SUM(K16:L16)</f>
        <v>544.18761999999992</v>
      </c>
      <c r="K16" s="411">
        <f>K17+K18</f>
        <v>172.06614999999999</v>
      </c>
      <c r="L16" s="411">
        <f>L17+L18</f>
        <v>372.12146999999999</v>
      </c>
    </row>
    <row r="17" spans="1:22" s="404" customFormat="1" ht="21.75" customHeight="1">
      <c r="A17" s="405" t="s">
        <v>48</v>
      </c>
      <c r="B17" s="410" t="s">
        <v>325</v>
      </c>
      <c r="C17" s="408" t="s">
        <v>319</v>
      </c>
      <c r="D17" s="409">
        <f>SUM(E17:F17)</f>
        <v>114.42984</v>
      </c>
      <c r="E17" s="414">
        <v>85.908839999999998</v>
      </c>
      <c r="F17" s="414">
        <v>28.521000000000001</v>
      </c>
      <c r="G17" s="409">
        <f>SUM(H17:I17)</f>
        <v>106.99777999999999</v>
      </c>
      <c r="H17" s="414">
        <v>76.797309999999996</v>
      </c>
      <c r="I17" s="414">
        <v>30.200469999999999</v>
      </c>
      <c r="J17" s="409">
        <f>SUM(K17:L17)</f>
        <v>221.42761999999999</v>
      </c>
      <c r="K17" s="414">
        <f>E17+H17</f>
        <v>162.70614999999998</v>
      </c>
      <c r="L17" s="414">
        <f>F17+I17</f>
        <v>58.721469999999997</v>
      </c>
    </row>
    <row r="18" spans="1:22" s="404" customFormat="1" ht="28.5" customHeight="1">
      <c r="A18" s="405" t="s">
        <v>50</v>
      </c>
      <c r="B18" s="410" t="s">
        <v>340</v>
      </c>
      <c r="C18" s="408" t="s">
        <v>319</v>
      </c>
      <c r="D18" s="409">
        <f>SUM(E18:F18)</f>
        <v>177.01129999999998</v>
      </c>
      <c r="E18" s="411">
        <f t="shared" ref="E18:F18" si="0">E19</f>
        <v>5.1333000000000002</v>
      </c>
      <c r="F18" s="411">
        <f t="shared" si="0"/>
        <v>171.87799999999999</v>
      </c>
      <c r="G18" s="409">
        <f>SUM(H18:I18)</f>
        <v>145.74869999999999</v>
      </c>
      <c r="H18" s="411">
        <f t="shared" ref="H18:I18" si="1">H19</f>
        <v>4.2267000000000001</v>
      </c>
      <c r="I18" s="411">
        <f t="shared" si="1"/>
        <v>141.52199999999999</v>
      </c>
      <c r="J18" s="409">
        <f>SUM(K18:L18)</f>
        <v>322.76</v>
      </c>
      <c r="K18" s="411">
        <f t="shared" ref="K18:L18" si="2">K19</f>
        <v>9.36</v>
      </c>
      <c r="L18" s="411">
        <f t="shared" si="2"/>
        <v>313.39999999999998</v>
      </c>
    </row>
    <row r="19" spans="1:22" s="404" customFormat="1" ht="21.75" hidden="1" customHeight="1" outlineLevel="1">
      <c r="A19" s="405" t="s">
        <v>51</v>
      </c>
      <c r="B19" s="415" t="s">
        <v>328</v>
      </c>
      <c r="C19" s="408" t="s">
        <v>319</v>
      </c>
      <c r="D19" s="409">
        <f>SUM(E19:F19)</f>
        <v>177.01129999999998</v>
      </c>
      <c r="E19" s="414">
        <v>5.1333000000000002</v>
      </c>
      <c r="F19" s="414">
        <v>171.87799999999999</v>
      </c>
      <c r="G19" s="409">
        <f>SUM(H19:I19)</f>
        <v>145.74869999999999</v>
      </c>
      <c r="H19" s="414">
        <v>4.2267000000000001</v>
      </c>
      <c r="I19" s="414">
        <v>141.52199999999999</v>
      </c>
      <c r="J19" s="409">
        <f>SUM(K19:L19)</f>
        <v>322.76</v>
      </c>
      <c r="K19" s="414">
        <f>E19+H19</f>
        <v>9.36</v>
      </c>
      <c r="L19" s="414">
        <f>F19+I19</f>
        <v>313.39999999999998</v>
      </c>
    </row>
    <row r="20" spans="1:22" s="404" customFormat="1" ht="21.75" hidden="1" customHeight="1" outlineLevel="1">
      <c r="A20" s="405"/>
      <c r="B20" s="415"/>
      <c r="C20" s="408"/>
      <c r="D20" s="409"/>
      <c r="E20" s="414"/>
      <c r="F20" s="414"/>
      <c r="G20" s="409"/>
      <c r="H20" s="414"/>
      <c r="I20" s="414"/>
      <c r="J20" s="409"/>
      <c r="K20" s="414"/>
      <c r="L20" s="414"/>
    </row>
    <row r="21" spans="1:22" s="404" customFormat="1" ht="21.75" hidden="1" customHeight="1" outlineLevel="1">
      <c r="A21" s="405"/>
      <c r="B21" s="415"/>
      <c r="C21" s="408"/>
      <c r="D21" s="409"/>
      <c r="E21" s="414"/>
      <c r="F21" s="414"/>
      <c r="G21" s="409"/>
      <c r="H21" s="414"/>
      <c r="I21" s="414"/>
      <c r="J21" s="409"/>
      <c r="K21" s="414"/>
      <c r="L21" s="414"/>
    </row>
    <row r="22" spans="1:22" s="404" customFormat="1" ht="21.75" hidden="1" customHeight="1" outlineLevel="1">
      <c r="A22" s="405"/>
      <c r="B22" s="415"/>
      <c r="C22" s="408"/>
      <c r="D22" s="409"/>
      <c r="E22" s="414"/>
      <c r="F22" s="414"/>
      <c r="G22" s="409"/>
      <c r="H22" s="414"/>
      <c r="I22" s="414"/>
      <c r="J22" s="409"/>
      <c r="K22" s="414"/>
      <c r="L22" s="414"/>
    </row>
    <row r="23" spans="1:22" s="404" customFormat="1" ht="21.75" hidden="1" customHeight="1" outlineLevel="1">
      <c r="A23" s="405"/>
      <c r="B23" s="415"/>
      <c r="C23" s="408"/>
      <c r="D23" s="409"/>
      <c r="E23" s="414"/>
      <c r="F23" s="414"/>
      <c r="G23" s="409"/>
      <c r="H23" s="414"/>
      <c r="I23" s="414"/>
      <c r="J23" s="409"/>
      <c r="K23" s="414"/>
      <c r="L23" s="414"/>
    </row>
    <row r="24" spans="1:22" s="404" customFormat="1" ht="21.75" hidden="1" customHeight="1" outlineLevel="1">
      <c r="A24" s="405"/>
      <c r="B24" s="415"/>
      <c r="C24" s="408"/>
      <c r="D24" s="409"/>
      <c r="E24" s="414"/>
      <c r="F24" s="414"/>
      <c r="G24" s="409"/>
      <c r="H24" s="414"/>
      <c r="I24" s="414"/>
      <c r="J24" s="409"/>
      <c r="K24" s="414"/>
      <c r="L24" s="414"/>
    </row>
    <row r="25" spans="1:22" s="404" customFormat="1" ht="21.75" hidden="1" customHeight="1" outlineLevel="1">
      <c r="A25" s="405"/>
      <c r="B25" s="415"/>
      <c r="C25" s="408"/>
      <c r="D25" s="409"/>
      <c r="E25" s="414"/>
      <c r="F25" s="414"/>
      <c r="G25" s="409"/>
      <c r="H25" s="414"/>
      <c r="I25" s="414"/>
      <c r="J25" s="409"/>
      <c r="K25" s="414"/>
      <c r="L25" s="414"/>
    </row>
    <row r="26" spans="1:22" s="404" customFormat="1" ht="21.75" hidden="1" customHeight="1" collapsed="1">
      <c r="A26" s="416"/>
      <c r="B26" s="417" t="s">
        <v>294</v>
      </c>
      <c r="C26" s="418"/>
      <c r="D26" s="419">
        <f t="shared" ref="D26:L26" si="3">D8-D13-D15-D16</f>
        <v>-6.9999999999481588E-4</v>
      </c>
      <c r="E26" s="420">
        <f t="shared" si="3"/>
        <v>240.28367000000003</v>
      </c>
      <c r="F26" s="420">
        <f t="shared" si="3"/>
        <v>-240.28437</v>
      </c>
      <c r="G26" s="421">
        <f t="shared" si="3"/>
        <v>3.000000000952241E-4</v>
      </c>
      <c r="H26" s="420">
        <f t="shared" si="3"/>
        <v>202.22117000000003</v>
      </c>
      <c r="I26" s="420">
        <f t="shared" si="3"/>
        <v>-202.22086999999999</v>
      </c>
      <c r="J26" s="421">
        <f t="shared" si="3"/>
        <v>-3.9999999978590495E-4</v>
      </c>
      <c r="K26" s="420">
        <f t="shared" si="3"/>
        <v>442.50484000000006</v>
      </c>
      <c r="L26" s="420">
        <f t="shared" si="3"/>
        <v>-442.50523999999996</v>
      </c>
    </row>
    <row r="27" spans="1:22" ht="12.75">
      <c r="A27" s="373"/>
      <c r="B27" s="374"/>
      <c r="C27" s="374"/>
      <c r="D27" s="373"/>
      <c r="E27" s="373"/>
      <c r="F27" s="373"/>
      <c r="G27" s="373"/>
      <c r="H27" s="373"/>
      <c r="I27" s="373"/>
      <c r="J27" s="373"/>
      <c r="K27" s="373"/>
      <c r="L27" s="373"/>
    </row>
    <row r="28" spans="1:22" ht="12.75">
      <c r="A28" s="373"/>
      <c r="B28" s="374"/>
      <c r="C28" s="374"/>
      <c r="D28" s="373"/>
      <c r="E28" s="373"/>
      <c r="F28" s="373"/>
      <c r="G28" s="373"/>
      <c r="H28" s="373"/>
      <c r="I28" s="373"/>
      <c r="J28" s="373"/>
      <c r="K28" s="373"/>
      <c r="L28" s="373"/>
    </row>
    <row r="29" spans="1:22" ht="12.75">
      <c r="A29" s="373"/>
      <c r="B29" s="374"/>
      <c r="C29" s="374"/>
      <c r="D29" s="373"/>
      <c r="E29" s="373"/>
      <c r="F29" s="373"/>
      <c r="G29" s="373"/>
      <c r="H29" s="373"/>
      <c r="I29" s="373"/>
      <c r="J29" s="373"/>
      <c r="K29" s="373"/>
      <c r="L29" s="373"/>
    </row>
    <row r="30" spans="1:22" s="394" customFormat="1" ht="18.75">
      <c r="A30" s="394" t="s">
        <v>168</v>
      </c>
      <c r="B30" s="395"/>
      <c r="C30" s="396"/>
      <c r="D30" s="397"/>
      <c r="J30" s="398" t="s">
        <v>334</v>
      </c>
      <c r="M30" s="399"/>
      <c r="N30" s="399"/>
      <c r="O30" s="400"/>
      <c r="P30" s="399"/>
      <c r="Q30" s="401"/>
      <c r="R30" s="402"/>
      <c r="S30" s="399"/>
      <c r="T30" s="403"/>
      <c r="U30" s="399"/>
      <c r="V30" s="399"/>
    </row>
    <row r="31" spans="1:22" s="394" customFormat="1" ht="18.75">
      <c r="B31" s="395"/>
      <c r="C31" s="396"/>
      <c r="D31" s="397"/>
      <c r="I31" s="396"/>
      <c r="J31" s="398"/>
      <c r="M31" s="399"/>
      <c r="N31" s="399"/>
      <c r="O31" s="400"/>
      <c r="P31" s="399"/>
      <c r="Q31" s="401"/>
      <c r="R31" s="402"/>
      <c r="S31" s="399"/>
      <c r="T31" s="403"/>
      <c r="U31" s="399"/>
      <c r="V31" s="399"/>
    </row>
    <row r="32" spans="1:22" s="394" customFormat="1" ht="18.75">
      <c r="A32" s="394" t="s">
        <v>337</v>
      </c>
      <c r="B32" s="395"/>
      <c r="C32" s="396"/>
      <c r="D32" s="397"/>
      <c r="E32" s="395"/>
      <c r="F32" s="395"/>
      <c r="G32" s="395"/>
      <c r="H32" s="395"/>
      <c r="J32" s="398" t="s">
        <v>253</v>
      </c>
      <c r="M32" s="399"/>
      <c r="N32" s="399"/>
      <c r="O32" s="400"/>
      <c r="P32" s="399"/>
      <c r="Q32" s="401"/>
      <c r="R32" s="402"/>
      <c r="S32" s="399"/>
      <c r="T32" s="403"/>
      <c r="U32" s="399"/>
      <c r="V32" s="399"/>
    </row>
    <row r="33" spans="2:3" ht="12.75">
      <c r="B33" s="374"/>
      <c r="C33" s="374"/>
    </row>
    <row r="34" spans="2:3" ht="12.75">
      <c r="B34" s="374"/>
      <c r="C34" s="374"/>
    </row>
    <row r="35" spans="2:3" ht="12.75">
      <c r="B35" s="374"/>
      <c r="C35" s="374"/>
    </row>
    <row r="36" spans="2:3" ht="12.75">
      <c r="B36" s="374"/>
      <c r="C36" s="374"/>
    </row>
    <row r="37" spans="2:3" ht="12.75">
      <c r="B37" s="374"/>
      <c r="C37" s="374"/>
    </row>
    <row r="38" spans="2:3" ht="12.75">
      <c r="B38" s="374"/>
      <c r="C38" s="374"/>
    </row>
    <row r="39" spans="2:3" ht="12.75">
      <c r="B39" s="374"/>
      <c r="C39" s="374"/>
    </row>
    <row r="40" spans="2:3" ht="12.75">
      <c r="B40" s="374"/>
      <c r="C40" s="374"/>
    </row>
    <row r="41" spans="2:3" ht="12.75">
      <c r="B41" s="374"/>
      <c r="C41" s="374"/>
    </row>
    <row r="42" spans="2:3" ht="12.75">
      <c r="B42" s="374"/>
      <c r="C42" s="374"/>
    </row>
    <row r="43" spans="2:3" ht="12.75">
      <c r="B43" s="374"/>
      <c r="C43" s="374"/>
    </row>
    <row r="44" spans="2:3" ht="12.75">
      <c r="B44" s="374"/>
      <c r="C44" s="374"/>
    </row>
    <row r="45" spans="2:3" ht="12.75">
      <c r="B45" s="374"/>
      <c r="C45" s="374"/>
    </row>
    <row r="46" spans="2:3" ht="12.75">
      <c r="B46" s="374"/>
      <c r="C46" s="374"/>
    </row>
    <row r="47" spans="2:3" ht="12.75">
      <c r="B47" s="374"/>
      <c r="C47" s="374"/>
    </row>
    <row r="48" spans="2:3" ht="12.75">
      <c r="B48" s="374"/>
      <c r="C48" s="374"/>
    </row>
    <row r="49" spans="2:3" ht="12.75">
      <c r="B49" s="374"/>
      <c r="C49" s="374"/>
    </row>
    <row r="50" spans="2:3" ht="12.75">
      <c r="B50" s="374"/>
      <c r="C50" s="374"/>
    </row>
    <row r="51" spans="2:3" ht="12.75">
      <c r="B51" s="374"/>
      <c r="C51" s="374"/>
    </row>
    <row r="52" spans="2:3" ht="12.75">
      <c r="B52" s="374"/>
      <c r="C52" s="374"/>
    </row>
    <row r="53" spans="2:3" ht="12.75">
      <c r="B53" s="374"/>
      <c r="C53" s="374"/>
    </row>
    <row r="54" spans="2:3" ht="12.75">
      <c r="B54" s="374"/>
      <c r="C54" s="374"/>
    </row>
    <row r="55" spans="2:3" ht="12.75">
      <c r="B55" s="374"/>
      <c r="C55" s="374"/>
    </row>
    <row r="56" spans="2:3" ht="12.75">
      <c r="B56" s="374"/>
      <c r="C56" s="374"/>
    </row>
    <row r="57" spans="2:3" ht="12.75">
      <c r="B57" s="374"/>
      <c r="C57" s="374"/>
    </row>
    <row r="58" spans="2:3" ht="12.75">
      <c r="B58" s="374"/>
      <c r="C58" s="374"/>
    </row>
    <row r="59" spans="2:3" ht="12.75">
      <c r="B59" s="374"/>
      <c r="C59" s="374"/>
    </row>
    <row r="60" spans="2:3" ht="12.75">
      <c r="B60" s="374"/>
      <c r="C60" s="374"/>
    </row>
    <row r="61" spans="2:3" ht="12.75">
      <c r="B61" s="374"/>
      <c r="C61" s="374"/>
    </row>
    <row r="62" spans="2:3" ht="12.75">
      <c r="B62" s="374"/>
      <c r="C62" s="374"/>
    </row>
    <row r="63" spans="2:3" ht="12.75">
      <c r="B63" s="374"/>
      <c r="C63" s="374"/>
    </row>
    <row r="64" spans="2:3" ht="12.75">
      <c r="B64" s="374"/>
      <c r="C64" s="374"/>
    </row>
    <row r="65" spans="2:3" ht="12.75">
      <c r="B65" s="374"/>
      <c r="C65" s="374"/>
    </row>
  </sheetData>
  <mergeCells count="9">
    <mergeCell ref="J5:L5"/>
    <mergeCell ref="A2:H2"/>
    <mergeCell ref="A1:H1"/>
    <mergeCell ref="A3:I3"/>
    <mergeCell ref="A5:A6"/>
    <mergeCell ref="B5:B6"/>
    <mergeCell ref="C5:C6"/>
    <mergeCell ref="D5:F5"/>
    <mergeCell ref="G5:I5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анализ</vt:lpstr>
      <vt:lpstr>2014 1-й вариант</vt:lpstr>
      <vt:lpstr>2015 ПЛАН ДРСК</vt:lpstr>
      <vt:lpstr>2015 ПЛАН ДРСК (3)</vt:lpstr>
      <vt:lpstr>П.1.4</vt:lpstr>
      <vt:lpstr>П.1.5</vt:lpstr>
      <vt:lpstr>2016</vt:lpstr>
      <vt:lpstr>население</vt:lpstr>
      <vt:lpstr>'2014 1-й вариант'!Заголовки_для_печати</vt:lpstr>
      <vt:lpstr>'2014 1-й вариант'!Область_печати</vt:lpstr>
      <vt:lpstr>'2016'!Область_печати</vt:lpstr>
    </vt:vector>
  </TitlesOfParts>
  <Company>ДРСК  ПЦЭС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Рудаева Т.Б.</dc:creator>
  <cp:lastModifiedBy>Oksana Puhovaya</cp:lastModifiedBy>
  <cp:lastPrinted>2017-07-06T04:38:21Z</cp:lastPrinted>
  <dcterms:created xsi:type="dcterms:W3CDTF">2011-09-20T22:22:53Z</dcterms:created>
  <dcterms:modified xsi:type="dcterms:W3CDTF">2017-07-06T04:39:14Z</dcterms:modified>
</cp:coreProperties>
</file>