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345" windowWidth="14805" windowHeight="7770" tabRatio="607"/>
  </bookViews>
  <sheets>
    <sheet name="План КАП.РЕМ." sheetId="8" r:id="rId1"/>
  </sheets>
  <calcPr calcId="124519"/>
</workbook>
</file>

<file path=xl/calcChain.xml><?xml version="1.0" encoding="utf-8"?>
<calcChain xmlns="http://schemas.openxmlformats.org/spreadsheetml/2006/main">
  <c r="I98" i="8"/>
  <c r="H98"/>
  <c r="I97"/>
  <c r="H97"/>
  <c r="I95"/>
  <c r="H95"/>
  <c r="I96"/>
  <c r="H96"/>
  <c r="I99" l="1"/>
  <c r="H99"/>
  <c r="H109"/>
  <c r="H108"/>
  <c r="I108"/>
  <c r="H107"/>
  <c r="I107"/>
  <c r="H106"/>
  <c r="I106"/>
  <c r="H105"/>
  <c r="I105"/>
  <c r="H104"/>
  <c r="I104"/>
  <c r="I103"/>
  <c r="H103"/>
  <c r="H102"/>
  <c r="H110" l="1"/>
  <c r="I90"/>
  <c r="H90"/>
  <c r="I89"/>
  <c r="H89"/>
  <c r="G50"/>
  <c r="I50"/>
  <c r="H50"/>
  <c r="I49"/>
  <c r="H49"/>
  <c r="G49"/>
  <c r="I102"/>
  <c r="I110" s="1"/>
  <c r="I91"/>
  <c r="H91"/>
  <c r="I88"/>
  <c r="H88"/>
  <c r="I87"/>
  <c r="H87"/>
  <c r="I86"/>
  <c r="H86"/>
  <c r="I85"/>
  <c r="H85"/>
  <c r="I84"/>
  <c r="H84"/>
  <c r="I83"/>
  <c r="H83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69"/>
  <c r="H69"/>
  <c r="I68"/>
  <c r="H68"/>
  <c r="I67"/>
  <c r="H67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29"/>
  <c r="H29"/>
  <c r="I28"/>
  <c r="H28"/>
  <c r="I27"/>
  <c r="H27"/>
  <c r="I26"/>
  <c r="H26"/>
  <c r="I25"/>
  <c r="H25"/>
  <c r="I24"/>
  <c r="H24"/>
  <c r="I23"/>
  <c r="H23"/>
  <c r="I22"/>
  <c r="H22"/>
  <c r="F30"/>
  <c r="D113" s="1"/>
  <c r="I30" l="1"/>
  <c r="H30"/>
  <c r="G28"/>
  <c r="G27"/>
  <c r="I51" l="1"/>
  <c r="H51"/>
  <c r="F51"/>
  <c r="D114" s="1"/>
  <c r="G48"/>
  <c r="G47"/>
  <c r="G46"/>
  <c r="G45"/>
  <c r="G44"/>
  <c r="G43"/>
  <c r="G42"/>
  <c r="G41"/>
  <c r="G40"/>
  <c r="G39"/>
  <c r="G38"/>
  <c r="G37"/>
  <c r="G36"/>
  <c r="G35"/>
  <c r="G34"/>
  <c r="G33"/>
  <c r="G29"/>
  <c r="G26"/>
  <c r="G25"/>
  <c r="G24"/>
  <c r="G23"/>
  <c r="G22"/>
  <c r="I70"/>
  <c r="H70"/>
  <c r="G70"/>
  <c r="E115" s="1"/>
  <c r="F70"/>
  <c r="D115" s="1"/>
  <c r="G30" l="1"/>
  <c r="E113" s="1"/>
  <c r="G51"/>
  <c r="E114" s="1"/>
  <c r="F99" l="1"/>
  <c r="I92" l="1"/>
  <c r="I111" s="1"/>
  <c r="H92"/>
  <c r="H111" s="1"/>
  <c r="G92" l="1"/>
  <c r="E116" s="1"/>
  <c r="F92"/>
  <c r="D116" s="1"/>
</calcChain>
</file>

<file path=xl/sharedStrings.xml><?xml version="1.0" encoding="utf-8"?>
<sst xmlns="http://schemas.openxmlformats.org/spreadsheetml/2006/main" count="373" uniqueCount="135">
  <si>
    <t>Наименование работ</t>
  </si>
  <si>
    <t>км.</t>
  </si>
  <si>
    <t>шт.</t>
  </si>
  <si>
    <t xml:space="preserve"> СМР </t>
  </si>
  <si>
    <t xml:space="preserve">В т.ч. материалы </t>
  </si>
  <si>
    <t xml:space="preserve">                                                                                         1.  Капитальный ремонт ВЛ-10/6 кВ (с установкой опор и подвеской проводов)</t>
  </si>
  <si>
    <t>км</t>
  </si>
  <si>
    <t>оп.</t>
  </si>
  <si>
    <t>ИТОГО:</t>
  </si>
  <si>
    <t xml:space="preserve">                                                                                            2.  Капитальный ремонт ВЛ-0,4 кВ (с установкой опор и подвеской проводов)</t>
  </si>
  <si>
    <t xml:space="preserve">                                                                                                     5.  Капитальный ремонт строительной части ТП и РП  </t>
  </si>
  <si>
    <t>муфт</t>
  </si>
  <si>
    <t>2-3</t>
  </si>
  <si>
    <t>Единицы измерения</t>
  </si>
  <si>
    <t>№ п/п</t>
  </si>
  <si>
    <t>ОЗП</t>
  </si>
  <si>
    <t>1-4</t>
  </si>
  <si>
    <t xml:space="preserve">                                                                    3.  Ремонт КЛ-10/6 кВ (с учётом монтажа соединительных, мачтовых муфт и кабельных заделок)</t>
  </si>
  <si>
    <t>ТП № 3 – ТП № 10</t>
  </si>
  <si>
    <t>ТП № 3 – КТП № 200 (до точки муфтирования)</t>
  </si>
  <si>
    <t>ТП № 98 – п/ст "Молокозавод"</t>
  </si>
  <si>
    <t xml:space="preserve">Ф 1, 6 п/ст "Раковка" вынос концевых А-опор к территории РП-15 (МУП "Уссурийск-Водоканал")  </t>
  </si>
  <si>
    <t xml:space="preserve">Ф 1, 9 п/ст "Б-Полигон" вынос концевых А-опор к территории очистных (МУП "Уссурийск-Водоканал") </t>
  </si>
  <si>
    <t xml:space="preserve">                                                                    4.  Ремонт КЛ-0,4 кВ (с учётом монтажа соединительных и мачтовых муфт и кабельных заделок)</t>
  </si>
  <si>
    <t>ТП № 97 – административное здание ул. Ленина, 101</t>
  </si>
  <si>
    <t>ТП № 97 – административное здание ул. Некрасова, 66</t>
  </si>
  <si>
    <t>ТП № 344 – ж/д ул. Владивостокское шоссе, 107</t>
  </si>
  <si>
    <t>ТП № 344 – ж/д ул. Владивостокское шоссе, 109-а</t>
  </si>
  <si>
    <t xml:space="preserve">ТП № 13 – ж/д ул. Карбышева, 21 </t>
  </si>
  <si>
    <t xml:space="preserve">Всего: ВЛЗ 10/6кВ   км/оп.    </t>
  </si>
  <si>
    <t xml:space="preserve">Всего: ВЛИ 0,4кВ  км/оп    </t>
  </si>
  <si>
    <t xml:space="preserve">Всего: КЛ 10/6кВ     км/муфт     </t>
  </si>
  <si>
    <t xml:space="preserve">Всего: КЛ 0,4кВ   км/муфт    </t>
  </si>
  <si>
    <t>Зам.начальника РЭС ВЛЭП Мишуров О.В.</t>
  </si>
  <si>
    <t>ТП № 344 – ж/д ул. Владивостокское шоссе, 111</t>
  </si>
  <si>
    <t>ТП №11-ТП №110 (замена  на кабель большего сечения)</t>
  </si>
  <si>
    <t>ТП №41-ТП №44 (замена  на кабель большего сечения)</t>
  </si>
  <si>
    <t>ТП№28-ТП№36</t>
  </si>
  <si>
    <t>ТП№36-ТП№65</t>
  </si>
  <si>
    <t xml:space="preserve">Стоимость                                           ( тыс. руб.) </t>
  </si>
  <si>
    <t>ТП№804-ТП№805</t>
  </si>
  <si>
    <t>ТП №62 ж/д ул. Пролетарская,99 (реконструкция КЛ-0,4 кВ ввод №2)</t>
  </si>
  <si>
    <t>ТП №211-ж/д ул. Комарова, 73 (реконструкция 2-х КЛ-0,4 кВ)</t>
  </si>
  <si>
    <t>ТП №738 ул. Садовая,12 до нового ВРУ</t>
  </si>
  <si>
    <t>Ф 1, 9 п/ст "Студгородок"-РП-4 (перекладка)</t>
  </si>
  <si>
    <t>ТП № 13 – ж/д ул. Хмельницкого, 5 (2 КЛ  на 2 ВРУ)</t>
  </si>
  <si>
    <t xml:space="preserve">Количество </t>
  </si>
  <si>
    <t>Срок выполне-ния, квартал</t>
  </si>
  <si>
    <t>Ответствен-ный за              выполне- ние</t>
  </si>
  <si>
    <t>Допол. инфор-я</t>
  </si>
  <si>
    <t>Примеча-ние</t>
  </si>
  <si>
    <t xml:space="preserve">Ф 2  п/ст "Кож.завод" (Аоп.-РП "насосная очистки воды) - замена КЛ ввод в РП </t>
  </si>
  <si>
    <t>Инвентарный  номер</t>
  </si>
  <si>
    <t xml:space="preserve">ТП 12 -  ул. Щорса   </t>
  </si>
  <si>
    <t xml:space="preserve">ТП 28 - ул. Шоссейная </t>
  </si>
  <si>
    <r>
      <t xml:space="preserve">ТП 28 - ул. Тельмана, ул. Ползунова, пер. Тельмана, пер. Ползунова </t>
    </r>
    <r>
      <rPr>
        <sz val="14"/>
        <color rgb="FFFF0000"/>
        <rFont val="Times New Roman"/>
        <family val="1"/>
        <charset val="204"/>
      </rPr>
      <t xml:space="preserve"> </t>
    </r>
  </si>
  <si>
    <t xml:space="preserve">ТП 28  -  ул. Пологая  </t>
  </si>
  <si>
    <t xml:space="preserve">ТП 84 - ул. Куйбышева  </t>
  </si>
  <si>
    <t xml:space="preserve">КТП 163 - ул. Нечаева </t>
  </si>
  <si>
    <t xml:space="preserve">ТП 241 - ул. Ермакова, пер. Куйбышева </t>
  </si>
  <si>
    <t xml:space="preserve">ТП 176 - ул. Дзержинского  </t>
  </si>
  <si>
    <t>ТП № 345 – ж/д ул. Владивостокское шоссе, 119</t>
  </si>
  <si>
    <t xml:space="preserve">                                                                                                                               ИТОГО:</t>
  </si>
  <si>
    <t xml:space="preserve">ТП №142-ТП №107 </t>
  </si>
  <si>
    <t xml:space="preserve">А-оп. Ф-4  п/с "Тимирязевка" - ТП №804 </t>
  </si>
  <si>
    <t xml:space="preserve">ТП 51 –  ул. Уссурийская (от ул. Горького до ул. Дзержинского) </t>
  </si>
  <si>
    <t xml:space="preserve">ТП 12 -  ул. Лермонтова до ж/дома №30  </t>
  </si>
  <si>
    <t xml:space="preserve">ТП 168 -  ул. Раздольная  </t>
  </si>
  <si>
    <t xml:space="preserve">ТП 28 - ул. Пологая 28, пер. Радужный   </t>
  </si>
  <si>
    <t xml:space="preserve">ТП 176 - пер. Ермакова   </t>
  </si>
  <si>
    <t xml:space="preserve">ТП 266 - ул. Пушкина - ул. Некрасова  </t>
  </si>
  <si>
    <t xml:space="preserve">ТП№643-ТП№620 вынос участка линии (прокол от ТП№643 до Аоп.ТП№620) </t>
  </si>
  <si>
    <t xml:space="preserve">ТП№756 - ТП787  (отпайка Ф-24 п/ст."Кожзавод") - замена частичных опор, металоконструкций, неизолированных проводов на изолированные  провода </t>
  </si>
  <si>
    <t xml:space="preserve">ТП№134-ТП№133 - замена металоконструкций, неизолированных проводов на изолированные провода, установка дополнительных и замена частичных опор </t>
  </si>
  <si>
    <t>Ф-11  п/ст."Гранит"- РП №5  ( ул. Ленинградская - ул. Комсомольская переустройство )</t>
  </si>
  <si>
    <t>Ремонт крыш , кровель (ТП214, 719, 261, 758, 65, 350, 268, 752)</t>
  </si>
  <si>
    <t>Ремонт отмосток (ТП214, 719, 758, 65, 268, 752, 619)</t>
  </si>
  <si>
    <t>Ремонт полов (ТП261, 350, 234,  606, 619)</t>
  </si>
  <si>
    <t xml:space="preserve">Начальник РЭС Гайворонский К.В.      </t>
  </si>
  <si>
    <t xml:space="preserve">ТП№804 - ТП№805  </t>
  </si>
  <si>
    <t xml:space="preserve">ТП 600 – ул. Трудовая ,  дом культуры ул. Артёмовская, 1-б  </t>
  </si>
  <si>
    <t xml:space="preserve">ТП 719 -ул. Баневура, 9   </t>
  </si>
  <si>
    <t xml:space="preserve">Замена коммутационной аппаратуры на ВНА, ВНР  </t>
  </si>
  <si>
    <t>Ф-4 п/ст."МЖК" - ТП№87   - (вместе проколом)</t>
  </si>
  <si>
    <t xml:space="preserve">Ф 1, 6 п/ст "Раковка"от  А-опор  в сторону  РП-15 (МУП "Уссурийск-Водоканал")  </t>
  </si>
  <si>
    <t xml:space="preserve">Ф 1, 9 п/ст "Б-Полигон" от  А-опор в сторону п/ст " Барановский полигон"  с территории  МУП "Уссурийск-Водоканал"  </t>
  </si>
  <si>
    <t>РП-4-ТП№168 (проложить паралельно существующему)</t>
  </si>
  <si>
    <t>1</t>
  </si>
  <si>
    <t>ТП № 345 – ж/д ул. Владивостокское шоссе, 119а</t>
  </si>
  <si>
    <t>ТП №266 ул. Крестьянская,60</t>
  </si>
  <si>
    <t>ТП №751 ул. Воровского,143 ААБЛ 4*150 (по два с разных секций)</t>
  </si>
  <si>
    <t xml:space="preserve">ТП №234-ж/д ул. Ленинградская,21 а </t>
  </si>
  <si>
    <t xml:space="preserve">ТП №234-ж/д ул. Ленинградская,21 б </t>
  </si>
  <si>
    <t xml:space="preserve">ТП №234-ж/д ул. Ленинградская,23 а </t>
  </si>
  <si>
    <t>Разъединитель высоковольтный   РЛНД-10/400</t>
  </si>
  <si>
    <t>Ремонт дверей (ТП764, 696, 3, 606, 119)</t>
  </si>
  <si>
    <t>Вводной рубильник (на ток 1000А, 1600А, 2000А, 2500А)  (ТП87, 764, 739, 234, 261, РП6, ТП268, 42, 41, 45, РП1, ТП118, 101, 3, 229, 267, 606)</t>
  </si>
  <si>
    <t>Вводной автоматический выключатель (на ток 1000А, 1600А, 2000А, 2500А)  (ТП87, 764, 739, 234, 261, РП6, ТП268, 41, 42, 45, РП1, ТП118, 101, 3, 229, 267, 606)</t>
  </si>
  <si>
    <t xml:space="preserve">                                                                                                                               ВСЕГО:</t>
  </si>
  <si>
    <t>Установка новой  2КТПН-ПК-2*630(1000)кВА  в замен ТП-142, 107</t>
  </si>
  <si>
    <t>ТП-160, ТП-237  - установить секционные РВз в камерах РУ-6 кВ</t>
  </si>
  <si>
    <r>
      <t xml:space="preserve">Монтаж второго силового трансформатора: </t>
    </r>
    <r>
      <rPr>
        <b/>
        <sz val="14"/>
        <rFont val="Times New Roman"/>
        <family val="1"/>
        <charset val="204"/>
      </rPr>
      <t>ТП-710</t>
    </r>
    <r>
      <rPr>
        <sz val="14"/>
        <rFont val="Times New Roman"/>
        <family val="1"/>
        <charset val="204"/>
      </rPr>
      <t xml:space="preserve"> (ТМГ- 630  6/0,4кВ),  </t>
    </r>
    <r>
      <rPr>
        <b/>
        <sz val="14"/>
        <rFont val="Times New Roman"/>
        <family val="1"/>
        <charset val="204"/>
      </rPr>
      <t>ТП-323</t>
    </r>
    <r>
      <rPr>
        <sz val="14"/>
        <rFont val="Times New Roman"/>
        <family val="1"/>
        <charset val="204"/>
      </rPr>
      <t xml:space="preserve"> (ТМГ- 250  6/0,4кВ),                                          </t>
    </r>
    <r>
      <rPr>
        <b/>
        <sz val="14"/>
        <rFont val="Times New Roman"/>
        <family val="1"/>
        <charset val="204"/>
      </rPr>
      <t>ТП-119</t>
    </r>
    <r>
      <rPr>
        <sz val="14"/>
        <rFont val="Times New Roman"/>
        <family val="1"/>
        <charset val="204"/>
      </rPr>
      <t xml:space="preserve"> (ТМГ- 400 6/0,4кВ)</t>
    </r>
  </si>
  <si>
    <t>А-оп. ВЛ-0,4кВ  ТП №737 -  ж/д  ул. Вострецова 122 и 122а</t>
  </si>
  <si>
    <t xml:space="preserve">А-оп. ВЛ-0,4кВ  ТП №737 -  ж/д  ул. Вострецова 122 </t>
  </si>
  <si>
    <t xml:space="preserve">   </t>
  </si>
  <si>
    <t>Линейный рубильник (на ток  250А, 400А)</t>
  </si>
  <si>
    <t>133010, 133120</t>
  </si>
  <si>
    <t>6. Работы в ТП по установке оборудования, монтажу ТП (КТП)</t>
  </si>
  <si>
    <t>Инвентарный № объекта уточнять при составления отчётов (актов)</t>
  </si>
  <si>
    <t>Зам.начальника РЭС ВЛЭП  Мишуров О.В.</t>
  </si>
  <si>
    <t>Мастер РСУ                                            Гальцев М.А.</t>
  </si>
  <si>
    <t>Начальник РЭС   Гайворонский К.В.</t>
  </si>
  <si>
    <t>Ф 2  п/ст "Кожзавод" до РП "насосная очистки воды" (правка, частичная замена,  перетяжка, пропилка)</t>
  </si>
  <si>
    <t xml:space="preserve">ТП№713 – ТП№702 – отпайка на ТП№774 по ул.Попова, Красина – замена металоконструкций, неизолированных проводов на изолированные провода, установка дополнительных и замена частичных опор  </t>
  </si>
  <si>
    <t>ТП 229 - ул. Орджоникидзе , ул. Некрасова   (ТП № 27 № 120021)</t>
  </si>
  <si>
    <t>ТП 42 - пер. Школьный , пер Радужный (ТП № 28 120022)</t>
  </si>
  <si>
    <t>Директор МУП "Уссурийск -Электросеть"                                                        Е.Н. Сорокин</t>
  </si>
  <si>
    <t>Исполнлнил начальник  ПТО                                           Байдюк А.И.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</si>
  <si>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</si>
  <si>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(рекомендуемая)</t>
  </si>
  <si>
    <r>
      <t xml:space="preserve">Сроки опубликования: </t>
    </r>
    <r>
      <rPr>
        <b/>
        <u/>
        <sz val="10"/>
        <rFont val="Arial Cyr"/>
        <charset val="204"/>
      </rPr>
      <t>ежегодно, до 1 марта</t>
    </r>
  </si>
  <si>
    <t>МУП "Уссурийск-Электросеть"</t>
  </si>
  <si>
    <t>(наименование организации)</t>
  </si>
  <si>
    <t>Приморский край г. Уссурийск, ул. Советская,15</t>
  </si>
  <si>
    <t>(адрес организации)</t>
  </si>
  <si>
    <t>План  капитального ремонта на объектах электроснабжения МУП "Уссурийск-Электросеть" на 2016 год</t>
  </si>
  <si>
    <t>Форма 1.2</t>
  </si>
  <si>
    <t>Место опубликования</t>
  </si>
  <si>
    <t>Печатное издание (наименование, №, дата)</t>
  </si>
  <si>
    <t>Наименование сайта/URL</t>
  </si>
  <si>
    <t>www.usselectro.net</t>
  </si>
  <si>
    <t>Дата опубликования</t>
  </si>
  <si>
    <t>24.02.2016 год</t>
  </si>
  <si>
    <t>Отчетный период</t>
  </si>
  <si>
    <t>2016 год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</si>
</sst>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40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i/>
      <sz val="13"/>
      <color rgb="FF00B050"/>
      <name val="Times New Roman"/>
      <family val="1"/>
      <charset val="204"/>
    </font>
    <font>
      <b/>
      <i/>
      <sz val="8"/>
      <color rgb="FF00B050"/>
      <name val="Times New Roman"/>
      <family val="1"/>
      <charset val="204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i/>
      <sz val="13"/>
      <name val="Calibri"/>
      <family val="2"/>
      <scheme val="minor"/>
    </font>
    <font>
      <sz val="11"/>
      <color rgb="FFFF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8"/>
      <name val="Arial Cyr"/>
      <charset val="204"/>
    </font>
    <font>
      <b/>
      <sz val="11"/>
      <color theme="1"/>
      <name val="Arial"/>
      <family val="2"/>
      <charset val="204"/>
    </font>
    <font>
      <sz val="8"/>
      <name val="Arial"/>
      <family val="2"/>
      <charset val="204"/>
    </font>
    <font>
      <u/>
      <sz val="10"/>
      <color theme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9" fillId="0" borderId="0" applyNumberFormat="0" applyFill="0" applyBorder="0" applyAlignment="0" applyProtection="0">
      <alignment vertical="top"/>
      <protection locked="0"/>
    </xf>
  </cellStyleXfs>
  <cellXfs count="294">
    <xf numFmtId="0" fontId="0" fillId="0" borderId="0" xfId="0"/>
    <xf numFmtId="1" fontId="2" fillId="0" borderId="0" xfId="0" applyNumberFormat="1" applyFont="1" applyAlignment="1">
      <alignment horizontal="center" vertical="center"/>
    </xf>
    <xf numFmtId="0" fontId="0" fillId="0" borderId="0" xfId="0" applyFill="1"/>
    <xf numFmtId="0" fontId="6" fillId="0" borderId="0" xfId="0" applyFont="1" applyFill="1"/>
    <xf numFmtId="0" fontId="3" fillId="3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/>
    <xf numFmtId="2" fontId="5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center" vertical="center"/>
    </xf>
    <xf numFmtId="49" fontId="15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top" wrapText="1"/>
    </xf>
    <xf numFmtId="0" fontId="16" fillId="4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vertical="center" wrapText="1"/>
    </xf>
    <xf numFmtId="0" fontId="15" fillId="4" borderId="1" xfId="0" applyNumberFormat="1" applyFont="1" applyFill="1" applyBorder="1" applyAlignment="1">
      <alignment horizontal="center" vertical="center"/>
    </xf>
    <xf numFmtId="0" fontId="16" fillId="4" borderId="1" xfId="0" applyNumberFormat="1" applyFont="1" applyFill="1" applyBorder="1" applyAlignment="1">
      <alignment horizontal="center" vertical="center"/>
    </xf>
    <xf numFmtId="0" fontId="9" fillId="0" borderId="0" xfId="0" applyFont="1" applyFill="1"/>
    <xf numFmtId="1" fontId="2" fillId="0" borderId="2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top"/>
    </xf>
    <xf numFmtId="1" fontId="2" fillId="0" borderId="6" xfId="0" applyNumberFormat="1" applyFont="1" applyFill="1" applyBorder="1" applyAlignment="1">
      <alignment horizontal="center" vertical="top"/>
    </xf>
    <xf numFmtId="2" fontId="2" fillId="0" borderId="6" xfId="0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/>
    <xf numFmtId="0" fontId="16" fillId="4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" fontId="15" fillId="3" borderId="1" xfId="0" applyNumberFormat="1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left" vertical="center"/>
    </xf>
    <xf numFmtId="164" fontId="15" fillId="3" borderId="8" xfId="0" applyNumberFormat="1" applyFont="1" applyFill="1" applyBorder="1" applyAlignment="1">
      <alignment horizontal="center" vertical="center"/>
    </xf>
    <xf numFmtId="1" fontId="15" fillId="3" borderId="8" xfId="0" applyNumberFormat="1" applyFont="1" applyFill="1" applyBorder="1" applyAlignment="1">
      <alignment horizontal="center" vertical="center"/>
    </xf>
    <xf numFmtId="2" fontId="15" fillId="3" borderId="8" xfId="0" applyNumberFormat="1" applyFont="1" applyFill="1" applyBorder="1" applyAlignment="1">
      <alignment horizontal="center" vertical="center"/>
    </xf>
    <xf numFmtId="49" fontId="15" fillId="3" borderId="8" xfId="0" applyNumberFormat="1" applyFont="1" applyFill="1" applyBorder="1" applyAlignment="1">
      <alignment horizontal="left" vertical="center"/>
    </xf>
    <xf numFmtId="49" fontId="15" fillId="3" borderId="8" xfId="0" applyNumberFormat="1" applyFont="1" applyFill="1" applyBorder="1" applyAlignment="1">
      <alignment horizontal="left" vertical="center" wrapText="1"/>
    </xf>
    <xf numFmtId="0" fontId="16" fillId="3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center" vertical="top"/>
    </xf>
    <xf numFmtId="0" fontId="0" fillId="0" borderId="0" xfId="0" applyFill="1" applyBorder="1"/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right" vertical="center"/>
    </xf>
    <xf numFmtId="49" fontId="12" fillId="0" borderId="9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justify" vertical="top" wrapText="1"/>
    </xf>
    <xf numFmtId="1" fontId="4" fillId="0" borderId="0" xfId="0" applyNumberFormat="1" applyFont="1" applyFill="1" applyBorder="1" applyAlignment="1">
      <alignment vertical="center"/>
    </xf>
    <xf numFmtId="49" fontId="8" fillId="0" borderId="6" xfId="0" applyNumberFormat="1" applyFont="1" applyFill="1" applyBorder="1" applyAlignment="1">
      <alignment horizontal="center" vertical="top"/>
    </xf>
    <xf numFmtId="0" fontId="0" fillId="0" borderId="0" xfId="0" applyFill="1" applyAlignment="1">
      <alignment vertical="center"/>
    </xf>
    <xf numFmtId="1" fontId="15" fillId="0" borderId="12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15" fillId="0" borderId="9" xfId="0" applyFont="1" applyFill="1" applyBorder="1" applyAlignment="1">
      <alignment horizontal="center" vertical="center"/>
    </xf>
    <xf numFmtId="2" fontId="15" fillId="0" borderId="9" xfId="0" applyNumberFormat="1" applyFont="1" applyFill="1" applyBorder="1" applyAlignment="1">
      <alignment horizontal="center" vertical="center" wrapText="1"/>
    </xf>
    <xf numFmtId="1" fontId="15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left" vertical="center"/>
    </xf>
    <xf numFmtId="164" fontId="4" fillId="3" borderId="8" xfId="0" applyNumberFormat="1" applyFont="1" applyFill="1" applyBorder="1" applyAlignment="1">
      <alignment horizontal="center" vertical="center"/>
    </xf>
    <xf numFmtId="2" fontId="4" fillId="3" borderId="8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left" vertical="center"/>
    </xf>
    <xf numFmtId="49" fontId="8" fillId="0" borderId="6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49" fontId="17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right" vertical="center"/>
    </xf>
    <xf numFmtId="49" fontId="21" fillId="0" borderId="0" xfId="0" applyNumberFormat="1" applyFont="1" applyFill="1" applyAlignment="1">
      <alignment horizontal="right" vertical="center"/>
    </xf>
    <xf numFmtId="49" fontId="21" fillId="0" borderId="0" xfId="0" applyNumberFormat="1" applyFont="1" applyFill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2" fontId="21" fillId="0" borderId="0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right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65" fontId="18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49" fontId="23" fillId="0" borderId="0" xfId="0" applyNumberFormat="1" applyFont="1"/>
    <xf numFmtId="49" fontId="23" fillId="0" borderId="0" xfId="0" applyNumberFormat="1" applyFont="1" applyAlignment="1">
      <alignment wrapText="1"/>
    </xf>
    <xf numFmtId="0" fontId="23" fillId="0" borderId="0" xfId="0" applyFont="1"/>
    <xf numFmtId="0" fontId="14" fillId="0" borderId="0" xfId="0" applyFont="1" applyAlignment="1">
      <alignment wrapText="1"/>
    </xf>
    <xf numFmtId="1" fontId="1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0" fontId="13" fillId="0" borderId="0" xfId="0" applyFont="1"/>
    <xf numFmtId="1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12" fillId="0" borderId="0" xfId="0" applyFont="1"/>
    <xf numFmtId="164" fontId="12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left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vertical="center"/>
    </xf>
    <xf numFmtId="1" fontId="4" fillId="3" borderId="8" xfId="0" applyNumberFormat="1" applyFont="1" applyFill="1" applyBorder="1" applyAlignment="1">
      <alignment vertical="center"/>
    </xf>
    <xf numFmtId="1" fontId="4" fillId="3" borderId="4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/>
    </xf>
    <xf numFmtId="49" fontId="2" fillId="0" borderId="4" xfId="0" applyNumberFormat="1" applyFont="1" applyFill="1" applyBorder="1" applyAlignment="1">
      <alignment horizontal="left" vertical="center" wrapText="1"/>
    </xf>
    <xf numFmtId="1" fontId="4" fillId="3" borderId="8" xfId="0" applyNumberFormat="1" applyFont="1" applyFill="1" applyBorder="1" applyAlignment="1">
      <alignment vertical="center"/>
    </xf>
    <xf numFmtId="0" fontId="26" fillId="0" borderId="1" xfId="0" applyFont="1" applyFill="1" applyBorder="1" applyAlignment="1">
      <alignment horizontal="right" vertical="center"/>
    </xf>
    <xf numFmtId="0" fontId="27" fillId="0" borderId="1" xfId="0" applyFont="1" applyFill="1" applyBorder="1" applyAlignment="1">
      <alignment horizontal="right" vertical="center"/>
    </xf>
    <xf numFmtId="0" fontId="28" fillId="0" borderId="0" xfId="0" applyFont="1" applyFill="1"/>
    <xf numFmtId="0" fontId="29" fillId="0" borderId="0" xfId="0" applyFont="1" applyFill="1"/>
    <xf numFmtId="0" fontId="30" fillId="0" borderId="0" xfId="0" applyFont="1" applyFill="1"/>
    <xf numFmtId="0" fontId="2" fillId="0" borderId="8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 wrapText="1"/>
    </xf>
    <xf numFmtId="1" fontId="15" fillId="0" borderId="8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top"/>
    </xf>
    <xf numFmtId="1" fontId="15" fillId="0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right" wrapText="1"/>
    </xf>
    <xf numFmtId="0" fontId="16" fillId="0" borderId="9" xfId="0" applyFont="1" applyFill="1" applyBorder="1" applyAlignment="1">
      <alignment horizontal="center" vertical="top" wrapText="1"/>
    </xf>
    <xf numFmtId="1" fontId="15" fillId="0" borderId="1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right" wrapText="1"/>
    </xf>
    <xf numFmtId="0" fontId="4" fillId="5" borderId="1" xfId="0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49" fontId="12" fillId="5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right" vertical="center" wrapText="1"/>
    </xf>
    <xf numFmtId="1" fontId="4" fillId="3" borderId="8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top" wrapText="1"/>
    </xf>
    <xf numFmtId="164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center" vertical="center" textRotation="90" wrapText="1"/>
    </xf>
    <xf numFmtId="49" fontId="12" fillId="0" borderId="10" xfId="0" applyNumberFormat="1" applyFont="1" applyFill="1" applyBorder="1" applyAlignment="1">
      <alignment horizontal="center" vertical="center" textRotation="90" wrapText="1"/>
    </xf>
    <xf numFmtId="49" fontId="12" fillId="0" borderId="6" xfId="0" applyNumberFormat="1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right" vertical="center" wrapText="1"/>
    </xf>
    <xf numFmtId="0" fontId="4" fillId="4" borderId="8" xfId="0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horizontal="right" vertical="center" wrapText="1"/>
    </xf>
    <xf numFmtId="1" fontId="15" fillId="0" borderId="2" xfId="0" applyNumberFormat="1" applyFont="1" applyFill="1" applyBorder="1" applyAlignment="1">
      <alignment horizontal="center" vertical="center" wrapText="1"/>
    </xf>
    <xf numFmtId="1" fontId="15" fillId="0" borderId="8" xfId="0" applyNumberFormat="1" applyFont="1" applyFill="1" applyBorder="1" applyAlignment="1">
      <alignment horizontal="center" vertical="center" wrapText="1"/>
    </xf>
    <xf numFmtId="1" fontId="15" fillId="0" borderId="4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49" fontId="4" fillId="4" borderId="8" xfId="0" applyNumberFormat="1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" fillId="5" borderId="2" xfId="0" applyFont="1" applyFill="1" applyBorder="1" applyAlignment="1">
      <alignment horizontal="right" vertical="center" wrapText="1"/>
    </xf>
    <xf numFmtId="0" fontId="4" fillId="5" borderId="8" xfId="0" applyFont="1" applyFill="1" applyBorder="1" applyAlignment="1">
      <alignment horizontal="right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3" fillId="0" borderId="0" xfId="0" applyNumberFormat="1" applyFont="1" applyAlignment="1">
      <alignment horizontal="center" wrapText="1"/>
    </xf>
    <xf numFmtId="0" fontId="33" fillId="0" borderId="0" xfId="0" applyNumberFormat="1" applyFont="1" applyAlignment="1">
      <alignment wrapText="1"/>
    </xf>
    <xf numFmtId="0" fontId="33" fillId="0" borderId="0" xfId="0" applyNumberFormat="1" applyFont="1" applyAlignment="1">
      <alignment horizontal="center" wrapText="1"/>
    </xf>
    <xf numFmtId="0" fontId="34" fillId="0" borderId="0" xfId="0" applyFont="1" applyBorder="1" applyAlignment="1">
      <alignment horizontal="center" vertical="justify"/>
    </xf>
    <xf numFmtId="0" fontId="34" fillId="0" borderId="0" xfId="0" applyFont="1" applyBorder="1" applyAlignment="1">
      <alignment horizontal="right" vertical="justify"/>
    </xf>
    <xf numFmtId="0" fontId="34" fillId="0" borderId="0" xfId="0" applyFont="1" applyBorder="1" applyAlignment="1">
      <alignment horizontal="right" vertical="justify"/>
    </xf>
    <xf numFmtId="0" fontId="0" fillId="0" borderId="0" xfId="0" applyBorder="1" applyAlignment="1"/>
    <xf numFmtId="0" fontId="34" fillId="0" borderId="0" xfId="0" applyFont="1" applyBorder="1" applyAlignment="1"/>
    <xf numFmtId="0" fontId="34" fillId="0" borderId="0" xfId="0" applyFont="1" applyAlignment="1"/>
    <xf numFmtId="0" fontId="36" fillId="0" borderId="9" xfId="0" applyFont="1" applyBorder="1" applyAlignment="1">
      <alignment horizontal="center" vertical="justify"/>
    </xf>
    <xf numFmtId="0" fontId="34" fillId="0" borderId="0" xfId="0" applyFont="1" applyBorder="1" applyAlignment="1">
      <alignment horizontal="right"/>
    </xf>
    <xf numFmtId="0" fontId="34" fillId="0" borderId="0" xfId="0" applyFont="1" applyBorder="1" applyAlignment="1">
      <alignment vertical="justify"/>
    </xf>
    <xf numFmtId="0" fontId="36" fillId="0" borderId="0" xfId="0" applyFont="1" applyBorder="1" applyAlignment="1">
      <alignment vertical="justify"/>
    </xf>
    <xf numFmtId="0" fontId="37" fillId="0" borderId="11" xfId="0" applyFont="1" applyBorder="1" applyAlignment="1">
      <alignment horizontal="center"/>
    </xf>
    <xf numFmtId="0" fontId="38" fillId="0" borderId="9" xfId="0" applyFont="1" applyBorder="1" applyAlignment="1">
      <alignment horizontal="center" vertical="justify"/>
    </xf>
    <xf numFmtId="0" fontId="32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0" fontId="33" fillId="0" borderId="1" xfId="0" applyFont="1" applyBorder="1" applyAlignment="1">
      <alignment horizontal="left" wrapText="1"/>
    </xf>
    <xf numFmtId="0" fontId="15" fillId="0" borderId="8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39" fillId="0" borderId="8" xfId="1" applyBorder="1" applyAlignment="1" applyProtection="1">
      <alignment horizontal="center"/>
    </xf>
    <xf numFmtId="0" fontId="33" fillId="0" borderId="8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33" fillId="0" borderId="2" xfId="0" applyFont="1" applyBorder="1" applyAlignment="1"/>
    <xf numFmtId="0" fontId="33" fillId="0" borderId="8" xfId="0" applyFont="1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E5F4D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sselectro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Y126"/>
  <sheetViews>
    <sheetView tabSelected="1" view="pageBreakPreview" topLeftCell="G103" zoomScale="110" zoomScaleNormal="75" zoomScaleSheetLayoutView="110" zoomScalePageLayoutView="75" workbookViewId="0">
      <selection activeCell="B2" sqref="B2"/>
    </sheetView>
  </sheetViews>
  <sheetFormatPr defaultRowHeight="16.5"/>
  <cols>
    <col min="1" max="1" width="6.85546875" style="154" customWidth="1"/>
    <col min="2" max="2" width="15.7109375" style="154" customWidth="1"/>
    <col min="3" max="3" width="117" style="159" customWidth="1"/>
    <col min="4" max="4" width="7.140625" style="155" customWidth="1"/>
    <col min="5" max="5" width="9.140625" style="156" customWidth="1"/>
    <col min="6" max="6" width="11" style="157" customWidth="1"/>
    <col min="7" max="7" width="11" style="158" customWidth="1"/>
    <col min="8" max="9" width="16.7109375" style="151" customWidth="1"/>
    <col min="10" max="10" width="11.42578125" style="152" customWidth="1"/>
    <col min="11" max="11" width="13.7109375" style="147" customWidth="1"/>
    <col min="12" max="12" width="10.140625" style="148" customWidth="1"/>
    <col min="13" max="13" width="12.140625" style="153" customWidth="1"/>
    <col min="138" max="138" width="3.5703125" customWidth="1"/>
    <col min="139" max="139" width="57.7109375" customWidth="1"/>
    <col min="140" max="140" width="3.7109375" customWidth="1"/>
    <col min="141" max="141" width="4" customWidth="1"/>
    <col min="142" max="142" width="6.7109375" customWidth="1"/>
    <col min="143" max="143" width="6.42578125" customWidth="1"/>
    <col min="144" max="146" width="9.5703125" customWidth="1"/>
    <col min="147" max="147" width="10.7109375" customWidth="1"/>
    <col min="148" max="148" width="9" customWidth="1"/>
    <col min="149" max="149" width="11.5703125" customWidth="1"/>
    <col min="394" max="394" width="3.5703125" customWidth="1"/>
    <col min="395" max="395" width="57.7109375" customWidth="1"/>
    <col min="396" max="396" width="3.7109375" customWidth="1"/>
    <col min="397" max="397" width="4" customWidth="1"/>
    <col min="398" max="398" width="6.7109375" customWidth="1"/>
    <col min="399" max="399" width="6.42578125" customWidth="1"/>
    <col min="400" max="402" width="9.5703125" customWidth="1"/>
    <col min="403" max="403" width="10.7109375" customWidth="1"/>
    <col min="404" max="404" width="9" customWidth="1"/>
    <col min="405" max="405" width="11.5703125" customWidth="1"/>
    <col min="650" max="650" width="3.5703125" customWidth="1"/>
    <col min="651" max="651" width="57.7109375" customWidth="1"/>
    <col min="652" max="652" width="3.7109375" customWidth="1"/>
    <col min="653" max="653" width="4" customWidth="1"/>
    <col min="654" max="654" width="6.7109375" customWidth="1"/>
    <col min="655" max="655" width="6.42578125" customWidth="1"/>
    <col min="656" max="658" width="9.5703125" customWidth="1"/>
    <col min="659" max="659" width="10.7109375" customWidth="1"/>
    <col min="660" max="660" width="9" customWidth="1"/>
    <col min="661" max="661" width="11.5703125" customWidth="1"/>
    <col min="906" max="906" width="3.5703125" customWidth="1"/>
    <col min="907" max="907" width="57.7109375" customWidth="1"/>
    <col min="908" max="908" width="3.7109375" customWidth="1"/>
    <col min="909" max="909" width="4" customWidth="1"/>
    <col min="910" max="910" width="6.7109375" customWidth="1"/>
    <col min="911" max="911" width="6.42578125" customWidth="1"/>
    <col min="912" max="914" width="9.5703125" customWidth="1"/>
    <col min="915" max="915" width="10.7109375" customWidth="1"/>
    <col min="916" max="916" width="9" customWidth="1"/>
    <col min="917" max="917" width="11.5703125" customWidth="1"/>
    <col min="1162" max="1162" width="3.5703125" customWidth="1"/>
    <col min="1163" max="1163" width="57.7109375" customWidth="1"/>
    <col min="1164" max="1164" width="3.7109375" customWidth="1"/>
    <col min="1165" max="1165" width="4" customWidth="1"/>
    <col min="1166" max="1166" width="6.7109375" customWidth="1"/>
    <col min="1167" max="1167" width="6.42578125" customWidth="1"/>
    <col min="1168" max="1170" width="9.5703125" customWidth="1"/>
    <col min="1171" max="1171" width="10.7109375" customWidth="1"/>
    <col min="1172" max="1172" width="9" customWidth="1"/>
    <col min="1173" max="1173" width="11.5703125" customWidth="1"/>
    <col min="1418" max="1418" width="3.5703125" customWidth="1"/>
    <col min="1419" max="1419" width="57.7109375" customWidth="1"/>
    <col min="1420" max="1420" width="3.7109375" customWidth="1"/>
    <col min="1421" max="1421" width="4" customWidth="1"/>
    <col min="1422" max="1422" width="6.7109375" customWidth="1"/>
    <col min="1423" max="1423" width="6.42578125" customWidth="1"/>
    <col min="1424" max="1426" width="9.5703125" customWidth="1"/>
    <col min="1427" max="1427" width="10.7109375" customWidth="1"/>
    <col min="1428" max="1428" width="9" customWidth="1"/>
    <col min="1429" max="1429" width="11.5703125" customWidth="1"/>
    <col min="1674" max="1674" width="3.5703125" customWidth="1"/>
    <col min="1675" max="1675" width="57.7109375" customWidth="1"/>
    <col min="1676" max="1676" width="3.7109375" customWidth="1"/>
    <col min="1677" max="1677" width="4" customWidth="1"/>
    <col min="1678" max="1678" width="6.7109375" customWidth="1"/>
    <col min="1679" max="1679" width="6.42578125" customWidth="1"/>
    <col min="1680" max="1682" width="9.5703125" customWidth="1"/>
    <col min="1683" max="1683" width="10.7109375" customWidth="1"/>
    <col min="1684" max="1684" width="9" customWidth="1"/>
    <col min="1685" max="1685" width="11.5703125" customWidth="1"/>
    <col min="1930" max="1930" width="3.5703125" customWidth="1"/>
    <col min="1931" max="1931" width="57.7109375" customWidth="1"/>
    <col min="1932" max="1932" width="3.7109375" customWidth="1"/>
    <col min="1933" max="1933" width="4" customWidth="1"/>
    <col min="1934" max="1934" width="6.7109375" customWidth="1"/>
    <col min="1935" max="1935" width="6.42578125" customWidth="1"/>
    <col min="1936" max="1938" width="9.5703125" customWidth="1"/>
    <col min="1939" max="1939" width="10.7109375" customWidth="1"/>
    <col min="1940" max="1940" width="9" customWidth="1"/>
    <col min="1941" max="1941" width="11.5703125" customWidth="1"/>
    <col min="2186" max="2186" width="3.5703125" customWidth="1"/>
    <col min="2187" max="2187" width="57.7109375" customWidth="1"/>
    <col min="2188" max="2188" width="3.7109375" customWidth="1"/>
    <col min="2189" max="2189" width="4" customWidth="1"/>
    <col min="2190" max="2190" width="6.7109375" customWidth="1"/>
    <col min="2191" max="2191" width="6.42578125" customWidth="1"/>
    <col min="2192" max="2194" width="9.5703125" customWidth="1"/>
    <col min="2195" max="2195" width="10.7109375" customWidth="1"/>
    <col min="2196" max="2196" width="9" customWidth="1"/>
    <col min="2197" max="2197" width="11.5703125" customWidth="1"/>
    <col min="2442" max="2442" width="3.5703125" customWidth="1"/>
    <col min="2443" max="2443" width="57.7109375" customWidth="1"/>
    <col min="2444" max="2444" width="3.7109375" customWidth="1"/>
    <col min="2445" max="2445" width="4" customWidth="1"/>
    <col min="2446" max="2446" width="6.7109375" customWidth="1"/>
    <col min="2447" max="2447" width="6.42578125" customWidth="1"/>
    <col min="2448" max="2450" width="9.5703125" customWidth="1"/>
    <col min="2451" max="2451" width="10.7109375" customWidth="1"/>
    <col min="2452" max="2452" width="9" customWidth="1"/>
    <col min="2453" max="2453" width="11.5703125" customWidth="1"/>
    <col min="2698" max="2698" width="3.5703125" customWidth="1"/>
    <col min="2699" max="2699" width="57.7109375" customWidth="1"/>
    <col min="2700" max="2700" width="3.7109375" customWidth="1"/>
    <col min="2701" max="2701" width="4" customWidth="1"/>
    <col min="2702" max="2702" width="6.7109375" customWidth="1"/>
    <col min="2703" max="2703" width="6.42578125" customWidth="1"/>
    <col min="2704" max="2706" width="9.5703125" customWidth="1"/>
    <col min="2707" max="2707" width="10.7109375" customWidth="1"/>
    <col min="2708" max="2708" width="9" customWidth="1"/>
    <col min="2709" max="2709" width="11.5703125" customWidth="1"/>
    <col min="2954" max="2954" width="3.5703125" customWidth="1"/>
    <col min="2955" max="2955" width="57.7109375" customWidth="1"/>
    <col min="2956" max="2956" width="3.7109375" customWidth="1"/>
    <col min="2957" max="2957" width="4" customWidth="1"/>
    <col min="2958" max="2958" width="6.7109375" customWidth="1"/>
    <col min="2959" max="2959" width="6.42578125" customWidth="1"/>
    <col min="2960" max="2962" width="9.5703125" customWidth="1"/>
    <col min="2963" max="2963" width="10.7109375" customWidth="1"/>
    <col min="2964" max="2964" width="9" customWidth="1"/>
    <col min="2965" max="2965" width="11.5703125" customWidth="1"/>
    <col min="3210" max="3210" width="3.5703125" customWidth="1"/>
    <col min="3211" max="3211" width="57.7109375" customWidth="1"/>
    <col min="3212" max="3212" width="3.7109375" customWidth="1"/>
    <col min="3213" max="3213" width="4" customWidth="1"/>
    <col min="3214" max="3214" width="6.7109375" customWidth="1"/>
    <col min="3215" max="3215" width="6.42578125" customWidth="1"/>
    <col min="3216" max="3218" width="9.5703125" customWidth="1"/>
    <col min="3219" max="3219" width="10.7109375" customWidth="1"/>
    <col min="3220" max="3220" width="9" customWidth="1"/>
    <col min="3221" max="3221" width="11.5703125" customWidth="1"/>
    <col min="3466" max="3466" width="3.5703125" customWidth="1"/>
    <col min="3467" max="3467" width="57.7109375" customWidth="1"/>
    <col min="3468" max="3468" width="3.7109375" customWidth="1"/>
    <col min="3469" max="3469" width="4" customWidth="1"/>
    <col min="3470" max="3470" width="6.7109375" customWidth="1"/>
    <col min="3471" max="3471" width="6.42578125" customWidth="1"/>
    <col min="3472" max="3474" width="9.5703125" customWidth="1"/>
    <col min="3475" max="3475" width="10.7109375" customWidth="1"/>
    <col min="3476" max="3476" width="9" customWidth="1"/>
    <col min="3477" max="3477" width="11.5703125" customWidth="1"/>
    <col min="3722" max="3722" width="3.5703125" customWidth="1"/>
    <col min="3723" max="3723" width="57.7109375" customWidth="1"/>
    <col min="3724" max="3724" width="3.7109375" customWidth="1"/>
    <col min="3725" max="3725" width="4" customWidth="1"/>
    <col min="3726" max="3726" width="6.7109375" customWidth="1"/>
    <col min="3727" max="3727" width="6.42578125" customWidth="1"/>
    <col min="3728" max="3730" width="9.5703125" customWidth="1"/>
    <col min="3731" max="3731" width="10.7109375" customWidth="1"/>
    <col min="3732" max="3732" width="9" customWidth="1"/>
    <col min="3733" max="3733" width="11.5703125" customWidth="1"/>
    <col min="3978" max="3978" width="3.5703125" customWidth="1"/>
    <col min="3979" max="3979" width="57.7109375" customWidth="1"/>
    <col min="3980" max="3980" width="3.7109375" customWidth="1"/>
    <col min="3981" max="3981" width="4" customWidth="1"/>
    <col min="3982" max="3982" width="6.7109375" customWidth="1"/>
    <col min="3983" max="3983" width="6.42578125" customWidth="1"/>
    <col min="3984" max="3986" width="9.5703125" customWidth="1"/>
    <col min="3987" max="3987" width="10.7109375" customWidth="1"/>
    <col min="3988" max="3988" width="9" customWidth="1"/>
    <col min="3989" max="3989" width="11.5703125" customWidth="1"/>
    <col min="4234" max="4234" width="3.5703125" customWidth="1"/>
    <col min="4235" max="4235" width="57.7109375" customWidth="1"/>
    <col min="4236" max="4236" width="3.7109375" customWidth="1"/>
    <col min="4237" max="4237" width="4" customWidth="1"/>
    <col min="4238" max="4238" width="6.7109375" customWidth="1"/>
    <col min="4239" max="4239" width="6.42578125" customWidth="1"/>
    <col min="4240" max="4242" width="9.5703125" customWidth="1"/>
    <col min="4243" max="4243" width="10.7109375" customWidth="1"/>
    <col min="4244" max="4244" width="9" customWidth="1"/>
    <col min="4245" max="4245" width="11.5703125" customWidth="1"/>
    <col min="4490" max="4490" width="3.5703125" customWidth="1"/>
    <col min="4491" max="4491" width="57.7109375" customWidth="1"/>
    <col min="4492" max="4492" width="3.7109375" customWidth="1"/>
    <col min="4493" max="4493" width="4" customWidth="1"/>
    <col min="4494" max="4494" width="6.7109375" customWidth="1"/>
    <col min="4495" max="4495" width="6.42578125" customWidth="1"/>
    <col min="4496" max="4498" width="9.5703125" customWidth="1"/>
    <col min="4499" max="4499" width="10.7109375" customWidth="1"/>
    <col min="4500" max="4500" width="9" customWidth="1"/>
    <col min="4501" max="4501" width="11.5703125" customWidth="1"/>
    <col min="4746" max="4746" width="3.5703125" customWidth="1"/>
    <col min="4747" max="4747" width="57.7109375" customWidth="1"/>
    <col min="4748" max="4748" width="3.7109375" customWidth="1"/>
    <col min="4749" max="4749" width="4" customWidth="1"/>
    <col min="4750" max="4750" width="6.7109375" customWidth="1"/>
    <col min="4751" max="4751" width="6.42578125" customWidth="1"/>
    <col min="4752" max="4754" width="9.5703125" customWidth="1"/>
    <col min="4755" max="4755" width="10.7109375" customWidth="1"/>
    <col min="4756" max="4756" width="9" customWidth="1"/>
    <col min="4757" max="4757" width="11.5703125" customWidth="1"/>
    <col min="5002" max="5002" width="3.5703125" customWidth="1"/>
    <col min="5003" max="5003" width="57.7109375" customWidth="1"/>
    <col min="5004" max="5004" width="3.7109375" customWidth="1"/>
    <col min="5005" max="5005" width="4" customWidth="1"/>
    <col min="5006" max="5006" width="6.7109375" customWidth="1"/>
    <col min="5007" max="5007" width="6.42578125" customWidth="1"/>
    <col min="5008" max="5010" width="9.5703125" customWidth="1"/>
    <col min="5011" max="5011" width="10.7109375" customWidth="1"/>
    <col min="5012" max="5012" width="9" customWidth="1"/>
    <col min="5013" max="5013" width="11.5703125" customWidth="1"/>
    <col min="5258" max="5258" width="3.5703125" customWidth="1"/>
    <col min="5259" max="5259" width="57.7109375" customWidth="1"/>
    <col min="5260" max="5260" width="3.7109375" customWidth="1"/>
    <col min="5261" max="5261" width="4" customWidth="1"/>
    <col min="5262" max="5262" width="6.7109375" customWidth="1"/>
    <col min="5263" max="5263" width="6.42578125" customWidth="1"/>
    <col min="5264" max="5266" width="9.5703125" customWidth="1"/>
    <col min="5267" max="5267" width="10.7109375" customWidth="1"/>
    <col min="5268" max="5268" width="9" customWidth="1"/>
    <col min="5269" max="5269" width="11.5703125" customWidth="1"/>
    <col min="5514" max="5514" width="3.5703125" customWidth="1"/>
    <col min="5515" max="5515" width="57.7109375" customWidth="1"/>
    <col min="5516" max="5516" width="3.7109375" customWidth="1"/>
    <col min="5517" max="5517" width="4" customWidth="1"/>
    <col min="5518" max="5518" width="6.7109375" customWidth="1"/>
    <col min="5519" max="5519" width="6.42578125" customWidth="1"/>
    <col min="5520" max="5522" width="9.5703125" customWidth="1"/>
    <col min="5523" max="5523" width="10.7109375" customWidth="1"/>
    <col min="5524" max="5524" width="9" customWidth="1"/>
    <col min="5525" max="5525" width="11.5703125" customWidth="1"/>
    <col min="5770" max="5770" width="3.5703125" customWidth="1"/>
    <col min="5771" max="5771" width="57.7109375" customWidth="1"/>
    <col min="5772" max="5772" width="3.7109375" customWidth="1"/>
    <col min="5773" max="5773" width="4" customWidth="1"/>
    <col min="5774" max="5774" width="6.7109375" customWidth="1"/>
    <col min="5775" max="5775" width="6.42578125" customWidth="1"/>
    <col min="5776" max="5778" width="9.5703125" customWidth="1"/>
    <col min="5779" max="5779" width="10.7109375" customWidth="1"/>
    <col min="5780" max="5780" width="9" customWidth="1"/>
    <col min="5781" max="5781" width="11.5703125" customWidth="1"/>
    <col min="6026" max="6026" width="3.5703125" customWidth="1"/>
    <col min="6027" max="6027" width="57.7109375" customWidth="1"/>
    <col min="6028" max="6028" width="3.7109375" customWidth="1"/>
    <col min="6029" max="6029" width="4" customWidth="1"/>
    <col min="6030" max="6030" width="6.7109375" customWidth="1"/>
    <col min="6031" max="6031" width="6.42578125" customWidth="1"/>
    <col min="6032" max="6034" width="9.5703125" customWidth="1"/>
    <col min="6035" max="6035" width="10.7109375" customWidth="1"/>
    <col min="6036" max="6036" width="9" customWidth="1"/>
    <col min="6037" max="6037" width="11.5703125" customWidth="1"/>
    <col min="6282" max="6282" width="3.5703125" customWidth="1"/>
    <col min="6283" max="6283" width="57.7109375" customWidth="1"/>
    <col min="6284" max="6284" width="3.7109375" customWidth="1"/>
    <col min="6285" max="6285" width="4" customWidth="1"/>
    <col min="6286" max="6286" width="6.7109375" customWidth="1"/>
    <col min="6287" max="6287" width="6.42578125" customWidth="1"/>
    <col min="6288" max="6290" width="9.5703125" customWidth="1"/>
    <col min="6291" max="6291" width="10.7109375" customWidth="1"/>
    <col min="6292" max="6292" width="9" customWidth="1"/>
    <col min="6293" max="6293" width="11.5703125" customWidth="1"/>
    <col min="6538" max="6538" width="3.5703125" customWidth="1"/>
    <col min="6539" max="6539" width="57.7109375" customWidth="1"/>
    <col min="6540" max="6540" width="3.7109375" customWidth="1"/>
    <col min="6541" max="6541" width="4" customWidth="1"/>
    <col min="6542" max="6542" width="6.7109375" customWidth="1"/>
    <col min="6543" max="6543" width="6.42578125" customWidth="1"/>
    <col min="6544" max="6546" width="9.5703125" customWidth="1"/>
    <col min="6547" max="6547" width="10.7109375" customWidth="1"/>
    <col min="6548" max="6548" width="9" customWidth="1"/>
    <col min="6549" max="6549" width="11.5703125" customWidth="1"/>
    <col min="6794" max="6794" width="3.5703125" customWidth="1"/>
    <col min="6795" max="6795" width="57.7109375" customWidth="1"/>
    <col min="6796" max="6796" width="3.7109375" customWidth="1"/>
    <col min="6797" max="6797" width="4" customWidth="1"/>
    <col min="6798" max="6798" width="6.7109375" customWidth="1"/>
    <col min="6799" max="6799" width="6.42578125" customWidth="1"/>
    <col min="6800" max="6802" width="9.5703125" customWidth="1"/>
    <col min="6803" max="6803" width="10.7109375" customWidth="1"/>
    <col min="6804" max="6804" width="9" customWidth="1"/>
    <col min="6805" max="6805" width="11.5703125" customWidth="1"/>
    <col min="7050" max="7050" width="3.5703125" customWidth="1"/>
    <col min="7051" max="7051" width="57.7109375" customWidth="1"/>
    <col min="7052" max="7052" width="3.7109375" customWidth="1"/>
    <col min="7053" max="7053" width="4" customWidth="1"/>
    <col min="7054" max="7054" width="6.7109375" customWidth="1"/>
    <col min="7055" max="7055" width="6.42578125" customWidth="1"/>
    <col min="7056" max="7058" width="9.5703125" customWidth="1"/>
    <col min="7059" max="7059" width="10.7109375" customWidth="1"/>
    <col min="7060" max="7060" width="9" customWidth="1"/>
    <col min="7061" max="7061" width="11.5703125" customWidth="1"/>
    <col min="7306" max="7306" width="3.5703125" customWidth="1"/>
    <col min="7307" max="7307" width="57.7109375" customWidth="1"/>
    <col min="7308" max="7308" width="3.7109375" customWidth="1"/>
    <col min="7309" max="7309" width="4" customWidth="1"/>
    <col min="7310" max="7310" width="6.7109375" customWidth="1"/>
    <col min="7311" max="7311" width="6.42578125" customWidth="1"/>
    <col min="7312" max="7314" width="9.5703125" customWidth="1"/>
    <col min="7315" max="7315" width="10.7109375" customWidth="1"/>
    <col min="7316" max="7316" width="9" customWidth="1"/>
    <col min="7317" max="7317" width="11.5703125" customWidth="1"/>
    <col min="7562" max="7562" width="3.5703125" customWidth="1"/>
    <col min="7563" max="7563" width="57.7109375" customWidth="1"/>
    <col min="7564" max="7564" width="3.7109375" customWidth="1"/>
    <col min="7565" max="7565" width="4" customWidth="1"/>
    <col min="7566" max="7566" width="6.7109375" customWidth="1"/>
    <col min="7567" max="7567" width="6.42578125" customWidth="1"/>
    <col min="7568" max="7570" width="9.5703125" customWidth="1"/>
    <col min="7571" max="7571" width="10.7109375" customWidth="1"/>
    <col min="7572" max="7572" width="9" customWidth="1"/>
    <col min="7573" max="7573" width="11.5703125" customWidth="1"/>
    <col min="7818" max="7818" width="3.5703125" customWidth="1"/>
    <col min="7819" max="7819" width="57.7109375" customWidth="1"/>
    <col min="7820" max="7820" width="3.7109375" customWidth="1"/>
    <col min="7821" max="7821" width="4" customWidth="1"/>
    <col min="7822" max="7822" width="6.7109375" customWidth="1"/>
    <col min="7823" max="7823" width="6.42578125" customWidth="1"/>
    <col min="7824" max="7826" width="9.5703125" customWidth="1"/>
    <col min="7827" max="7827" width="10.7109375" customWidth="1"/>
    <col min="7828" max="7828" width="9" customWidth="1"/>
    <col min="7829" max="7829" width="11.5703125" customWidth="1"/>
    <col min="8074" max="8074" width="3.5703125" customWidth="1"/>
    <col min="8075" max="8075" width="57.7109375" customWidth="1"/>
    <col min="8076" max="8076" width="3.7109375" customWidth="1"/>
    <col min="8077" max="8077" width="4" customWidth="1"/>
    <col min="8078" max="8078" width="6.7109375" customWidth="1"/>
    <col min="8079" max="8079" width="6.42578125" customWidth="1"/>
    <col min="8080" max="8082" width="9.5703125" customWidth="1"/>
    <col min="8083" max="8083" width="10.7109375" customWidth="1"/>
    <col min="8084" max="8084" width="9" customWidth="1"/>
    <col min="8085" max="8085" width="11.5703125" customWidth="1"/>
    <col min="8330" max="8330" width="3.5703125" customWidth="1"/>
    <col min="8331" max="8331" width="57.7109375" customWidth="1"/>
    <col min="8332" max="8332" width="3.7109375" customWidth="1"/>
    <col min="8333" max="8333" width="4" customWidth="1"/>
    <col min="8334" max="8334" width="6.7109375" customWidth="1"/>
    <col min="8335" max="8335" width="6.42578125" customWidth="1"/>
    <col min="8336" max="8338" width="9.5703125" customWidth="1"/>
    <col min="8339" max="8339" width="10.7109375" customWidth="1"/>
    <col min="8340" max="8340" width="9" customWidth="1"/>
    <col min="8341" max="8341" width="11.5703125" customWidth="1"/>
  </cols>
  <sheetData>
    <row r="1" spans="1:13" ht="33" customHeight="1">
      <c r="A1" s="269" t="s">
        <v>118</v>
      </c>
      <c r="B1" s="269"/>
      <c r="C1" s="269"/>
      <c r="D1" s="269"/>
      <c r="E1" s="269"/>
      <c r="F1" s="269"/>
      <c r="G1" s="269"/>
      <c r="H1" s="269"/>
      <c r="I1" s="270"/>
      <c r="J1" s="270"/>
      <c r="K1" s="270"/>
      <c r="L1" s="270"/>
      <c r="M1" s="270"/>
    </row>
    <row r="2" spans="1:13" ht="16.5" customHeight="1">
      <c r="A2" s="271"/>
      <c r="B2" s="271"/>
      <c r="C2" s="271"/>
      <c r="D2" s="271"/>
      <c r="J2" s="280"/>
      <c r="K2" s="272" t="s">
        <v>126</v>
      </c>
      <c r="L2" s="272"/>
      <c r="M2" s="272"/>
    </row>
    <row r="3" spans="1:13" ht="16.5" customHeight="1">
      <c r="A3" s="271"/>
      <c r="B3" s="271"/>
      <c r="C3" s="271"/>
      <c r="D3" s="271"/>
      <c r="E3" s="273"/>
      <c r="J3" s="280"/>
      <c r="K3" s="272" t="s">
        <v>119</v>
      </c>
      <c r="L3" s="272"/>
      <c r="M3" s="272"/>
    </row>
    <row r="4" spans="1:13">
      <c r="A4" s="271"/>
      <c r="B4" s="271"/>
      <c r="C4" s="271"/>
      <c r="I4" s="274" t="s">
        <v>120</v>
      </c>
      <c r="J4" s="274"/>
      <c r="K4" s="274"/>
      <c r="L4" s="274"/>
      <c r="M4" s="274"/>
    </row>
    <row r="5" spans="1:13" ht="15">
      <c r="A5"/>
      <c r="B5"/>
      <c r="C5"/>
      <c r="D5"/>
      <c r="E5"/>
      <c r="F5"/>
      <c r="G5"/>
      <c r="H5"/>
      <c r="I5"/>
      <c r="J5"/>
      <c r="K5"/>
      <c r="L5"/>
      <c r="M5"/>
    </row>
    <row r="6" spans="1:13" ht="15">
      <c r="A6"/>
      <c r="B6" s="282" t="s">
        <v>121</v>
      </c>
      <c r="C6" s="282"/>
      <c r="D6" s="282"/>
      <c r="E6" s="275"/>
      <c r="F6" s="275"/>
      <c r="G6" s="275"/>
      <c r="H6" s="276"/>
      <c r="I6" s="276"/>
      <c r="J6" s="277"/>
      <c r="K6" s="277"/>
      <c r="L6" s="277"/>
      <c r="M6" s="277"/>
    </row>
    <row r="7" spans="1:13" ht="15">
      <c r="A7"/>
      <c r="B7" s="283" t="s">
        <v>122</v>
      </c>
      <c r="C7" s="283"/>
      <c r="D7" s="283"/>
      <c r="E7"/>
      <c r="F7"/>
      <c r="G7"/>
      <c r="H7"/>
      <c r="I7" s="272"/>
      <c r="J7" s="272"/>
      <c r="K7" s="272"/>
      <c r="L7" s="272"/>
      <c r="M7" s="272"/>
    </row>
    <row r="8" spans="1:13" ht="15">
      <c r="A8"/>
      <c r="B8" s="282" t="s">
        <v>123</v>
      </c>
      <c r="C8" s="282"/>
      <c r="D8" s="282"/>
      <c r="E8" s="279"/>
      <c r="F8" s="279"/>
      <c r="G8" s="279"/>
      <c r="H8" s="279"/>
      <c r="I8" s="280"/>
      <c r="J8" s="280"/>
      <c r="K8" s="280"/>
      <c r="L8" s="280"/>
      <c r="M8" s="280"/>
    </row>
    <row r="9" spans="1:13" ht="15">
      <c r="A9"/>
      <c r="B9" s="278" t="s">
        <v>124</v>
      </c>
      <c r="C9" s="278"/>
      <c r="D9" s="278"/>
      <c r="E9" s="280"/>
      <c r="F9" s="280"/>
      <c r="G9" s="280"/>
      <c r="H9" s="280"/>
      <c r="I9" s="281"/>
      <c r="J9"/>
      <c r="K9"/>
      <c r="L9"/>
      <c r="M9"/>
    </row>
    <row r="10" spans="1:13" ht="15.75" customHeight="1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</row>
    <row r="11" spans="1:13" ht="17.25" customHeight="1">
      <c r="A11" s="249" t="s">
        <v>125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</row>
    <row r="12" spans="1:13">
      <c r="A12" s="285"/>
      <c r="B12" s="286" t="s">
        <v>127</v>
      </c>
      <c r="C12" s="292" t="s">
        <v>128</v>
      </c>
      <c r="D12" s="287"/>
      <c r="E12" s="287"/>
      <c r="F12" s="288"/>
      <c r="G12" s="285"/>
      <c r="H12" s="285"/>
      <c r="I12" s="285"/>
      <c r="J12" s="285"/>
      <c r="K12" s="285"/>
      <c r="L12" s="285"/>
      <c r="M12"/>
    </row>
    <row r="13" spans="1:13">
      <c r="A13" s="285"/>
      <c r="B13" s="286"/>
      <c r="C13" s="292" t="s">
        <v>129</v>
      </c>
      <c r="D13" s="289" t="s">
        <v>130</v>
      </c>
      <c r="E13" s="287"/>
      <c r="F13" s="288"/>
      <c r="G13" s="285"/>
      <c r="H13" s="285"/>
      <c r="I13" s="285"/>
      <c r="J13" s="285"/>
      <c r="K13" s="285"/>
      <c r="L13" s="285"/>
      <c r="M13"/>
    </row>
    <row r="14" spans="1:13">
      <c r="A14" s="285"/>
      <c r="B14" s="292" t="s">
        <v>131</v>
      </c>
      <c r="C14" s="293"/>
      <c r="D14" s="290" t="s">
        <v>132</v>
      </c>
      <c r="E14" s="290"/>
      <c r="F14" s="291"/>
      <c r="G14" s="285"/>
      <c r="H14" s="285"/>
      <c r="I14" s="285"/>
      <c r="J14" s="285"/>
      <c r="K14" s="285"/>
      <c r="L14" s="285"/>
      <c r="M14"/>
    </row>
    <row r="15" spans="1:13">
      <c r="A15" s="285"/>
      <c r="B15" s="292" t="s">
        <v>133</v>
      </c>
      <c r="C15" s="293"/>
      <c r="D15" s="290" t="s">
        <v>134</v>
      </c>
      <c r="E15" s="290"/>
      <c r="F15" s="291"/>
      <c r="G15" s="285"/>
      <c r="H15" s="285"/>
      <c r="I15" s="285"/>
      <c r="J15" s="285"/>
      <c r="K15" s="285"/>
      <c r="L15" s="285"/>
      <c r="M15"/>
    </row>
    <row r="16" spans="1:13" ht="12.75" customHeight="1">
      <c r="A16" s="65"/>
      <c r="B16" s="65"/>
      <c r="C16" s="66"/>
      <c r="D16" s="67"/>
      <c r="E16" s="67"/>
      <c r="F16" s="68"/>
      <c r="G16" s="65"/>
      <c r="H16" s="69"/>
      <c r="I16" s="69"/>
      <c r="J16" s="70"/>
      <c r="K16" s="71"/>
      <c r="L16" s="67"/>
      <c r="M16" s="72"/>
    </row>
    <row r="17" spans="1:13" s="3" customFormat="1" ht="39.75" customHeight="1">
      <c r="A17" s="261" t="s">
        <v>14</v>
      </c>
      <c r="B17" s="261" t="s">
        <v>52</v>
      </c>
      <c r="C17" s="266" t="s">
        <v>0</v>
      </c>
      <c r="D17" s="263" t="s">
        <v>13</v>
      </c>
      <c r="E17" s="263"/>
      <c r="F17" s="252" t="s">
        <v>46</v>
      </c>
      <c r="G17" s="253"/>
      <c r="H17" s="252" t="s">
        <v>39</v>
      </c>
      <c r="I17" s="253"/>
      <c r="J17" s="257" t="s">
        <v>47</v>
      </c>
      <c r="K17" s="259" t="s">
        <v>48</v>
      </c>
      <c r="L17" s="263" t="s">
        <v>49</v>
      </c>
      <c r="M17" s="264" t="s">
        <v>50</v>
      </c>
    </row>
    <row r="18" spans="1:13" s="3" customFormat="1" ht="31.5" customHeight="1">
      <c r="A18" s="262"/>
      <c r="B18" s="262"/>
      <c r="C18" s="267"/>
      <c r="D18" s="266"/>
      <c r="E18" s="266"/>
      <c r="F18" s="9" t="s">
        <v>1</v>
      </c>
      <c r="G18" s="9" t="s">
        <v>2</v>
      </c>
      <c r="H18" s="9" t="s">
        <v>3</v>
      </c>
      <c r="I18" s="9" t="s">
        <v>4</v>
      </c>
      <c r="J18" s="258"/>
      <c r="K18" s="260"/>
      <c r="L18" s="263"/>
      <c r="M18" s="265"/>
    </row>
    <row r="19" spans="1:13" s="73" customFormat="1" ht="18" customHeight="1">
      <c r="A19" s="160">
        <v>1</v>
      </c>
      <c r="B19" s="160">
        <v>2</v>
      </c>
      <c r="C19" s="182">
        <v>3</v>
      </c>
      <c r="D19" s="256">
        <v>4</v>
      </c>
      <c r="E19" s="256"/>
      <c r="F19" s="160">
        <v>5</v>
      </c>
      <c r="G19" s="183">
        <v>6</v>
      </c>
      <c r="H19" s="160">
        <v>7</v>
      </c>
      <c r="I19" s="160">
        <v>8</v>
      </c>
      <c r="J19" s="161">
        <v>9</v>
      </c>
      <c r="K19" s="161">
        <v>10</v>
      </c>
      <c r="L19" s="182">
        <v>11</v>
      </c>
      <c r="M19" s="182">
        <v>12</v>
      </c>
    </row>
    <row r="20" spans="1:13" s="10" customFormat="1" ht="23.25" customHeight="1">
      <c r="A20" s="74" t="s">
        <v>5</v>
      </c>
      <c r="B20" s="74" t="s">
        <v>5</v>
      </c>
      <c r="C20" s="75"/>
      <c r="D20" s="76"/>
      <c r="E20" s="77"/>
      <c r="F20" s="78"/>
      <c r="G20" s="79"/>
      <c r="H20" s="80"/>
      <c r="I20" s="80"/>
      <c r="J20" s="81"/>
      <c r="K20" s="82"/>
      <c r="L20" s="77"/>
      <c r="M20" s="83"/>
    </row>
    <row r="21" spans="1:13" s="2" customFormat="1" ht="21.75" customHeight="1">
      <c r="A21" s="197">
        <v>1</v>
      </c>
      <c r="B21" s="36">
        <v>133133</v>
      </c>
      <c r="C21" s="21" t="s">
        <v>112</v>
      </c>
      <c r="D21" s="38" t="s">
        <v>6</v>
      </c>
      <c r="E21" s="39" t="s">
        <v>2</v>
      </c>
      <c r="F21" s="40">
        <v>0.8</v>
      </c>
      <c r="G21" s="41">
        <v>2</v>
      </c>
      <c r="H21" s="42">
        <v>38.448999999999998</v>
      </c>
      <c r="I21" s="42">
        <v>22.056000000000001</v>
      </c>
      <c r="J21" s="98" t="s">
        <v>87</v>
      </c>
      <c r="K21" s="223" t="s">
        <v>33</v>
      </c>
      <c r="L21" s="16"/>
      <c r="M21" s="43"/>
    </row>
    <row r="22" spans="1:13" s="2" customFormat="1" ht="39" customHeight="1">
      <c r="A22" s="11">
        <v>2</v>
      </c>
      <c r="B22" s="11">
        <v>121102</v>
      </c>
      <c r="C22" s="175" t="s">
        <v>113</v>
      </c>
      <c r="D22" s="12" t="s">
        <v>6</v>
      </c>
      <c r="E22" s="12" t="s">
        <v>7</v>
      </c>
      <c r="F22" s="18">
        <v>0.5</v>
      </c>
      <c r="G22" s="11">
        <f t="shared" ref="G22:G29" si="0">F22*27</f>
        <v>13.5</v>
      </c>
      <c r="H22" s="14">
        <f>F22*2299.937</f>
        <v>1149.9684999999999</v>
      </c>
      <c r="I22" s="15">
        <f>F22*1482.476</f>
        <v>741.23800000000006</v>
      </c>
      <c r="J22" s="88" t="s">
        <v>16</v>
      </c>
      <c r="K22" s="224"/>
      <c r="L22" s="91" t="s">
        <v>15</v>
      </c>
      <c r="M22" s="17"/>
    </row>
    <row r="23" spans="1:13" s="2" customFormat="1" ht="24" customHeight="1">
      <c r="A23" s="197">
        <v>3</v>
      </c>
      <c r="B23" s="11">
        <v>133055</v>
      </c>
      <c r="C23" s="7" t="s">
        <v>71</v>
      </c>
      <c r="D23" s="12" t="s">
        <v>6</v>
      </c>
      <c r="E23" s="12" t="s">
        <v>7</v>
      </c>
      <c r="F23" s="18">
        <v>0.65</v>
      </c>
      <c r="G23" s="11">
        <f t="shared" si="0"/>
        <v>17.55</v>
      </c>
      <c r="H23" s="14">
        <f t="shared" ref="H23:H29" si="1">F23*2299.937</f>
        <v>1494.9590499999999</v>
      </c>
      <c r="I23" s="15">
        <f t="shared" ref="I23:I29" si="2">F23*1482.476</f>
        <v>963.60940000000005</v>
      </c>
      <c r="J23" s="88" t="s">
        <v>16</v>
      </c>
      <c r="K23" s="224"/>
      <c r="L23" s="91" t="s">
        <v>15</v>
      </c>
      <c r="M23" s="181"/>
    </row>
    <row r="24" spans="1:13" s="2" customFormat="1" ht="39.75" customHeight="1">
      <c r="A24" s="197">
        <v>4</v>
      </c>
      <c r="B24" s="11">
        <v>121188</v>
      </c>
      <c r="C24" s="59" t="s">
        <v>72</v>
      </c>
      <c r="D24" s="38" t="s">
        <v>6</v>
      </c>
      <c r="E24" s="39" t="s">
        <v>2</v>
      </c>
      <c r="F24" s="89">
        <v>1.7</v>
      </c>
      <c r="G24" s="11">
        <f t="shared" si="0"/>
        <v>45.9</v>
      </c>
      <c r="H24" s="14">
        <f t="shared" si="1"/>
        <v>3909.8928999999998</v>
      </c>
      <c r="I24" s="15">
        <f t="shared" si="2"/>
        <v>2520.2092000000002</v>
      </c>
      <c r="J24" s="88" t="s">
        <v>16</v>
      </c>
      <c r="K24" s="224"/>
      <c r="L24" s="91" t="s">
        <v>15</v>
      </c>
      <c r="M24" s="180"/>
    </row>
    <row r="25" spans="1:13" s="2" customFormat="1" ht="37.5" customHeight="1">
      <c r="A25" s="11">
        <v>5</v>
      </c>
      <c r="B25" s="11">
        <v>121064</v>
      </c>
      <c r="C25" s="47" t="s">
        <v>73</v>
      </c>
      <c r="D25" s="12" t="s">
        <v>6</v>
      </c>
      <c r="E25" s="12" t="s">
        <v>7</v>
      </c>
      <c r="F25" s="18">
        <v>0.4</v>
      </c>
      <c r="G25" s="11">
        <f t="shared" si="0"/>
        <v>10.8</v>
      </c>
      <c r="H25" s="14">
        <f t="shared" si="1"/>
        <v>919.97479999999996</v>
      </c>
      <c r="I25" s="15">
        <f t="shared" si="2"/>
        <v>592.99040000000002</v>
      </c>
      <c r="J25" s="88" t="s">
        <v>16</v>
      </c>
      <c r="K25" s="224"/>
      <c r="L25" s="91" t="s">
        <v>15</v>
      </c>
      <c r="M25" s="20"/>
    </row>
    <row r="26" spans="1:13" s="2" customFormat="1" ht="24" customHeight="1">
      <c r="A26" s="197">
        <v>6</v>
      </c>
      <c r="B26" s="11">
        <v>133064</v>
      </c>
      <c r="C26" s="59" t="s">
        <v>74</v>
      </c>
      <c r="D26" s="12" t="s">
        <v>6</v>
      </c>
      <c r="E26" s="12" t="s">
        <v>7</v>
      </c>
      <c r="F26" s="18">
        <v>0.89400000000000002</v>
      </c>
      <c r="G26" s="11">
        <f t="shared" si="0"/>
        <v>24.138000000000002</v>
      </c>
      <c r="H26" s="14">
        <f t="shared" si="1"/>
        <v>2056.1436779999999</v>
      </c>
      <c r="I26" s="15">
        <f t="shared" si="2"/>
        <v>1325.3335440000001</v>
      </c>
      <c r="J26" s="88" t="s">
        <v>16</v>
      </c>
      <c r="K26" s="224"/>
      <c r="L26" s="91"/>
      <c r="M26" s="20"/>
    </row>
    <row r="27" spans="1:13" s="99" customFormat="1" ht="24" customHeight="1">
      <c r="A27" s="197">
        <v>7</v>
      </c>
      <c r="B27" s="36">
        <v>121014</v>
      </c>
      <c r="C27" s="47" t="s">
        <v>21</v>
      </c>
      <c r="D27" s="48" t="s">
        <v>6</v>
      </c>
      <c r="E27" s="49" t="s">
        <v>2</v>
      </c>
      <c r="F27" s="89">
        <v>0.08</v>
      </c>
      <c r="G27" s="195">
        <f t="shared" si="0"/>
        <v>2.16</v>
      </c>
      <c r="H27" s="14">
        <f t="shared" si="1"/>
        <v>183.99495999999999</v>
      </c>
      <c r="I27" s="15">
        <f t="shared" si="2"/>
        <v>118.59808000000001</v>
      </c>
      <c r="J27" s="85" t="s">
        <v>12</v>
      </c>
      <c r="K27" s="224"/>
      <c r="L27" s="91" t="s">
        <v>15</v>
      </c>
      <c r="M27" s="43"/>
    </row>
    <row r="28" spans="1:13" s="99" customFormat="1" ht="34.5" customHeight="1">
      <c r="A28" s="11">
        <v>8</v>
      </c>
      <c r="B28" s="197" t="s">
        <v>106</v>
      </c>
      <c r="C28" s="47" t="s">
        <v>22</v>
      </c>
      <c r="D28" s="48" t="s">
        <v>6</v>
      </c>
      <c r="E28" s="49" t="s">
        <v>2</v>
      </c>
      <c r="F28" s="89">
        <v>0.09</v>
      </c>
      <c r="G28" s="195">
        <f t="shared" si="0"/>
        <v>2.4299999999999997</v>
      </c>
      <c r="H28" s="14">
        <f t="shared" si="1"/>
        <v>206.99432999999999</v>
      </c>
      <c r="I28" s="15">
        <f t="shared" si="2"/>
        <v>133.42284000000001</v>
      </c>
      <c r="J28" s="98" t="s">
        <v>12</v>
      </c>
      <c r="K28" s="224"/>
      <c r="L28" s="91" t="s">
        <v>15</v>
      </c>
      <c r="M28" s="43"/>
    </row>
    <row r="29" spans="1:13" s="2" customFormat="1" ht="24.75" customHeight="1">
      <c r="A29" s="197">
        <v>9</v>
      </c>
      <c r="B29" s="11">
        <v>132133</v>
      </c>
      <c r="C29" s="59" t="s">
        <v>79</v>
      </c>
      <c r="D29" s="38" t="s">
        <v>6</v>
      </c>
      <c r="E29" s="39" t="s">
        <v>2</v>
      </c>
      <c r="F29" s="18">
        <v>0.30299999999999999</v>
      </c>
      <c r="G29" s="11">
        <f t="shared" si="0"/>
        <v>8.1809999999999992</v>
      </c>
      <c r="H29" s="14">
        <f t="shared" si="1"/>
        <v>696.88091099999997</v>
      </c>
      <c r="I29" s="15">
        <f t="shared" si="2"/>
        <v>449.19022800000005</v>
      </c>
      <c r="J29" s="88" t="s">
        <v>16</v>
      </c>
      <c r="K29" s="225"/>
      <c r="L29" s="91"/>
      <c r="M29" s="20"/>
    </row>
    <row r="30" spans="1:13" s="90" customFormat="1" ht="22.5" customHeight="1">
      <c r="A30" s="227" t="s">
        <v>8</v>
      </c>
      <c r="B30" s="228"/>
      <c r="C30" s="229"/>
      <c r="D30" s="22" t="s">
        <v>1</v>
      </c>
      <c r="E30" s="22" t="s">
        <v>7</v>
      </c>
      <c r="F30" s="24">
        <f>SUM(F21:F29)</f>
        <v>5.4170000000000007</v>
      </c>
      <c r="G30" s="23">
        <f>SUM(G21:G29)</f>
        <v>126.65899999999998</v>
      </c>
      <c r="H30" s="24">
        <f>SUM(H21:H29)</f>
        <v>10657.258129</v>
      </c>
      <c r="I30" s="24">
        <f>SUM(I21:I29)</f>
        <v>6866.6476920000005</v>
      </c>
      <c r="J30" s="25"/>
      <c r="K30" s="26"/>
      <c r="L30" s="28"/>
      <c r="M30" s="28"/>
    </row>
    <row r="31" spans="1:13" s="86" customFormat="1" ht="18.75" customHeight="1">
      <c r="A31" s="230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2"/>
    </row>
    <row r="32" spans="1:13" s="8" customFormat="1" ht="21" customHeight="1">
      <c r="A32" s="162" t="s">
        <v>9</v>
      </c>
      <c r="B32" s="177" t="s">
        <v>9</v>
      </c>
      <c r="C32" s="163"/>
      <c r="D32" s="163"/>
      <c r="E32" s="163"/>
      <c r="F32" s="163"/>
      <c r="G32" s="163"/>
      <c r="H32" s="168"/>
      <c r="I32" s="168"/>
      <c r="J32" s="163"/>
      <c r="K32" s="163"/>
      <c r="L32" s="163"/>
      <c r="M32" s="164"/>
    </row>
    <row r="33" spans="1:13" s="2" customFormat="1" ht="24.75" customHeight="1">
      <c r="A33" s="29">
        <v>1</v>
      </c>
      <c r="B33" s="29">
        <v>120035</v>
      </c>
      <c r="C33" s="21" t="s">
        <v>65</v>
      </c>
      <c r="D33" s="12" t="s">
        <v>6</v>
      </c>
      <c r="E33" s="12" t="s">
        <v>7</v>
      </c>
      <c r="F33" s="13">
        <v>0.53</v>
      </c>
      <c r="G33" s="11">
        <f>F33*46</f>
        <v>24.380000000000003</v>
      </c>
      <c r="H33" s="14">
        <f>F33*1714.194</f>
        <v>908.52282000000002</v>
      </c>
      <c r="I33" s="15">
        <f>F33*1019.309</f>
        <v>540.23377000000005</v>
      </c>
      <c r="J33" s="88" t="s">
        <v>16</v>
      </c>
      <c r="K33" s="223" t="s">
        <v>109</v>
      </c>
      <c r="L33" s="30"/>
      <c r="M33" s="20"/>
    </row>
    <row r="34" spans="1:13" s="2" customFormat="1" ht="24.75" customHeight="1">
      <c r="A34" s="29">
        <v>2</v>
      </c>
      <c r="B34" s="11">
        <v>121201</v>
      </c>
      <c r="C34" s="21" t="s">
        <v>80</v>
      </c>
      <c r="D34" s="12" t="s">
        <v>6</v>
      </c>
      <c r="E34" s="12" t="s">
        <v>7</v>
      </c>
      <c r="F34" s="13">
        <v>0.25</v>
      </c>
      <c r="G34" s="11">
        <f t="shared" ref="G34:G48" si="3">F34*46</f>
        <v>11.5</v>
      </c>
      <c r="H34" s="14">
        <f t="shared" ref="H34:H48" si="4">F34*1714.194</f>
        <v>428.54849999999999</v>
      </c>
      <c r="I34" s="15">
        <f t="shared" ref="I34:I48" si="5">F34*1019.309</f>
        <v>254.82724999999999</v>
      </c>
      <c r="J34" s="87" t="s">
        <v>16</v>
      </c>
      <c r="K34" s="224"/>
      <c r="L34" s="93"/>
      <c r="M34" s="94"/>
    </row>
    <row r="35" spans="1:13" s="171" customFormat="1" ht="24.75" customHeight="1">
      <c r="A35" s="29">
        <v>3</v>
      </c>
      <c r="B35" s="11">
        <v>120012</v>
      </c>
      <c r="C35" s="167" t="s">
        <v>53</v>
      </c>
      <c r="D35" s="12" t="s">
        <v>6</v>
      </c>
      <c r="E35" s="12" t="s">
        <v>7</v>
      </c>
      <c r="F35" s="13">
        <v>0.32</v>
      </c>
      <c r="G35" s="11">
        <f t="shared" si="3"/>
        <v>14.72</v>
      </c>
      <c r="H35" s="14">
        <f t="shared" si="4"/>
        <v>548.54208000000006</v>
      </c>
      <c r="I35" s="15">
        <f t="shared" si="5"/>
        <v>326.17887999999999</v>
      </c>
      <c r="J35" s="87" t="s">
        <v>16</v>
      </c>
      <c r="K35" s="224"/>
      <c r="L35" s="169"/>
      <c r="M35" s="170"/>
    </row>
    <row r="36" spans="1:13" s="171" customFormat="1" ht="24.75" customHeight="1">
      <c r="A36" s="29">
        <v>4</v>
      </c>
      <c r="B36" s="11">
        <v>120012</v>
      </c>
      <c r="C36" s="167" t="s">
        <v>66</v>
      </c>
      <c r="D36" s="12" t="s">
        <v>6</v>
      </c>
      <c r="E36" s="12" t="s">
        <v>7</v>
      </c>
      <c r="F36" s="13">
        <v>0.26</v>
      </c>
      <c r="G36" s="11">
        <f t="shared" si="3"/>
        <v>11.96</v>
      </c>
      <c r="H36" s="14">
        <f t="shared" si="4"/>
        <v>445.69044000000002</v>
      </c>
      <c r="I36" s="15">
        <f t="shared" si="5"/>
        <v>265.02033999999998</v>
      </c>
      <c r="J36" s="87" t="s">
        <v>16</v>
      </c>
      <c r="K36" s="224"/>
      <c r="L36" s="169"/>
      <c r="M36" s="170"/>
    </row>
    <row r="37" spans="1:13" s="172" customFormat="1" ht="24.75" customHeight="1">
      <c r="A37" s="29">
        <v>5</v>
      </c>
      <c r="B37" s="11">
        <v>120012</v>
      </c>
      <c r="C37" s="167" t="s">
        <v>67</v>
      </c>
      <c r="D37" s="12" t="s">
        <v>6</v>
      </c>
      <c r="E37" s="12" t="s">
        <v>7</v>
      </c>
      <c r="F37" s="13">
        <v>0.4</v>
      </c>
      <c r="G37" s="11">
        <f t="shared" si="3"/>
        <v>18.400000000000002</v>
      </c>
      <c r="H37" s="14">
        <f t="shared" si="4"/>
        <v>685.67759999999998</v>
      </c>
      <c r="I37" s="15">
        <f t="shared" si="5"/>
        <v>407.72360000000003</v>
      </c>
      <c r="J37" s="87" t="s">
        <v>16</v>
      </c>
      <c r="K37" s="224"/>
      <c r="L37" s="93"/>
      <c r="M37" s="94"/>
    </row>
    <row r="38" spans="1:13" s="171" customFormat="1" ht="21.75" customHeight="1">
      <c r="A38" s="29">
        <v>6</v>
      </c>
      <c r="B38" s="236">
        <v>120022</v>
      </c>
      <c r="C38" s="167" t="s">
        <v>54</v>
      </c>
      <c r="D38" s="12" t="s">
        <v>6</v>
      </c>
      <c r="E38" s="12" t="s">
        <v>7</v>
      </c>
      <c r="F38" s="13">
        <v>0.87</v>
      </c>
      <c r="G38" s="11">
        <f t="shared" si="3"/>
        <v>40.020000000000003</v>
      </c>
      <c r="H38" s="14">
        <f t="shared" si="4"/>
        <v>1491.34878</v>
      </c>
      <c r="I38" s="15">
        <f t="shared" si="5"/>
        <v>886.79882999999995</v>
      </c>
      <c r="J38" s="87" t="s">
        <v>16</v>
      </c>
      <c r="K38" s="224"/>
      <c r="L38" s="91" t="s">
        <v>15</v>
      </c>
      <c r="M38" s="170"/>
    </row>
    <row r="39" spans="1:13" s="171" customFormat="1" ht="21.75" customHeight="1">
      <c r="A39" s="29">
        <v>7</v>
      </c>
      <c r="B39" s="237"/>
      <c r="C39" s="167" t="s">
        <v>55</v>
      </c>
      <c r="D39" s="12" t="s">
        <v>6</v>
      </c>
      <c r="E39" s="12" t="s">
        <v>7</v>
      </c>
      <c r="F39" s="13">
        <v>1.22</v>
      </c>
      <c r="G39" s="11">
        <f t="shared" si="3"/>
        <v>56.12</v>
      </c>
      <c r="H39" s="14">
        <f t="shared" si="4"/>
        <v>2091.3166799999999</v>
      </c>
      <c r="I39" s="15">
        <f t="shared" si="5"/>
        <v>1243.5569799999998</v>
      </c>
      <c r="J39" s="87" t="s">
        <v>16</v>
      </c>
      <c r="K39" s="224"/>
      <c r="L39" s="91" t="s">
        <v>15</v>
      </c>
      <c r="M39" s="170"/>
    </row>
    <row r="40" spans="1:13" s="171" customFormat="1" ht="21.75" customHeight="1">
      <c r="A40" s="29">
        <v>8</v>
      </c>
      <c r="B40" s="237"/>
      <c r="C40" s="167" t="s">
        <v>56</v>
      </c>
      <c r="D40" s="12" t="s">
        <v>6</v>
      </c>
      <c r="E40" s="12" t="s">
        <v>7</v>
      </c>
      <c r="F40" s="13">
        <v>0.33</v>
      </c>
      <c r="G40" s="11">
        <f t="shared" si="3"/>
        <v>15.180000000000001</v>
      </c>
      <c r="H40" s="14">
        <f t="shared" si="4"/>
        <v>565.68402000000003</v>
      </c>
      <c r="I40" s="15">
        <f t="shared" si="5"/>
        <v>336.37197000000003</v>
      </c>
      <c r="J40" s="87" t="s">
        <v>16</v>
      </c>
      <c r="K40" s="224"/>
      <c r="L40" s="91" t="s">
        <v>15</v>
      </c>
      <c r="M40" s="170"/>
    </row>
    <row r="41" spans="1:13" s="171" customFormat="1" ht="21.75" customHeight="1">
      <c r="A41" s="29">
        <v>9</v>
      </c>
      <c r="B41" s="238"/>
      <c r="C41" s="167" t="s">
        <v>68</v>
      </c>
      <c r="D41" s="12" t="s">
        <v>6</v>
      </c>
      <c r="E41" s="12" t="s">
        <v>7</v>
      </c>
      <c r="F41" s="13">
        <v>0.42</v>
      </c>
      <c r="G41" s="11">
        <f t="shared" si="3"/>
        <v>19.32</v>
      </c>
      <c r="H41" s="14">
        <f t="shared" si="4"/>
        <v>719.96147999999994</v>
      </c>
      <c r="I41" s="15">
        <f t="shared" si="5"/>
        <v>428.10977999999994</v>
      </c>
      <c r="J41" s="87" t="s">
        <v>16</v>
      </c>
      <c r="K41" s="224"/>
      <c r="L41" s="91" t="s">
        <v>15</v>
      </c>
      <c r="M41" s="170"/>
    </row>
    <row r="42" spans="1:13" s="171" customFormat="1" ht="23.25" customHeight="1">
      <c r="A42" s="29">
        <v>10</v>
      </c>
      <c r="B42" s="11">
        <v>120043</v>
      </c>
      <c r="C42" s="167" t="s">
        <v>57</v>
      </c>
      <c r="D42" s="12" t="s">
        <v>6</v>
      </c>
      <c r="E42" s="12" t="s">
        <v>7</v>
      </c>
      <c r="F42" s="13">
        <v>0.45</v>
      </c>
      <c r="G42" s="11">
        <f t="shared" si="3"/>
        <v>20.7</v>
      </c>
      <c r="H42" s="14">
        <f t="shared" si="4"/>
        <v>771.38729999999998</v>
      </c>
      <c r="I42" s="15">
        <f t="shared" si="5"/>
        <v>458.68905000000001</v>
      </c>
      <c r="J42" s="87" t="s">
        <v>16</v>
      </c>
      <c r="K42" s="224"/>
      <c r="L42" s="16"/>
      <c r="M42" s="170"/>
    </row>
    <row r="43" spans="1:13" s="171" customFormat="1" ht="23.25" customHeight="1">
      <c r="A43" s="29">
        <v>11</v>
      </c>
      <c r="B43" s="176"/>
      <c r="C43" s="167" t="s">
        <v>114</v>
      </c>
      <c r="D43" s="12" t="s">
        <v>6</v>
      </c>
      <c r="E43" s="12" t="s">
        <v>7</v>
      </c>
      <c r="F43" s="13">
        <v>0.13</v>
      </c>
      <c r="G43" s="11">
        <f t="shared" si="3"/>
        <v>5.98</v>
      </c>
      <c r="H43" s="14">
        <f t="shared" si="4"/>
        <v>222.84522000000001</v>
      </c>
      <c r="I43" s="15">
        <f t="shared" si="5"/>
        <v>132.51016999999999</v>
      </c>
      <c r="J43" s="87" t="s">
        <v>16</v>
      </c>
      <c r="K43" s="224"/>
      <c r="L43" s="16"/>
      <c r="M43" s="170"/>
    </row>
    <row r="44" spans="1:13" s="171" customFormat="1" ht="23.25" customHeight="1">
      <c r="A44" s="29">
        <v>12</v>
      </c>
      <c r="B44" s="176"/>
      <c r="C44" s="167" t="s">
        <v>81</v>
      </c>
      <c r="D44" s="12" t="s">
        <v>6</v>
      </c>
      <c r="E44" s="12" t="s">
        <v>7</v>
      </c>
      <c r="F44" s="13">
        <v>0.3</v>
      </c>
      <c r="G44" s="11">
        <f t="shared" si="3"/>
        <v>13.799999999999999</v>
      </c>
      <c r="H44" s="14">
        <f t="shared" si="4"/>
        <v>514.25819999999999</v>
      </c>
      <c r="I44" s="15">
        <f t="shared" si="5"/>
        <v>305.79269999999997</v>
      </c>
      <c r="J44" s="87" t="s">
        <v>16</v>
      </c>
      <c r="K44" s="224"/>
      <c r="L44" s="169"/>
      <c r="M44" s="170"/>
    </row>
    <row r="45" spans="1:13" s="171" customFormat="1" ht="23.25" customHeight="1">
      <c r="A45" s="29">
        <v>13</v>
      </c>
      <c r="B45" s="176"/>
      <c r="C45" s="167" t="s">
        <v>58</v>
      </c>
      <c r="D45" s="12" t="s">
        <v>6</v>
      </c>
      <c r="E45" s="12" t="s">
        <v>7</v>
      </c>
      <c r="F45" s="13">
        <v>0.75</v>
      </c>
      <c r="G45" s="11">
        <f t="shared" si="3"/>
        <v>34.5</v>
      </c>
      <c r="H45" s="14">
        <f t="shared" si="4"/>
        <v>1285.6455000000001</v>
      </c>
      <c r="I45" s="15">
        <f t="shared" si="5"/>
        <v>764.48174999999992</v>
      </c>
      <c r="J45" s="87" t="s">
        <v>16</v>
      </c>
      <c r="K45" s="224"/>
      <c r="L45" s="169"/>
      <c r="M45" s="170"/>
    </row>
    <row r="46" spans="1:13" s="171" customFormat="1" ht="23.25" customHeight="1">
      <c r="A46" s="29">
        <v>14</v>
      </c>
      <c r="B46" s="11">
        <v>120043</v>
      </c>
      <c r="C46" s="167" t="s">
        <v>59</v>
      </c>
      <c r="D46" s="12" t="s">
        <v>6</v>
      </c>
      <c r="E46" s="12" t="s">
        <v>7</v>
      </c>
      <c r="F46" s="13">
        <v>1.6</v>
      </c>
      <c r="G46" s="11">
        <f t="shared" si="3"/>
        <v>73.600000000000009</v>
      </c>
      <c r="H46" s="14">
        <f t="shared" si="4"/>
        <v>2742.7103999999999</v>
      </c>
      <c r="I46" s="15">
        <f t="shared" si="5"/>
        <v>1630.8944000000001</v>
      </c>
      <c r="J46" s="87" t="s">
        <v>16</v>
      </c>
      <c r="K46" s="224"/>
      <c r="L46" s="169"/>
      <c r="M46" s="170"/>
    </row>
    <row r="47" spans="1:13" s="171" customFormat="1" ht="23.25" customHeight="1">
      <c r="A47" s="29">
        <v>15</v>
      </c>
      <c r="B47" s="236">
        <v>120066</v>
      </c>
      <c r="C47" s="167" t="s">
        <v>69</v>
      </c>
      <c r="D47" s="12" t="s">
        <v>6</v>
      </c>
      <c r="E47" s="12" t="s">
        <v>7</v>
      </c>
      <c r="F47" s="13">
        <v>1.1000000000000001</v>
      </c>
      <c r="G47" s="11">
        <f t="shared" si="3"/>
        <v>50.6</v>
      </c>
      <c r="H47" s="14">
        <f t="shared" si="4"/>
        <v>1885.6134000000002</v>
      </c>
      <c r="I47" s="15">
        <f t="shared" si="5"/>
        <v>1121.2399</v>
      </c>
      <c r="J47" s="87" t="s">
        <v>16</v>
      </c>
      <c r="K47" s="224"/>
      <c r="L47" s="169"/>
      <c r="M47" s="170"/>
    </row>
    <row r="48" spans="1:13" s="171" customFormat="1" ht="23.25" customHeight="1">
      <c r="A48" s="29">
        <v>16</v>
      </c>
      <c r="B48" s="238"/>
      <c r="C48" s="167" t="s">
        <v>60</v>
      </c>
      <c r="D48" s="12" t="s">
        <v>6</v>
      </c>
      <c r="E48" s="12" t="s">
        <v>7</v>
      </c>
      <c r="F48" s="13">
        <v>0.45</v>
      </c>
      <c r="G48" s="11">
        <f t="shared" si="3"/>
        <v>20.7</v>
      </c>
      <c r="H48" s="14">
        <f t="shared" si="4"/>
        <v>771.38729999999998</v>
      </c>
      <c r="I48" s="15">
        <f t="shared" si="5"/>
        <v>458.68905000000001</v>
      </c>
      <c r="J48" s="87" t="s">
        <v>16</v>
      </c>
      <c r="K48" s="224"/>
      <c r="L48" s="169"/>
      <c r="M48" s="170"/>
    </row>
    <row r="49" spans="1:13" s="171" customFormat="1" ht="23.25" customHeight="1">
      <c r="A49" s="29">
        <v>17</v>
      </c>
      <c r="B49" s="176"/>
      <c r="C49" s="167" t="s">
        <v>70</v>
      </c>
      <c r="D49" s="12" t="s">
        <v>6</v>
      </c>
      <c r="E49" s="12" t="s">
        <v>7</v>
      </c>
      <c r="F49" s="13">
        <v>0.38</v>
      </c>
      <c r="G49" s="11">
        <f t="shared" ref="G49:G50" si="6">F49*46</f>
        <v>17.48</v>
      </c>
      <c r="H49" s="14">
        <f t="shared" ref="H49:H50" si="7">F49*1714.194</f>
        <v>651.39372000000003</v>
      </c>
      <c r="I49" s="15">
        <f t="shared" ref="I49:I50" si="8">F49*1019.309</f>
        <v>387.33742000000001</v>
      </c>
      <c r="J49" s="87" t="s">
        <v>16</v>
      </c>
      <c r="K49" s="224"/>
      <c r="L49" s="169"/>
      <c r="M49" s="180"/>
    </row>
    <row r="50" spans="1:13" s="171" customFormat="1" ht="23.25" customHeight="1">
      <c r="A50" s="29">
        <v>18</v>
      </c>
      <c r="B50" s="176"/>
      <c r="C50" s="167" t="s">
        <v>115</v>
      </c>
      <c r="D50" s="12" t="s">
        <v>6</v>
      </c>
      <c r="E50" s="12" t="s">
        <v>7</v>
      </c>
      <c r="F50" s="13">
        <v>0.62</v>
      </c>
      <c r="G50" s="11">
        <f t="shared" si="6"/>
        <v>28.52</v>
      </c>
      <c r="H50" s="14">
        <f t="shared" si="7"/>
        <v>1062.8002799999999</v>
      </c>
      <c r="I50" s="15">
        <f t="shared" si="8"/>
        <v>631.97158000000002</v>
      </c>
      <c r="J50" s="87" t="s">
        <v>16</v>
      </c>
      <c r="K50" s="224"/>
      <c r="L50" s="169"/>
      <c r="M50" s="180"/>
    </row>
    <row r="51" spans="1:13" s="35" customFormat="1" ht="24.95" customHeight="1">
      <c r="A51" s="233" t="s">
        <v>8</v>
      </c>
      <c r="B51" s="234"/>
      <c r="C51" s="235"/>
      <c r="D51" s="31" t="s">
        <v>1</v>
      </c>
      <c r="E51" s="31" t="s">
        <v>7</v>
      </c>
      <c r="F51" s="24">
        <f>SUM(F33:F50)</f>
        <v>10.379999999999999</v>
      </c>
      <c r="G51" s="23">
        <f>SUM(G33:G50)</f>
        <v>477.48000000000008</v>
      </c>
      <c r="H51" s="24">
        <f>SUM(H33:H50)</f>
        <v>17793.333719999999</v>
      </c>
      <c r="I51" s="24">
        <f>SUM(I33:I50)</f>
        <v>10580.42742</v>
      </c>
      <c r="J51" s="26"/>
      <c r="K51" s="32"/>
      <c r="L51" s="33"/>
      <c r="M51" s="34"/>
    </row>
    <row r="52" spans="1:13" s="86" customFormat="1" ht="12.75" customHeight="1">
      <c r="A52" s="103"/>
      <c r="B52" s="103"/>
      <c r="C52" s="215"/>
      <c r="D52" s="216"/>
      <c r="E52" s="216"/>
      <c r="F52" s="217"/>
      <c r="G52" s="218"/>
      <c r="H52" s="219"/>
      <c r="I52" s="219"/>
      <c r="J52" s="105"/>
      <c r="K52" s="220"/>
      <c r="L52" s="221"/>
      <c r="M52" s="96"/>
    </row>
    <row r="53" spans="1:13" s="97" customFormat="1" ht="24" customHeight="1">
      <c r="A53" s="246" t="s">
        <v>17</v>
      </c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8"/>
    </row>
    <row r="54" spans="1:13" s="188" customFormat="1" ht="24" customHeight="1">
      <c r="A54" s="36">
        <v>1</v>
      </c>
      <c r="B54" s="36">
        <v>132005</v>
      </c>
      <c r="C54" s="37" t="s">
        <v>18</v>
      </c>
      <c r="D54" s="38" t="s">
        <v>6</v>
      </c>
      <c r="E54" s="39" t="s">
        <v>2</v>
      </c>
      <c r="F54" s="40">
        <v>0.54800000000000004</v>
      </c>
      <c r="G54" s="41">
        <v>4</v>
      </c>
      <c r="H54" s="14">
        <f>F54*2471.171</f>
        <v>1354.2017080000001</v>
      </c>
      <c r="I54" s="14">
        <f>F54*997.625</f>
        <v>546.69850000000008</v>
      </c>
      <c r="J54" s="85" t="s">
        <v>12</v>
      </c>
      <c r="K54" s="224" t="s">
        <v>78</v>
      </c>
      <c r="L54" s="16"/>
      <c r="M54" s="43"/>
    </row>
    <row r="55" spans="1:13" s="188" customFormat="1" ht="24" customHeight="1">
      <c r="A55" s="36">
        <v>2</v>
      </c>
      <c r="B55" s="36">
        <v>132006</v>
      </c>
      <c r="C55" s="37" t="s">
        <v>19</v>
      </c>
      <c r="D55" s="38" t="s">
        <v>6</v>
      </c>
      <c r="E55" s="39" t="s">
        <v>2</v>
      </c>
      <c r="F55" s="40">
        <v>0.498</v>
      </c>
      <c r="G55" s="41">
        <v>4</v>
      </c>
      <c r="H55" s="14">
        <f t="shared" ref="H55:H69" si="9">F55*2471.171</f>
        <v>1230.6431579999999</v>
      </c>
      <c r="I55" s="14">
        <f t="shared" ref="I55:I69" si="10">F55*997.625</f>
        <v>496.81725</v>
      </c>
      <c r="J55" s="98" t="s">
        <v>12</v>
      </c>
      <c r="K55" s="224"/>
      <c r="L55" s="16"/>
      <c r="M55" s="43"/>
    </row>
    <row r="56" spans="1:13" s="188" customFormat="1" ht="24" customHeight="1">
      <c r="A56" s="36">
        <v>3</v>
      </c>
      <c r="B56" s="36">
        <v>120002</v>
      </c>
      <c r="C56" s="37" t="s">
        <v>83</v>
      </c>
      <c r="D56" s="38" t="s">
        <v>6</v>
      </c>
      <c r="E56" s="39" t="s">
        <v>2</v>
      </c>
      <c r="F56" s="40">
        <v>0.73199999999999998</v>
      </c>
      <c r="G56" s="41">
        <v>5</v>
      </c>
      <c r="H56" s="14">
        <f t="shared" si="9"/>
        <v>1808.8971719999997</v>
      </c>
      <c r="I56" s="14">
        <f t="shared" si="10"/>
        <v>730.26149999999996</v>
      </c>
      <c r="J56" s="98" t="s">
        <v>12</v>
      </c>
      <c r="K56" s="224"/>
      <c r="L56" s="16"/>
      <c r="M56" s="43"/>
    </row>
    <row r="57" spans="1:13" s="188" customFormat="1" ht="24" customHeight="1">
      <c r="A57" s="36">
        <v>4</v>
      </c>
      <c r="B57" s="36">
        <v>131229</v>
      </c>
      <c r="C57" s="37" t="s">
        <v>20</v>
      </c>
      <c r="D57" s="38" t="s">
        <v>6</v>
      </c>
      <c r="E57" s="39" t="s">
        <v>2</v>
      </c>
      <c r="F57" s="40">
        <v>0.24</v>
      </c>
      <c r="G57" s="41">
        <v>4</v>
      </c>
      <c r="H57" s="14">
        <f t="shared" si="9"/>
        <v>593.08103999999992</v>
      </c>
      <c r="I57" s="14">
        <f t="shared" si="10"/>
        <v>239.42999999999998</v>
      </c>
      <c r="J57" s="98" t="s">
        <v>12</v>
      </c>
      <c r="K57" s="224"/>
      <c r="L57" s="91" t="s">
        <v>15</v>
      </c>
      <c r="M57" s="43"/>
    </row>
    <row r="58" spans="1:13" s="99" customFormat="1" ht="24" customHeight="1">
      <c r="A58" s="36">
        <v>5</v>
      </c>
      <c r="B58" s="36">
        <v>121014</v>
      </c>
      <c r="C58" s="47" t="s">
        <v>84</v>
      </c>
      <c r="D58" s="48" t="s">
        <v>6</v>
      </c>
      <c r="E58" s="49" t="s">
        <v>2</v>
      </c>
      <c r="F58" s="89">
        <v>0.16</v>
      </c>
      <c r="G58" s="187">
        <v>5</v>
      </c>
      <c r="H58" s="14">
        <f t="shared" si="9"/>
        <v>395.38736</v>
      </c>
      <c r="I58" s="14">
        <f t="shared" si="10"/>
        <v>159.62</v>
      </c>
      <c r="J58" s="85" t="s">
        <v>12</v>
      </c>
      <c r="K58" s="224"/>
      <c r="L58" s="91" t="s">
        <v>15</v>
      </c>
      <c r="M58" s="43"/>
    </row>
    <row r="59" spans="1:13" s="99" customFormat="1" ht="51" customHeight="1">
      <c r="A59" s="36">
        <v>6</v>
      </c>
      <c r="B59" s="211" t="s">
        <v>106</v>
      </c>
      <c r="C59" s="47" t="s">
        <v>85</v>
      </c>
      <c r="D59" s="48" t="s">
        <v>6</v>
      </c>
      <c r="E59" s="49" t="s">
        <v>2</v>
      </c>
      <c r="F59" s="89">
        <v>0.22</v>
      </c>
      <c r="G59" s="187">
        <v>5</v>
      </c>
      <c r="H59" s="14">
        <f t="shared" si="9"/>
        <v>543.65761999999995</v>
      </c>
      <c r="I59" s="14">
        <f t="shared" si="10"/>
        <v>219.47749999999999</v>
      </c>
      <c r="J59" s="98" t="s">
        <v>12</v>
      </c>
      <c r="K59" s="224"/>
      <c r="L59" s="91" t="s">
        <v>15</v>
      </c>
      <c r="M59" s="43"/>
    </row>
    <row r="60" spans="1:13" s="2" customFormat="1" ht="26.25" customHeight="1">
      <c r="A60" s="36">
        <v>7</v>
      </c>
      <c r="B60" s="36">
        <v>132012</v>
      </c>
      <c r="C60" s="21" t="s">
        <v>35</v>
      </c>
      <c r="D60" s="38" t="s">
        <v>6</v>
      </c>
      <c r="E60" s="39" t="s">
        <v>2</v>
      </c>
      <c r="F60" s="40">
        <v>0.23</v>
      </c>
      <c r="G60" s="41">
        <v>3</v>
      </c>
      <c r="H60" s="14">
        <f t="shared" si="9"/>
        <v>568.36932999999999</v>
      </c>
      <c r="I60" s="14">
        <f t="shared" si="10"/>
        <v>229.45375000000001</v>
      </c>
      <c r="J60" s="98" t="s">
        <v>12</v>
      </c>
      <c r="K60" s="224"/>
      <c r="L60" s="16"/>
      <c r="M60" s="43"/>
    </row>
    <row r="61" spans="1:13" s="2" customFormat="1" ht="26.25" customHeight="1">
      <c r="A61" s="36">
        <v>8</v>
      </c>
      <c r="B61" s="36">
        <v>132124</v>
      </c>
      <c r="C61" s="21" t="s">
        <v>63</v>
      </c>
      <c r="D61" s="38" t="s">
        <v>6</v>
      </c>
      <c r="E61" s="39" t="s">
        <v>2</v>
      </c>
      <c r="F61" s="40">
        <v>0.111</v>
      </c>
      <c r="G61" s="41">
        <v>2</v>
      </c>
      <c r="H61" s="14">
        <f t="shared" si="9"/>
        <v>274.299981</v>
      </c>
      <c r="I61" s="14">
        <f t="shared" si="10"/>
        <v>110.736375</v>
      </c>
      <c r="J61" s="98" t="s">
        <v>12</v>
      </c>
      <c r="K61" s="224"/>
      <c r="L61" s="16"/>
      <c r="M61" s="43"/>
    </row>
    <row r="62" spans="1:13" s="2" customFormat="1" ht="26.25" customHeight="1">
      <c r="A62" s="36">
        <v>9</v>
      </c>
      <c r="B62" s="36">
        <v>132054</v>
      </c>
      <c r="C62" s="21" t="s">
        <v>36</v>
      </c>
      <c r="D62" s="38" t="s">
        <v>6</v>
      </c>
      <c r="E62" s="39" t="s">
        <v>2</v>
      </c>
      <c r="F62" s="40">
        <v>0.27500000000000002</v>
      </c>
      <c r="G62" s="41">
        <v>3</v>
      </c>
      <c r="H62" s="14">
        <f t="shared" si="9"/>
        <v>679.57202500000005</v>
      </c>
      <c r="I62" s="14">
        <f t="shared" si="10"/>
        <v>274.34687500000001</v>
      </c>
      <c r="J62" s="98" t="s">
        <v>12</v>
      </c>
      <c r="K62" s="224"/>
      <c r="L62" s="16"/>
      <c r="M62" s="43"/>
    </row>
    <row r="63" spans="1:13" s="2" customFormat="1" ht="26.25" customHeight="1">
      <c r="A63" s="36">
        <v>10</v>
      </c>
      <c r="B63" s="36">
        <v>133147</v>
      </c>
      <c r="C63" s="21" t="s">
        <v>44</v>
      </c>
      <c r="D63" s="38" t="s">
        <v>6</v>
      </c>
      <c r="E63" s="39" t="s">
        <v>2</v>
      </c>
      <c r="F63" s="40">
        <v>1.2</v>
      </c>
      <c r="G63" s="41">
        <v>5</v>
      </c>
      <c r="H63" s="14">
        <f t="shared" si="9"/>
        <v>2965.4051999999997</v>
      </c>
      <c r="I63" s="14">
        <f t="shared" si="10"/>
        <v>1197.1499999999999</v>
      </c>
      <c r="J63" s="98" t="s">
        <v>12</v>
      </c>
      <c r="K63" s="224"/>
      <c r="L63" s="16"/>
      <c r="M63" s="43"/>
    </row>
    <row r="64" spans="1:13" s="2" customFormat="1" ht="26.25" customHeight="1">
      <c r="A64" s="36">
        <v>11</v>
      </c>
      <c r="B64" s="36">
        <v>133012</v>
      </c>
      <c r="C64" s="21" t="s">
        <v>86</v>
      </c>
      <c r="D64" s="38" t="s">
        <v>6</v>
      </c>
      <c r="E64" s="39" t="s">
        <v>2</v>
      </c>
      <c r="F64" s="40">
        <v>0.3</v>
      </c>
      <c r="G64" s="41">
        <v>3</v>
      </c>
      <c r="H64" s="14">
        <f t="shared" si="9"/>
        <v>741.35129999999992</v>
      </c>
      <c r="I64" s="14">
        <f t="shared" si="10"/>
        <v>299.28749999999997</v>
      </c>
      <c r="J64" s="98" t="s">
        <v>12</v>
      </c>
      <c r="K64" s="224"/>
      <c r="L64" s="16"/>
      <c r="M64" s="43"/>
    </row>
    <row r="65" spans="1:13" s="2" customFormat="1" ht="26.25" customHeight="1">
      <c r="A65" s="36">
        <v>12</v>
      </c>
      <c r="B65" s="36">
        <v>132038</v>
      </c>
      <c r="C65" s="21" t="s">
        <v>37</v>
      </c>
      <c r="D65" s="38" t="s">
        <v>6</v>
      </c>
      <c r="E65" s="39" t="s">
        <v>2</v>
      </c>
      <c r="F65" s="40">
        <v>0.40699999999999997</v>
      </c>
      <c r="G65" s="41">
        <v>4</v>
      </c>
      <c r="H65" s="14">
        <f t="shared" si="9"/>
        <v>1005.7665969999998</v>
      </c>
      <c r="I65" s="14">
        <f t="shared" si="10"/>
        <v>406.03337499999998</v>
      </c>
      <c r="J65" s="98" t="s">
        <v>12</v>
      </c>
      <c r="K65" s="224"/>
      <c r="L65" s="16"/>
      <c r="M65" s="43"/>
    </row>
    <row r="66" spans="1:13" s="2" customFormat="1" ht="26.25" customHeight="1">
      <c r="A66" s="36">
        <v>13</v>
      </c>
      <c r="B66" s="36">
        <v>132044</v>
      </c>
      <c r="C66" s="21" t="s">
        <v>38</v>
      </c>
      <c r="D66" s="38" t="s">
        <v>6</v>
      </c>
      <c r="E66" s="39" t="s">
        <v>2</v>
      </c>
      <c r="F66" s="40">
        <v>0.31</v>
      </c>
      <c r="G66" s="41">
        <v>3</v>
      </c>
      <c r="H66" s="14">
        <f t="shared" si="9"/>
        <v>766.06300999999996</v>
      </c>
      <c r="I66" s="14">
        <f t="shared" si="10"/>
        <v>309.26375000000002</v>
      </c>
      <c r="J66" s="98" t="s">
        <v>12</v>
      </c>
      <c r="K66" s="224"/>
      <c r="L66" s="16"/>
      <c r="M66" s="43"/>
    </row>
    <row r="67" spans="1:13" s="2" customFormat="1" ht="26.25" customHeight="1">
      <c r="A67" s="36">
        <v>14</v>
      </c>
      <c r="B67" s="36">
        <v>132133</v>
      </c>
      <c r="C67" s="21" t="s">
        <v>40</v>
      </c>
      <c r="D67" s="38" t="s">
        <v>6</v>
      </c>
      <c r="E67" s="39" t="s">
        <v>2</v>
      </c>
      <c r="F67" s="18">
        <v>0.30299999999999999</v>
      </c>
      <c r="G67" s="41">
        <v>3</v>
      </c>
      <c r="H67" s="14">
        <f t="shared" si="9"/>
        <v>748.76481299999989</v>
      </c>
      <c r="I67" s="14">
        <f t="shared" si="10"/>
        <v>302.28037499999999</v>
      </c>
      <c r="J67" s="98" t="s">
        <v>12</v>
      </c>
      <c r="K67" s="224"/>
      <c r="L67" s="16"/>
      <c r="M67" s="43"/>
    </row>
    <row r="68" spans="1:13" s="2" customFormat="1" ht="26.25" customHeight="1">
      <c r="A68" s="36">
        <v>15</v>
      </c>
      <c r="B68" s="36">
        <v>133128</v>
      </c>
      <c r="C68" s="21" t="s">
        <v>64</v>
      </c>
      <c r="D68" s="38" t="s">
        <v>6</v>
      </c>
      <c r="E68" s="39" t="s">
        <v>2</v>
      </c>
      <c r="F68" s="40">
        <v>0.42</v>
      </c>
      <c r="G68" s="41">
        <v>4</v>
      </c>
      <c r="H68" s="14">
        <f t="shared" si="9"/>
        <v>1037.8918199999998</v>
      </c>
      <c r="I68" s="14">
        <f t="shared" si="10"/>
        <v>419.0025</v>
      </c>
      <c r="J68" s="98" t="s">
        <v>12</v>
      </c>
      <c r="K68" s="224"/>
      <c r="L68" s="16"/>
      <c r="M68" s="43"/>
    </row>
    <row r="69" spans="1:13" s="2" customFormat="1" ht="26.25" customHeight="1">
      <c r="A69" s="36">
        <v>16</v>
      </c>
      <c r="B69" s="36">
        <v>133133</v>
      </c>
      <c r="C69" s="21" t="s">
        <v>51</v>
      </c>
      <c r="D69" s="38" t="s">
        <v>6</v>
      </c>
      <c r="E69" s="39" t="s">
        <v>2</v>
      </c>
      <c r="F69" s="40">
        <v>0.125</v>
      </c>
      <c r="G69" s="41">
        <v>4</v>
      </c>
      <c r="H69" s="14">
        <f t="shared" si="9"/>
        <v>308.89637499999998</v>
      </c>
      <c r="I69" s="14">
        <f t="shared" si="10"/>
        <v>124.703125</v>
      </c>
      <c r="J69" s="98" t="s">
        <v>12</v>
      </c>
      <c r="K69" s="224"/>
      <c r="L69" s="16"/>
      <c r="M69" s="43"/>
    </row>
    <row r="70" spans="1:13" s="5" customFormat="1" ht="24" customHeight="1">
      <c r="A70" s="227" t="s">
        <v>8</v>
      </c>
      <c r="B70" s="228"/>
      <c r="C70" s="229"/>
      <c r="D70" s="44" t="s">
        <v>1</v>
      </c>
      <c r="E70" s="44" t="s">
        <v>11</v>
      </c>
      <c r="F70" s="24">
        <f>SUM(F54:F69)</f>
        <v>6.0789999999999997</v>
      </c>
      <c r="G70" s="23">
        <f>SUM(G54:G69)</f>
        <v>61</v>
      </c>
      <c r="H70" s="24">
        <f>SUM(H54:H69)</f>
        <v>15022.248509000001</v>
      </c>
      <c r="I70" s="24">
        <f>SUM(I54:I69)</f>
        <v>6064.5623750000004</v>
      </c>
      <c r="J70" s="45"/>
      <c r="K70" s="26"/>
      <c r="L70" s="27"/>
      <c r="M70" s="28"/>
    </row>
    <row r="71" spans="1:13" s="5" customFormat="1" ht="20.25" customHeight="1">
      <c r="A71" s="100"/>
      <c r="B71" s="100"/>
      <c r="C71" s="101"/>
      <c r="D71" s="102"/>
      <c r="E71" s="102"/>
      <c r="F71" s="103"/>
      <c r="G71" s="103"/>
      <c r="H71" s="104"/>
      <c r="I71" s="104"/>
      <c r="J71" s="105"/>
      <c r="K71" s="105"/>
      <c r="L71" s="106"/>
      <c r="M71" s="107"/>
    </row>
    <row r="72" spans="1:13" s="108" customFormat="1" ht="32.25" customHeight="1">
      <c r="A72" s="162" t="s">
        <v>23</v>
      </c>
      <c r="B72" s="177" t="s">
        <v>23</v>
      </c>
      <c r="C72" s="163"/>
      <c r="D72" s="163"/>
      <c r="E72" s="163"/>
      <c r="F72" s="163"/>
      <c r="G72" s="163"/>
      <c r="H72" s="168"/>
      <c r="I72" s="168"/>
      <c r="J72" s="163"/>
      <c r="K72" s="163"/>
      <c r="L72" s="163"/>
      <c r="M72" s="164"/>
    </row>
    <row r="73" spans="1:13" s="2" customFormat="1" ht="24.75" customHeight="1">
      <c r="A73" s="29">
        <v>1</v>
      </c>
      <c r="B73" s="29">
        <v>130134</v>
      </c>
      <c r="C73" s="47" t="s">
        <v>24</v>
      </c>
      <c r="D73" s="48" t="s">
        <v>6</v>
      </c>
      <c r="E73" s="49" t="s">
        <v>2</v>
      </c>
      <c r="F73" s="18">
        <v>0.04</v>
      </c>
      <c r="G73" s="29">
        <v>2</v>
      </c>
      <c r="H73" s="14">
        <f>F73*2094.013</f>
        <v>83.76052</v>
      </c>
      <c r="I73" s="14">
        <f>F73*1001.059</f>
        <v>40.042360000000002</v>
      </c>
      <c r="J73" s="98" t="s">
        <v>12</v>
      </c>
      <c r="K73" s="223" t="s">
        <v>78</v>
      </c>
      <c r="L73" s="50"/>
      <c r="M73" s="50"/>
    </row>
    <row r="74" spans="1:13" s="2" customFormat="1" ht="24.75" customHeight="1">
      <c r="A74" s="29">
        <v>2</v>
      </c>
      <c r="B74" s="29">
        <v>130133</v>
      </c>
      <c r="C74" s="47" t="s">
        <v>25</v>
      </c>
      <c r="D74" s="48" t="s">
        <v>6</v>
      </c>
      <c r="E74" s="49" t="s">
        <v>2</v>
      </c>
      <c r="F74" s="18">
        <v>0.08</v>
      </c>
      <c r="G74" s="29">
        <v>2</v>
      </c>
      <c r="H74" s="14">
        <f t="shared" ref="H74:H91" si="11">F74*2094.013</f>
        <v>167.52104</v>
      </c>
      <c r="I74" s="14">
        <f t="shared" ref="I74:I91" si="12">F74*1001.059</f>
        <v>80.084720000000004</v>
      </c>
      <c r="J74" s="98" t="s">
        <v>12</v>
      </c>
      <c r="K74" s="224"/>
      <c r="L74" s="50"/>
      <c r="M74" s="50"/>
    </row>
    <row r="75" spans="1:13" s="2" customFormat="1" ht="24.75" customHeight="1">
      <c r="A75" s="29">
        <v>3</v>
      </c>
      <c r="B75" s="29">
        <v>130105</v>
      </c>
      <c r="C75" s="47" t="s">
        <v>26</v>
      </c>
      <c r="D75" s="48" t="s">
        <v>6</v>
      </c>
      <c r="E75" s="49" t="s">
        <v>2</v>
      </c>
      <c r="F75" s="18">
        <v>0.5</v>
      </c>
      <c r="G75" s="29">
        <v>4</v>
      </c>
      <c r="H75" s="14">
        <f t="shared" si="11"/>
        <v>1047.0065</v>
      </c>
      <c r="I75" s="14">
        <f t="shared" si="12"/>
        <v>500.52949999999998</v>
      </c>
      <c r="J75" s="98" t="s">
        <v>12</v>
      </c>
      <c r="K75" s="224"/>
      <c r="L75" s="50"/>
      <c r="M75" s="50"/>
    </row>
    <row r="76" spans="1:13" s="2" customFormat="1" ht="24.75" customHeight="1">
      <c r="A76" s="29">
        <v>4</v>
      </c>
      <c r="B76" s="176"/>
      <c r="C76" s="47" t="s">
        <v>27</v>
      </c>
      <c r="D76" s="48" t="s">
        <v>6</v>
      </c>
      <c r="E76" s="49" t="s">
        <v>2</v>
      </c>
      <c r="F76" s="18">
        <v>0.6</v>
      </c>
      <c r="G76" s="29">
        <v>6</v>
      </c>
      <c r="H76" s="14">
        <f t="shared" si="11"/>
        <v>1256.4078</v>
      </c>
      <c r="I76" s="14">
        <f t="shared" si="12"/>
        <v>600.6354</v>
      </c>
      <c r="J76" s="98" t="s">
        <v>12</v>
      </c>
      <c r="K76" s="224"/>
      <c r="L76" s="50"/>
      <c r="M76" s="50"/>
    </row>
    <row r="77" spans="1:13" s="2" customFormat="1" ht="24.75" customHeight="1">
      <c r="A77" s="29">
        <v>5</v>
      </c>
      <c r="B77" s="29">
        <v>130166</v>
      </c>
      <c r="C77" s="47" t="s">
        <v>34</v>
      </c>
      <c r="D77" s="48" t="s">
        <v>6</v>
      </c>
      <c r="E77" s="49" t="s">
        <v>2</v>
      </c>
      <c r="F77" s="18">
        <v>0.12</v>
      </c>
      <c r="G77" s="29">
        <v>4</v>
      </c>
      <c r="H77" s="14">
        <f t="shared" si="11"/>
        <v>251.28155999999998</v>
      </c>
      <c r="I77" s="14">
        <f t="shared" si="12"/>
        <v>120.12707999999999</v>
      </c>
      <c r="J77" s="98" t="s">
        <v>12</v>
      </c>
      <c r="K77" s="224"/>
      <c r="L77" s="50"/>
      <c r="M77" s="50"/>
    </row>
    <row r="78" spans="1:13" s="2" customFormat="1" ht="24.75" customHeight="1">
      <c r="A78" s="29">
        <v>6</v>
      </c>
      <c r="B78" s="29">
        <v>130163</v>
      </c>
      <c r="C78" s="47" t="s">
        <v>61</v>
      </c>
      <c r="D78" s="48" t="s">
        <v>6</v>
      </c>
      <c r="E78" s="49" t="s">
        <v>2</v>
      </c>
      <c r="F78" s="18">
        <v>0.4</v>
      </c>
      <c r="G78" s="29">
        <v>5</v>
      </c>
      <c r="H78" s="14">
        <f t="shared" si="11"/>
        <v>837.60519999999997</v>
      </c>
      <c r="I78" s="14">
        <f t="shared" si="12"/>
        <v>400.42360000000002</v>
      </c>
      <c r="J78" s="98" t="s">
        <v>12</v>
      </c>
      <c r="K78" s="224"/>
      <c r="L78" s="50"/>
      <c r="M78" s="50"/>
    </row>
    <row r="79" spans="1:13" s="2" customFormat="1" ht="24.75" customHeight="1">
      <c r="A79" s="29">
        <v>7</v>
      </c>
      <c r="B79" s="29">
        <v>130163</v>
      </c>
      <c r="C79" s="47" t="s">
        <v>88</v>
      </c>
      <c r="D79" s="48" t="s">
        <v>6</v>
      </c>
      <c r="E79" s="49" t="s">
        <v>2</v>
      </c>
      <c r="F79" s="18">
        <v>0.32</v>
      </c>
      <c r="G79" s="29">
        <v>4</v>
      </c>
      <c r="H79" s="14">
        <f t="shared" si="11"/>
        <v>670.08416</v>
      </c>
      <c r="I79" s="14">
        <f t="shared" si="12"/>
        <v>320.33888000000002</v>
      </c>
      <c r="J79" s="98" t="s">
        <v>12</v>
      </c>
      <c r="K79" s="224"/>
      <c r="L79" s="91" t="s">
        <v>15</v>
      </c>
      <c r="M79" s="50"/>
    </row>
    <row r="80" spans="1:13" s="2" customFormat="1" ht="24.75" customHeight="1">
      <c r="A80" s="29">
        <v>8</v>
      </c>
      <c r="B80" s="254">
        <v>133368</v>
      </c>
      <c r="C80" s="47" t="s">
        <v>28</v>
      </c>
      <c r="D80" s="48" t="s">
        <v>6</v>
      </c>
      <c r="E80" s="49" t="s">
        <v>2</v>
      </c>
      <c r="F80" s="18">
        <v>0.26</v>
      </c>
      <c r="G80" s="29">
        <v>4</v>
      </c>
      <c r="H80" s="14">
        <f t="shared" si="11"/>
        <v>544.44338000000005</v>
      </c>
      <c r="I80" s="14">
        <f t="shared" si="12"/>
        <v>260.27534000000003</v>
      </c>
      <c r="J80" s="98" t="s">
        <v>12</v>
      </c>
      <c r="K80" s="224"/>
      <c r="L80" s="91" t="s">
        <v>15</v>
      </c>
      <c r="M80" s="50"/>
    </row>
    <row r="81" spans="1:545" s="2" customFormat="1" ht="24.75" customHeight="1">
      <c r="A81" s="29">
        <v>9</v>
      </c>
      <c r="B81" s="255"/>
      <c r="C81" s="47" t="s">
        <v>45</v>
      </c>
      <c r="D81" s="48" t="s">
        <v>6</v>
      </c>
      <c r="E81" s="49" t="s">
        <v>2</v>
      </c>
      <c r="F81" s="18">
        <v>0.35</v>
      </c>
      <c r="G81" s="29">
        <v>4</v>
      </c>
      <c r="H81" s="14">
        <f t="shared" si="11"/>
        <v>732.90454999999997</v>
      </c>
      <c r="I81" s="14">
        <f t="shared" si="12"/>
        <v>350.37064999999996</v>
      </c>
      <c r="J81" s="98" t="s">
        <v>12</v>
      </c>
      <c r="K81" s="224"/>
      <c r="L81" s="91" t="s">
        <v>15</v>
      </c>
      <c r="M81" s="50"/>
    </row>
    <row r="82" spans="1:545" s="2" customFormat="1" ht="24.75" customHeight="1">
      <c r="A82" s="29">
        <v>10</v>
      </c>
      <c r="B82" s="29">
        <v>131115</v>
      </c>
      <c r="C82" s="174" t="s">
        <v>89</v>
      </c>
      <c r="D82" s="48" t="s">
        <v>6</v>
      </c>
      <c r="E82" s="49" t="s">
        <v>2</v>
      </c>
      <c r="F82" s="18">
        <v>0.11</v>
      </c>
      <c r="G82" s="29">
        <v>4</v>
      </c>
      <c r="H82" s="14">
        <f t="shared" si="11"/>
        <v>230.34143</v>
      </c>
      <c r="I82" s="14">
        <f t="shared" si="12"/>
        <v>110.11649</v>
      </c>
      <c r="J82" s="98" t="s">
        <v>12</v>
      </c>
      <c r="K82" s="224"/>
      <c r="L82" s="43"/>
      <c r="M82" s="50"/>
    </row>
    <row r="83" spans="1:545" s="2" customFormat="1" ht="24.75" customHeight="1">
      <c r="A83" s="29">
        <v>11</v>
      </c>
      <c r="B83" s="176"/>
      <c r="C83" s="174" t="s">
        <v>90</v>
      </c>
      <c r="D83" s="48" t="s">
        <v>6</v>
      </c>
      <c r="E83" s="49" t="s">
        <v>2</v>
      </c>
      <c r="F83" s="18">
        <v>0.76</v>
      </c>
      <c r="G83" s="29">
        <v>6</v>
      </c>
      <c r="H83" s="14">
        <f t="shared" si="11"/>
        <v>1591.4498799999999</v>
      </c>
      <c r="I83" s="14">
        <f t="shared" si="12"/>
        <v>760.80484000000001</v>
      </c>
      <c r="J83" s="98" t="s">
        <v>12</v>
      </c>
      <c r="K83" s="224"/>
      <c r="L83" s="43"/>
      <c r="M83" s="50"/>
    </row>
    <row r="84" spans="1:545" s="2" customFormat="1" ht="24.75" customHeight="1">
      <c r="A84" s="29">
        <v>12</v>
      </c>
      <c r="B84" s="29">
        <v>133495</v>
      </c>
      <c r="C84" s="174" t="s">
        <v>43</v>
      </c>
      <c r="D84" s="48" t="s">
        <v>6</v>
      </c>
      <c r="E84" s="49" t="s">
        <v>2</v>
      </c>
      <c r="F84" s="18">
        <v>0.6</v>
      </c>
      <c r="G84" s="29">
        <v>6</v>
      </c>
      <c r="H84" s="14">
        <f t="shared" si="11"/>
        <v>1256.4078</v>
      </c>
      <c r="I84" s="14">
        <f t="shared" si="12"/>
        <v>600.6354</v>
      </c>
      <c r="J84" s="98" t="s">
        <v>12</v>
      </c>
      <c r="K84" s="224"/>
      <c r="L84" s="43"/>
      <c r="M84" s="50"/>
    </row>
    <row r="85" spans="1:545" s="2" customFormat="1" ht="24.75" customHeight="1">
      <c r="A85" s="29">
        <v>13</v>
      </c>
      <c r="B85" s="29">
        <v>130025</v>
      </c>
      <c r="C85" s="174" t="s">
        <v>42</v>
      </c>
      <c r="D85" s="48" t="s">
        <v>6</v>
      </c>
      <c r="E85" s="49" t="s">
        <v>2</v>
      </c>
      <c r="F85" s="18">
        <v>0.3</v>
      </c>
      <c r="G85" s="29">
        <v>4</v>
      </c>
      <c r="H85" s="14">
        <f t="shared" si="11"/>
        <v>628.20389999999998</v>
      </c>
      <c r="I85" s="14">
        <f t="shared" si="12"/>
        <v>300.3177</v>
      </c>
      <c r="J85" s="98" t="s">
        <v>12</v>
      </c>
      <c r="K85" s="224"/>
      <c r="L85" s="43"/>
      <c r="M85" s="50"/>
    </row>
    <row r="86" spans="1:545" s="2" customFormat="1" ht="24.75" customHeight="1">
      <c r="A86" s="29">
        <v>14</v>
      </c>
      <c r="B86" s="29">
        <v>131062</v>
      </c>
      <c r="C86" s="174" t="s">
        <v>41</v>
      </c>
      <c r="D86" s="48" t="s">
        <v>6</v>
      </c>
      <c r="E86" s="49" t="s">
        <v>2</v>
      </c>
      <c r="F86" s="18">
        <v>0.12</v>
      </c>
      <c r="G86" s="29">
        <v>4</v>
      </c>
      <c r="H86" s="14">
        <f t="shared" si="11"/>
        <v>251.28155999999998</v>
      </c>
      <c r="I86" s="14">
        <f t="shared" si="12"/>
        <v>120.12707999999999</v>
      </c>
      <c r="J86" s="98" t="s">
        <v>12</v>
      </c>
      <c r="K86" s="224"/>
      <c r="L86" s="43"/>
      <c r="M86" s="50"/>
    </row>
    <row r="87" spans="1:545" s="2" customFormat="1" ht="24.75" customHeight="1">
      <c r="A87" s="29">
        <v>15</v>
      </c>
      <c r="B87" s="29">
        <v>122224</v>
      </c>
      <c r="C87" s="174" t="s">
        <v>91</v>
      </c>
      <c r="D87" s="48" t="s">
        <v>6</v>
      </c>
      <c r="E87" s="49" t="s">
        <v>2</v>
      </c>
      <c r="F87" s="18">
        <v>0.38</v>
      </c>
      <c r="G87" s="29">
        <v>4</v>
      </c>
      <c r="H87" s="14">
        <f t="shared" si="11"/>
        <v>795.72493999999995</v>
      </c>
      <c r="I87" s="14">
        <f t="shared" si="12"/>
        <v>380.40242000000001</v>
      </c>
      <c r="J87" s="98" t="s">
        <v>12</v>
      </c>
      <c r="K87" s="224"/>
      <c r="L87" s="43"/>
      <c r="M87" s="50"/>
    </row>
    <row r="88" spans="1:545" s="2" customFormat="1" ht="24.75" customHeight="1">
      <c r="A88" s="29">
        <v>16</v>
      </c>
      <c r="B88" s="29">
        <v>122241</v>
      </c>
      <c r="C88" s="174" t="s">
        <v>92</v>
      </c>
      <c r="D88" s="48" t="s">
        <v>6</v>
      </c>
      <c r="E88" s="49" t="s">
        <v>2</v>
      </c>
      <c r="F88" s="18">
        <v>0.42</v>
      </c>
      <c r="G88" s="29">
        <v>5</v>
      </c>
      <c r="H88" s="14">
        <f t="shared" si="11"/>
        <v>879.48545999999999</v>
      </c>
      <c r="I88" s="14">
        <f t="shared" si="12"/>
        <v>420.44477999999998</v>
      </c>
      <c r="J88" s="98" t="s">
        <v>12</v>
      </c>
      <c r="K88" s="224"/>
      <c r="L88" s="43"/>
      <c r="M88" s="50"/>
    </row>
    <row r="89" spans="1:545" s="2" customFormat="1" ht="24.75" customHeight="1">
      <c r="A89" s="29">
        <v>17</v>
      </c>
      <c r="B89" s="29">
        <v>122224</v>
      </c>
      <c r="C89" s="174" t="s">
        <v>93</v>
      </c>
      <c r="D89" s="48" t="s">
        <v>6</v>
      </c>
      <c r="E89" s="49" t="s">
        <v>2</v>
      </c>
      <c r="F89" s="18">
        <v>0.56999999999999995</v>
      </c>
      <c r="G89" s="29">
        <v>6</v>
      </c>
      <c r="H89" s="14">
        <f t="shared" ref="H89:H90" si="13">F89*2094.013</f>
        <v>1193.5874099999999</v>
      </c>
      <c r="I89" s="14">
        <f t="shared" ref="I89:I90" si="14">F89*1001.059</f>
        <v>570.60362999999995</v>
      </c>
      <c r="J89" s="98" t="s">
        <v>12</v>
      </c>
      <c r="K89" s="224"/>
      <c r="L89" s="43"/>
      <c r="M89" s="50"/>
    </row>
    <row r="90" spans="1:545" s="2" customFormat="1" ht="24.75" customHeight="1">
      <c r="A90" s="29">
        <v>18</v>
      </c>
      <c r="B90" s="29">
        <v>120212</v>
      </c>
      <c r="C90" s="174" t="s">
        <v>103</v>
      </c>
      <c r="D90" s="48" t="s">
        <v>6</v>
      </c>
      <c r="E90" s="49" t="s">
        <v>2</v>
      </c>
      <c r="F90" s="18">
        <v>0.17</v>
      </c>
      <c r="G90" s="29">
        <v>6</v>
      </c>
      <c r="H90" s="14">
        <f t="shared" si="13"/>
        <v>355.98221000000001</v>
      </c>
      <c r="I90" s="14">
        <f t="shared" si="14"/>
        <v>170.18003000000002</v>
      </c>
      <c r="J90" s="98" t="s">
        <v>12</v>
      </c>
      <c r="K90" s="224"/>
      <c r="L90" s="43"/>
      <c r="M90" s="50"/>
    </row>
    <row r="91" spans="1:545" s="2" customFormat="1" ht="24.75" customHeight="1">
      <c r="A91" s="29">
        <v>19</v>
      </c>
      <c r="B91" s="29">
        <v>120212</v>
      </c>
      <c r="C91" s="174" t="s">
        <v>102</v>
      </c>
      <c r="D91" s="48" t="s">
        <v>6</v>
      </c>
      <c r="E91" s="49" t="s">
        <v>2</v>
      </c>
      <c r="F91" s="18">
        <v>0.18</v>
      </c>
      <c r="G91" s="29">
        <v>6</v>
      </c>
      <c r="H91" s="14">
        <f t="shared" si="11"/>
        <v>376.92233999999996</v>
      </c>
      <c r="I91" s="14">
        <f t="shared" si="12"/>
        <v>180.19062</v>
      </c>
      <c r="J91" s="98" t="s">
        <v>12</v>
      </c>
      <c r="K91" s="224"/>
      <c r="L91" s="43"/>
      <c r="M91" s="50"/>
    </row>
    <row r="92" spans="1:545" s="46" customFormat="1" ht="24" customHeight="1">
      <c r="A92" s="212"/>
      <c r="B92" s="212"/>
      <c r="C92" s="184" t="s">
        <v>8</v>
      </c>
      <c r="D92" s="22" t="s">
        <v>1</v>
      </c>
      <c r="E92" s="22" t="s">
        <v>11</v>
      </c>
      <c r="F92" s="24">
        <f>SUM(F73:F91)</f>
        <v>6.2799999999999985</v>
      </c>
      <c r="G92" s="23">
        <f>SUM(G73:G91)</f>
        <v>86</v>
      </c>
      <c r="H92" s="24">
        <f>SUM(H73:H91)</f>
        <v>13150.40164</v>
      </c>
      <c r="I92" s="24">
        <f>SUM(I73:I91)</f>
        <v>6286.6505200000001</v>
      </c>
      <c r="J92" s="26"/>
      <c r="K92" s="26"/>
      <c r="L92" s="214"/>
      <c r="M92" s="61"/>
    </row>
    <row r="93" spans="1:545" s="5" customFormat="1" ht="10.5" customHeight="1">
      <c r="A93" s="103"/>
      <c r="B93" s="103"/>
      <c r="C93" s="222"/>
      <c r="D93" s="102"/>
      <c r="E93" s="102"/>
      <c r="F93" s="104"/>
      <c r="G93" s="103"/>
      <c r="H93" s="104"/>
      <c r="I93" s="104"/>
      <c r="J93" s="105"/>
      <c r="K93" s="105"/>
      <c r="L93" s="106"/>
      <c r="M93" s="107"/>
    </row>
    <row r="94" spans="1:545" s="4" customFormat="1" ht="24" customHeight="1">
      <c r="A94" s="114" t="s">
        <v>10</v>
      </c>
      <c r="B94" s="75"/>
      <c r="C94" s="185"/>
      <c r="D94" s="75"/>
      <c r="E94" s="115"/>
      <c r="F94" s="213"/>
      <c r="G94" s="116"/>
      <c r="H94" s="116"/>
      <c r="I94" s="117"/>
      <c r="J94" s="116"/>
      <c r="K94" s="116"/>
      <c r="L94" s="116"/>
      <c r="M94" s="200"/>
      <c r="N94" s="84"/>
      <c r="O94" s="84"/>
      <c r="P94" s="84"/>
      <c r="Q94" s="84"/>
      <c r="R94" s="84"/>
      <c r="S94" s="84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  <c r="IW94" s="10"/>
      <c r="IX94" s="10"/>
      <c r="IY94" s="10"/>
      <c r="IZ94" s="10"/>
      <c r="JA94" s="10"/>
      <c r="JB94" s="10"/>
      <c r="JC94" s="10"/>
      <c r="JD94" s="10"/>
      <c r="JE94" s="10"/>
      <c r="JF94" s="10"/>
      <c r="JG94" s="10"/>
      <c r="JH94" s="10"/>
      <c r="JI94" s="10"/>
      <c r="JJ94" s="10"/>
      <c r="JK94" s="10"/>
      <c r="JL94" s="10"/>
      <c r="JM94" s="10"/>
      <c r="JN94" s="10"/>
      <c r="JO94" s="10"/>
      <c r="JP94" s="10"/>
      <c r="JQ94" s="10"/>
      <c r="JR94" s="10"/>
      <c r="JS94" s="10"/>
      <c r="JT94" s="10"/>
      <c r="JU94" s="10"/>
      <c r="JV94" s="10"/>
      <c r="JW94" s="10"/>
      <c r="JX94" s="10"/>
      <c r="JY94" s="10"/>
      <c r="JZ94" s="10"/>
      <c r="KA94" s="10"/>
      <c r="KB94" s="10"/>
      <c r="KC94" s="10"/>
      <c r="KD94" s="10"/>
      <c r="KE94" s="10"/>
      <c r="KF94" s="10"/>
      <c r="KG94" s="10"/>
      <c r="KH94" s="10"/>
      <c r="KI94" s="10"/>
      <c r="KJ94" s="10"/>
      <c r="KK94" s="10"/>
      <c r="KL94" s="10"/>
      <c r="KM94" s="10"/>
      <c r="KN94" s="10"/>
      <c r="KO94" s="10"/>
      <c r="KP94" s="10"/>
      <c r="KQ94" s="10"/>
      <c r="KR94" s="10"/>
      <c r="KS94" s="10"/>
      <c r="KT94" s="10"/>
      <c r="KU94" s="10"/>
      <c r="KV94" s="10"/>
      <c r="KW94" s="10"/>
      <c r="KX94" s="10"/>
      <c r="KY94" s="10"/>
      <c r="KZ94" s="10"/>
      <c r="LA94" s="10"/>
      <c r="LB94" s="10"/>
      <c r="LC94" s="10"/>
      <c r="LD94" s="10"/>
      <c r="LE94" s="10"/>
      <c r="LF94" s="10"/>
      <c r="LG94" s="10"/>
      <c r="LH94" s="10"/>
      <c r="LI94" s="10"/>
      <c r="LJ94" s="10"/>
      <c r="LK94" s="10"/>
      <c r="LL94" s="10"/>
      <c r="LM94" s="10"/>
      <c r="LN94" s="10"/>
      <c r="LO94" s="10"/>
      <c r="LP94" s="10"/>
      <c r="LQ94" s="10"/>
      <c r="LR94" s="10"/>
      <c r="LS94" s="10"/>
      <c r="LT94" s="10"/>
      <c r="LU94" s="10"/>
      <c r="LV94" s="10"/>
      <c r="LW94" s="10"/>
      <c r="LX94" s="10"/>
      <c r="LY94" s="10"/>
      <c r="LZ94" s="10"/>
      <c r="MA94" s="10"/>
      <c r="MB94" s="10"/>
      <c r="MC94" s="10"/>
      <c r="MD94" s="10"/>
      <c r="ME94" s="10"/>
      <c r="MF94" s="10"/>
      <c r="MG94" s="10"/>
      <c r="MH94" s="10"/>
      <c r="MI94" s="10"/>
      <c r="MJ94" s="10"/>
      <c r="MK94" s="10"/>
      <c r="ML94" s="10"/>
      <c r="MM94" s="10"/>
      <c r="MN94" s="10"/>
      <c r="MO94" s="10"/>
      <c r="MP94" s="10"/>
      <c r="MQ94" s="10"/>
      <c r="MR94" s="10"/>
      <c r="MS94" s="10"/>
      <c r="MT94" s="10"/>
      <c r="MU94" s="10"/>
      <c r="MV94" s="10"/>
      <c r="MW94" s="10"/>
      <c r="MX94" s="10"/>
      <c r="MY94" s="10"/>
      <c r="MZ94" s="10"/>
      <c r="NA94" s="10"/>
      <c r="NB94" s="10"/>
      <c r="NC94" s="10"/>
      <c r="ND94" s="10"/>
      <c r="NE94" s="10"/>
      <c r="NF94" s="10"/>
      <c r="NG94" s="10"/>
      <c r="NH94" s="10"/>
      <c r="NI94" s="10"/>
      <c r="NJ94" s="10"/>
      <c r="NK94" s="10"/>
      <c r="NL94" s="10"/>
      <c r="NM94" s="10"/>
      <c r="NN94" s="10"/>
      <c r="NO94" s="10"/>
      <c r="NP94" s="10"/>
      <c r="NQ94" s="10"/>
      <c r="NR94" s="10"/>
      <c r="NS94" s="10"/>
      <c r="NT94" s="10"/>
      <c r="NU94" s="10"/>
      <c r="NV94" s="10"/>
      <c r="NW94" s="10"/>
      <c r="NX94" s="10"/>
      <c r="NY94" s="10"/>
      <c r="NZ94" s="10"/>
      <c r="OA94" s="10"/>
      <c r="OB94" s="10"/>
      <c r="OC94" s="10"/>
      <c r="OD94" s="10"/>
      <c r="OE94" s="10"/>
      <c r="OF94" s="10"/>
      <c r="OG94" s="10"/>
      <c r="OH94" s="10"/>
      <c r="OI94" s="10"/>
      <c r="OJ94" s="10"/>
      <c r="OK94" s="10"/>
      <c r="OL94" s="10"/>
      <c r="OM94" s="10"/>
      <c r="ON94" s="10"/>
      <c r="OO94" s="10"/>
      <c r="OP94" s="10"/>
      <c r="OQ94" s="10"/>
      <c r="OR94" s="10"/>
      <c r="OS94" s="10"/>
      <c r="OT94" s="10"/>
      <c r="OU94" s="10"/>
      <c r="OV94" s="10"/>
      <c r="OW94" s="10"/>
      <c r="OX94" s="10"/>
      <c r="OY94" s="10"/>
      <c r="OZ94" s="10"/>
      <c r="PA94" s="10"/>
      <c r="PB94" s="10"/>
      <c r="PC94" s="10"/>
      <c r="PD94" s="10"/>
      <c r="PE94" s="10"/>
      <c r="PF94" s="10"/>
      <c r="PG94" s="10"/>
      <c r="PH94" s="10"/>
      <c r="PI94" s="10"/>
      <c r="PJ94" s="10"/>
      <c r="PK94" s="10"/>
      <c r="PL94" s="10"/>
      <c r="PM94" s="10"/>
      <c r="PN94" s="10"/>
      <c r="PO94" s="10"/>
      <c r="PP94" s="10"/>
      <c r="PQ94" s="10"/>
      <c r="PR94" s="10"/>
      <c r="PS94" s="10"/>
      <c r="PT94" s="10"/>
      <c r="PU94" s="10"/>
      <c r="PV94" s="10"/>
      <c r="PW94" s="10"/>
      <c r="PX94" s="10"/>
      <c r="PY94" s="10"/>
      <c r="PZ94" s="10"/>
      <c r="QA94" s="10"/>
      <c r="QB94" s="10"/>
      <c r="QC94" s="10"/>
      <c r="QD94" s="10"/>
      <c r="QE94" s="10"/>
      <c r="QF94" s="10"/>
      <c r="QG94" s="10"/>
      <c r="QH94" s="10"/>
      <c r="QI94" s="10"/>
      <c r="QJ94" s="10"/>
      <c r="QK94" s="10"/>
      <c r="QL94" s="10"/>
      <c r="QM94" s="10"/>
      <c r="QN94" s="10"/>
      <c r="QO94" s="10"/>
      <c r="QP94" s="10"/>
      <c r="QQ94" s="10"/>
      <c r="QR94" s="10"/>
      <c r="QS94" s="10"/>
      <c r="QT94" s="10"/>
      <c r="QU94" s="10"/>
      <c r="QV94" s="10"/>
      <c r="QW94" s="10"/>
      <c r="QX94" s="10"/>
      <c r="QY94" s="10"/>
      <c r="QZ94" s="10"/>
      <c r="RA94" s="10"/>
      <c r="RB94" s="10"/>
      <c r="RC94" s="10"/>
      <c r="RD94" s="10"/>
      <c r="RE94" s="10"/>
      <c r="RF94" s="10"/>
      <c r="RG94" s="10"/>
      <c r="RH94" s="10"/>
      <c r="RI94" s="10"/>
      <c r="RJ94" s="10"/>
      <c r="RK94" s="10"/>
      <c r="RL94" s="10"/>
      <c r="RM94" s="10"/>
      <c r="RN94" s="10"/>
      <c r="RO94" s="10"/>
      <c r="RP94" s="10"/>
      <c r="RQ94" s="10"/>
      <c r="RR94" s="10"/>
      <c r="RS94" s="10"/>
      <c r="RT94" s="10"/>
      <c r="RU94" s="10"/>
      <c r="RV94" s="10"/>
      <c r="RW94" s="10"/>
      <c r="RX94" s="10"/>
      <c r="RY94" s="10"/>
      <c r="RZ94" s="10"/>
      <c r="SA94" s="10"/>
      <c r="SB94" s="10"/>
      <c r="SC94" s="10"/>
      <c r="SD94" s="10"/>
      <c r="SE94" s="10"/>
      <c r="SF94" s="10"/>
      <c r="SG94" s="10"/>
      <c r="SH94" s="10"/>
      <c r="SI94" s="10"/>
      <c r="SJ94" s="10"/>
      <c r="SK94" s="10"/>
      <c r="SL94" s="10"/>
      <c r="SM94" s="10"/>
      <c r="SN94" s="10"/>
      <c r="SO94" s="10"/>
      <c r="SP94" s="10"/>
      <c r="SQ94" s="10"/>
      <c r="SR94" s="10"/>
      <c r="SS94" s="10"/>
      <c r="ST94" s="10"/>
      <c r="SU94" s="10"/>
      <c r="SV94" s="10"/>
      <c r="SW94" s="10"/>
      <c r="SX94" s="10"/>
      <c r="SY94" s="10"/>
      <c r="SZ94" s="10"/>
      <c r="TA94" s="10"/>
      <c r="TB94" s="10"/>
      <c r="TC94" s="10"/>
      <c r="TD94" s="10"/>
      <c r="TE94" s="10"/>
      <c r="TF94" s="10"/>
      <c r="TG94" s="10"/>
      <c r="TH94" s="10"/>
      <c r="TI94" s="10"/>
      <c r="TJ94" s="10"/>
      <c r="TK94" s="10"/>
      <c r="TL94" s="10"/>
      <c r="TM94" s="10"/>
      <c r="TN94" s="10"/>
      <c r="TO94" s="10"/>
      <c r="TP94" s="10"/>
      <c r="TQ94" s="10"/>
      <c r="TR94" s="10"/>
      <c r="TS94" s="10"/>
      <c r="TT94" s="10"/>
      <c r="TU94" s="10"/>
      <c r="TV94" s="10"/>
      <c r="TW94" s="10"/>
      <c r="TX94" s="10"/>
      <c r="TY94" s="10"/>
    </row>
    <row r="95" spans="1:545" s="2" customFormat="1" ht="32.25" customHeight="1">
      <c r="A95" s="51">
        <v>1</v>
      </c>
      <c r="B95" s="236" t="s">
        <v>108</v>
      </c>
      <c r="C95" s="52" t="s">
        <v>75</v>
      </c>
      <c r="D95" s="53" t="s">
        <v>2</v>
      </c>
      <c r="E95" s="53"/>
      <c r="F95" s="51">
        <v>8</v>
      </c>
      <c r="G95" s="51"/>
      <c r="H95" s="54">
        <f>864*1.223</f>
        <v>1056.672</v>
      </c>
      <c r="I95" s="54">
        <f>864*0.785</f>
        <v>678.24</v>
      </c>
      <c r="J95" s="19" t="s">
        <v>16</v>
      </c>
      <c r="K95" s="223" t="s">
        <v>110</v>
      </c>
      <c r="L95" s="55"/>
      <c r="M95" s="56"/>
    </row>
    <row r="96" spans="1:545" s="2" customFormat="1" ht="32.25" customHeight="1">
      <c r="A96" s="51">
        <v>2</v>
      </c>
      <c r="B96" s="237"/>
      <c r="C96" s="92" t="s">
        <v>95</v>
      </c>
      <c r="D96" s="53" t="s">
        <v>2</v>
      </c>
      <c r="E96" s="53"/>
      <c r="F96" s="51">
        <v>5</v>
      </c>
      <c r="G96" s="51"/>
      <c r="H96" s="54">
        <f>35*24.223</f>
        <v>847.80499999999995</v>
      </c>
      <c r="I96" s="54">
        <f>35*14.534</f>
        <v>508.69</v>
      </c>
      <c r="J96" s="19" t="s">
        <v>16</v>
      </c>
      <c r="K96" s="224"/>
      <c r="L96" s="55"/>
      <c r="M96" s="56"/>
    </row>
    <row r="97" spans="1:15" s="2" customFormat="1" ht="32.25" customHeight="1">
      <c r="A97" s="51">
        <v>3</v>
      </c>
      <c r="B97" s="237"/>
      <c r="C97" s="52" t="s">
        <v>76</v>
      </c>
      <c r="D97" s="53" t="s">
        <v>2</v>
      </c>
      <c r="E97" s="53"/>
      <c r="F97" s="51">
        <v>7</v>
      </c>
      <c r="G97" s="51"/>
      <c r="H97" s="54">
        <f>280*0.749</f>
        <v>209.72</v>
      </c>
      <c r="I97" s="54">
        <f>280*0.487</f>
        <v>136.35999999999999</v>
      </c>
      <c r="J97" s="118" t="s">
        <v>12</v>
      </c>
      <c r="K97" s="224"/>
      <c r="L97" s="55"/>
      <c r="M97" s="56"/>
    </row>
    <row r="98" spans="1:15" s="2" customFormat="1" ht="32.25" customHeight="1">
      <c r="A98" s="51">
        <v>4</v>
      </c>
      <c r="B98" s="238"/>
      <c r="C98" s="52" t="s">
        <v>77</v>
      </c>
      <c r="D98" s="53" t="s">
        <v>2</v>
      </c>
      <c r="E98" s="53"/>
      <c r="F98" s="51">
        <v>5</v>
      </c>
      <c r="G98" s="51"/>
      <c r="H98" s="54">
        <f>300*1.112</f>
        <v>333.6</v>
      </c>
      <c r="I98" s="54">
        <f>300*0.778</f>
        <v>233.4</v>
      </c>
      <c r="J98" s="118" t="s">
        <v>12</v>
      </c>
      <c r="K98" s="225"/>
      <c r="L98" s="55"/>
      <c r="M98" s="56"/>
    </row>
    <row r="99" spans="1:15" s="5" customFormat="1" ht="24" customHeight="1">
      <c r="A99" s="226" t="s">
        <v>8</v>
      </c>
      <c r="B99" s="226"/>
      <c r="C99" s="226"/>
      <c r="D99" s="44" t="s">
        <v>2</v>
      </c>
      <c r="E99" s="44"/>
      <c r="F99" s="23">
        <f t="shared" ref="F99" si="15">SUM(F95:F98)</f>
        <v>25</v>
      </c>
      <c r="G99" s="23"/>
      <c r="H99" s="24">
        <f>SUM(H95:H98)</f>
        <v>2447.7969999999996</v>
      </c>
      <c r="I99" s="24">
        <f>SUM(I95:I98)</f>
        <v>1556.69</v>
      </c>
      <c r="J99" s="45"/>
      <c r="K99" s="26"/>
      <c r="L99" s="27"/>
      <c r="M99" s="28"/>
    </row>
    <row r="100" spans="1:15" s="5" customFormat="1" ht="20.25" customHeight="1">
      <c r="A100" s="179"/>
      <c r="B100" s="179"/>
      <c r="C100" s="174"/>
      <c r="D100" s="109"/>
      <c r="E100" s="109"/>
      <c r="F100" s="110"/>
      <c r="G100" s="111"/>
      <c r="H100" s="110"/>
      <c r="I100" s="110"/>
      <c r="J100" s="95"/>
      <c r="K100" s="95"/>
      <c r="L100" s="112"/>
      <c r="M100" s="193"/>
      <c r="N100" s="113"/>
      <c r="O100" s="113"/>
    </row>
    <row r="101" spans="1:15" s="6" customFormat="1" ht="29.25" customHeight="1">
      <c r="A101" s="246" t="s">
        <v>107</v>
      </c>
      <c r="B101" s="247"/>
      <c r="C101" s="247"/>
      <c r="D101" s="247"/>
      <c r="E101" s="247"/>
      <c r="F101" s="247"/>
      <c r="G101" s="247"/>
      <c r="H101" s="247"/>
      <c r="I101" s="247"/>
      <c r="J101" s="247"/>
      <c r="K101" s="247"/>
      <c r="L101" s="247"/>
      <c r="M101" s="248"/>
      <c r="N101" s="97"/>
      <c r="O101" s="97"/>
    </row>
    <row r="102" spans="1:15" s="2" customFormat="1" ht="24.75" customHeight="1">
      <c r="A102" s="198">
        <v>1</v>
      </c>
      <c r="B102" s="243" t="s">
        <v>108</v>
      </c>
      <c r="C102" s="123" t="s">
        <v>99</v>
      </c>
      <c r="D102" s="49" t="s">
        <v>2</v>
      </c>
      <c r="E102" s="191"/>
      <c r="F102" s="49">
        <v>1</v>
      </c>
      <c r="G102" s="191"/>
      <c r="H102" s="54">
        <f>F102*2986.452</f>
        <v>2986.4520000000002</v>
      </c>
      <c r="I102" s="54">
        <f>F102*2322.238</f>
        <v>2322.2379999999998</v>
      </c>
      <c r="J102" s="19" t="s">
        <v>16</v>
      </c>
      <c r="K102" s="239" t="s">
        <v>111</v>
      </c>
      <c r="L102" s="191"/>
      <c r="M102" s="191"/>
      <c r="N102" s="86"/>
      <c r="O102" s="86"/>
    </row>
    <row r="103" spans="1:15" s="6" customFormat="1" ht="24.75" customHeight="1">
      <c r="A103" s="199">
        <v>2</v>
      </c>
      <c r="B103" s="244"/>
      <c r="C103" s="47" t="s">
        <v>105</v>
      </c>
      <c r="D103" s="49" t="s">
        <v>2</v>
      </c>
      <c r="E103" s="186"/>
      <c r="F103" s="196">
        <v>90</v>
      </c>
      <c r="G103" s="186"/>
      <c r="H103" s="201">
        <f>F103*3.15</f>
        <v>283.5</v>
      </c>
      <c r="I103" s="201">
        <f>F103*2.25</f>
        <v>202.5</v>
      </c>
      <c r="J103" s="19" t="s">
        <v>16</v>
      </c>
      <c r="K103" s="240"/>
      <c r="L103" s="186"/>
      <c r="M103" s="186"/>
    </row>
    <row r="104" spans="1:15" s="90" customFormat="1" ht="25.5" customHeight="1">
      <c r="A104" s="49">
        <v>3</v>
      </c>
      <c r="B104" s="244"/>
      <c r="C104" s="47" t="s">
        <v>94</v>
      </c>
      <c r="D104" s="49" t="s">
        <v>2</v>
      </c>
      <c r="E104" s="49"/>
      <c r="F104" s="11">
        <v>6</v>
      </c>
      <c r="G104" s="189"/>
      <c r="H104" s="62">
        <f>F104*15.01</f>
        <v>90.06</v>
      </c>
      <c r="I104" s="62">
        <f>F104*10.72</f>
        <v>64.320000000000007</v>
      </c>
      <c r="J104" s="19" t="s">
        <v>16</v>
      </c>
      <c r="K104" s="240"/>
      <c r="L104" s="19"/>
      <c r="M104" s="124"/>
    </row>
    <row r="105" spans="1:15" s="90" customFormat="1" ht="24.75" customHeight="1">
      <c r="A105" s="198">
        <v>4</v>
      </c>
      <c r="B105" s="244"/>
      <c r="C105" s="47" t="s">
        <v>82</v>
      </c>
      <c r="D105" s="49" t="s">
        <v>2</v>
      </c>
      <c r="E105" s="49"/>
      <c r="F105" s="11">
        <v>30</v>
      </c>
      <c r="G105" s="189"/>
      <c r="H105" s="62">
        <f>F105*20.912</f>
        <v>627.36</v>
      </c>
      <c r="I105" s="62">
        <f>F105*14.937</f>
        <v>448.10999999999996</v>
      </c>
      <c r="J105" s="19" t="s">
        <v>16</v>
      </c>
      <c r="K105" s="240"/>
      <c r="L105" s="19"/>
      <c r="M105" s="124"/>
    </row>
    <row r="106" spans="1:15" s="90" customFormat="1" ht="42" customHeight="1">
      <c r="A106" s="199">
        <v>5</v>
      </c>
      <c r="B106" s="244"/>
      <c r="C106" s="125" t="s">
        <v>97</v>
      </c>
      <c r="D106" s="49" t="s">
        <v>2</v>
      </c>
      <c r="E106" s="49"/>
      <c r="F106" s="11">
        <v>22</v>
      </c>
      <c r="G106" s="194"/>
      <c r="H106" s="62">
        <f>F106*75.506</f>
        <v>1661.1320000000001</v>
      </c>
      <c r="I106" s="62">
        <f>F106*58.81</f>
        <v>1293.8200000000002</v>
      </c>
      <c r="J106" s="19" t="s">
        <v>16</v>
      </c>
      <c r="K106" s="240"/>
      <c r="L106" s="19"/>
      <c r="M106" s="124"/>
    </row>
    <row r="107" spans="1:15" s="90" customFormat="1" ht="44.25" customHeight="1">
      <c r="A107" s="49">
        <v>6</v>
      </c>
      <c r="B107" s="244"/>
      <c r="C107" s="125" t="s">
        <v>96</v>
      </c>
      <c r="D107" s="49" t="s">
        <v>2</v>
      </c>
      <c r="E107" s="49"/>
      <c r="F107" s="11">
        <v>22</v>
      </c>
      <c r="G107" s="189"/>
      <c r="H107" s="62">
        <f>F107*11.21</f>
        <v>246.62</v>
      </c>
      <c r="I107" s="62">
        <f>F107*8.1</f>
        <v>178.2</v>
      </c>
      <c r="J107" s="19" t="s">
        <v>16</v>
      </c>
      <c r="K107" s="240"/>
      <c r="L107" s="19"/>
      <c r="M107" s="124"/>
    </row>
    <row r="108" spans="1:15" s="90" customFormat="1" ht="24.75" customHeight="1">
      <c r="A108" s="198">
        <v>7</v>
      </c>
      <c r="B108" s="244"/>
      <c r="C108" s="125" t="s">
        <v>100</v>
      </c>
      <c r="D108" s="49" t="s">
        <v>2</v>
      </c>
      <c r="E108" s="49"/>
      <c r="F108" s="63">
        <v>4</v>
      </c>
      <c r="G108" s="189"/>
      <c r="H108" s="62">
        <f>F108*15.4</f>
        <v>61.6</v>
      </c>
      <c r="I108" s="62">
        <f>F108*11.2</f>
        <v>44.8</v>
      </c>
      <c r="J108" s="19" t="s">
        <v>16</v>
      </c>
      <c r="K108" s="240"/>
      <c r="L108" s="19"/>
      <c r="M108" s="124"/>
    </row>
    <row r="109" spans="1:15" s="90" customFormat="1" ht="39.75" customHeight="1">
      <c r="A109" s="199">
        <v>8</v>
      </c>
      <c r="B109" s="245"/>
      <c r="C109" s="47" t="s">
        <v>101</v>
      </c>
      <c r="D109" s="49" t="s">
        <v>2</v>
      </c>
      <c r="E109" s="49"/>
      <c r="F109" s="63">
        <v>3</v>
      </c>
      <c r="G109" s="189"/>
      <c r="H109" s="62">
        <f>I109*1.2</f>
        <v>832.63439999999991</v>
      </c>
      <c r="I109" s="62">
        <v>693.86199999999997</v>
      </c>
      <c r="J109" s="19" t="s">
        <v>16</v>
      </c>
      <c r="K109" s="240"/>
      <c r="L109" s="19"/>
      <c r="M109" s="124"/>
    </row>
    <row r="110" spans="1:15" s="90" customFormat="1" ht="33.75" customHeight="1">
      <c r="A110" s="192"/>
      <c r="B110" s="227" t="s">
        <v>62</v>
      </c>
      <c r="C110" s="228"/>
      <c r="D110" s="22"/>
      <c r="E110" s="22"/>
      <c r="F110" s="24"/>
      <c r="G110" s="119"/>
      <c r="H110" s="24">
        <f>SUM(H102:H109)</f>
        <v>6789.358400000001</v>
      </c>
      <c r="I110" s="24">
        <f>SUM(I102:I109)</f>
        <v>5247.85</v>
      </c>
      <c r="J110" s="120"/>
      <c r="K110" s="190"/>
      <c r="L110" s="121"/>
      <c r="M110" s="122"/>
    </row>
    <row r="111" spans="1:15" s="90" customFormat="1" ht="32.25" customHeight="1">
      <c r="A111" s="202"/>
      <c r="B111" s="250" t="s">
        <v>98</v>
      </c>
      <c r="C111" s="251"/>
      <c r="D111" s="203"/>
      <c r="E111" s="203"/>
      <c r="F111" s="204"/>
      <c r="G111" s="205"/>
      <c r="H111" s="206">
        <f>H110+H99+H92+H70+H51+H30</f>
        <v>65860.397397999986</v>
      </c>
      <c r="I111" s="206">
        <f>I110+I99+I92+I70+I51+I30</f>
        <v>36602.828007000004</v>
      </c>
      <c r="J111" s="207"/>
      <c r="K111" s="208"/>
      <c r="L111" s="209"/>
      <c r="M111" s="210"/>
    </row>
    <row r="112" spans="1:15" s="2" customFormat="1" ht="19.5">
      <c r="A112" s="126"/>
      <c r="B112" s="126"/>
      <c r="C112" s="166"/>
      <c r="D112" s="131"/>
      <c r="E112" s="131"/>
      <c r="F112" s="132"/>
      <c r="G112" s="133"/>
      <c r="H112" s="173"/>
      <c r="I112" s="126"/>
      <c r="J112" s="134"/>
      <c r="K112" s="135"/>
      <c r="L112" s="136"/>
      <c r="M112" s="130"/>
    </row>
    <row r="113" spans="1:13" s="2" customFormat="1" ht="19.5">
      <c r="A113" s="241" t="s">
        <v>29</v>
      </c>
      <c r="B113" s="241"/>
      <c r="C113" s="241"/>
      <c r="D113" s="57">
        <f>F30</f>
        <v>5.4170000000000007</v>
      </c>
      <c r="E113" s="58">
        <f>G30</f>
        <v>126.65899999999998</v>
      </c>
      <c r="F113" s="137"/>
      <c r="G113" s="138"/>
      <c r="H113" s="127"/>
      <c r="I113" s="127"/>
      <c r="J113" s="128"/>
      <c r="K113" s="129"/>
      <c r="L113" s="127"/>
      <c r="M113" s="130"/>
    </row>
    <row r="114" spans="1:13" s="2" customFormat="1" ht="19.5">
      <c r="A114" s="241" t="s">
        <v>30</v>
      </c>
      <c r="B114" s="241"/>
      <c r="C114" s="241"/>
      <c r="D114" s="57">
        <f>F51</f>
        <v>10.379999999999999</v>
      </c>
      <c r="E114" s="58">
        <f>G51</f>
        <v>477.48000000000008</v>
      </c>
      <c r="F114" s="137"/>
      <c r="G114" s="138"/>
      <c r="H114" s="127" t="s">
        <v>104</v>
      </c>
      <c r="I114" s="127"/>
      <c r="J114" s="128"/>
      <c r="K114" s="129"/>
      <c r="L114" s="127"/>
      <c r="M114" s="130"/>
    </row>
    <row r="115" spans="1:13" s="2" customFormat="1" ht="19.5" customHeight="1">
      <c r="A115" s="242" t="s">
        <v>31</v>
      </c>
      <c r="B115" s="242"/>
      <c r="C115" s="242"/>
      <c r="D115" s="57">
        <f>F70</f>
        <v>6.0789999999999997</v>
      </c>
      <c r="E115" s="58">
        <f>G70</f>
        <v>61</v>
      </c>
      <c r="F115" s="139"/>
      <c r="G115" s="58"/>
      <c r="H115" s="173"/>
      <c r="I115" s="126"/>
      <c r="J115" s="134"/>
      <c r="K115" s="135"/>
      <c r="L115" s="136"/>
      <c r="M115" s="130"/>
    </row>
    <row r="116" spans="1:13" s="2" customFormat="1" ht="19.5" customHeight="1">
      <c r="A116" s="242" t="s">
        <v>32</v>
      </c>
      <c r="B116" s="242"/>
      <c r="C116" s="242"/>
      <c r="D116" s="57">
        <f>F92</f>
        <v>6.2799999999999985</v>
      </c>
      <c r="E116" s="58">
        <f>G92</f>
        <v>86</v>
      </c>
      <c r="F116" s="139"/>
      <c r="G116" s="58"/>
      <c r="H116" s="173"/>
      <c r="I116" s="126"/>
      <c r="J116" s="134"/>
      <c r="K116" s="135"/>
      <c r="L116" s="136"/>
      <c r="M116" s="130"/>
    </row>
    <row r="117" spans="1:13" s="2" customFormat="1" ht="19.5">
      <c r="A117" s="165"/>
      <c r="B117" s="178"/>
      <c r="C117" s="142"/>
      <c r="D117" s="140"/>
      <c r="E117" s="140"/>
      <c r="F117" s="139"/>
      <c r="G117" s="58"/>
      <c r="H117" s="173"/>
      <c r="I117" s="126"/>
      <c r="J117" s="134"/>
      <c r="K117" s="135"/>
      <c r="L117" s="136"/>
      <c r="M117" s="130"/>
    </row>
    <row r="118" spans="1:13" ht="18.75">
      <c r="C118" s="268" t="s">
        <v>116</v>
      </c>
      <c r="D118" s="268"/>
      <c r="E118" s="268"/>
      <c r="F118" s="268"/>
      <c r="G118" s="268"/>
      <c r="H118" s="268"/>
      <c r="I118" s="268"/>
      <c r="J118" s="148"/>
      <c r="K118" s="153"/>
    </row>
    <row r="119" spans="1:13" ht="18.75">
      <c r="A119" s="141"/>
      <c r="B119" s="141"/>
      <c r="C119" s="284" t="s">
        <v>117</v>
      </c>
      <c r="D119" s="64"/>
      <c r="E119" s="60"/>
      <c r="F119" s="143"/>
      <c r="G119" s="1"/>
      <c r="H119" s="144"/>
      <c r="I119" s="145"/>
      <c r="J119" s="146"/>
      <c r="M119" s="149"/>
    </row>
    <row r="120" spans="1:13" ht="27" customHeight="1">
      <c r="A120" s="150"/>
      <c r="B120" s="150"/>
      <c r="D120" s="64"/>
      <c r="E120" s="60"/>
      <c r="F120" s="143"/>
      <c r="G120" s="1"/>
    </row>
    <row r="121" spans="1:13">
      <c r="D121" s="157"/>
      <c r="E121" s="158"/>
      <c r="F121" s="151"/>
      <c r="G121" s="151"/>
      <c r="H121" s="152"/>
      <c r="I121" s="147"/>
      <c r="J121" s="148"/>
      <c r="K121" s="153"/>
    </row>
    <row r="122" spans="1:13">
      <c r="D122" s="157"/>
      <c r="E122" s="158"/>
      <c r="F122" s="151"/>
      <c r="G122" s="151"/>
      <c r="H122" s="152"/>
      <c r="I122" s="147"/>
      <c r="J122" s="148"/>
      <c r="K122" s="153"/>
    </row>
    <row r="123" spans="1:13">
      <c r="D123" s="157"/>
      <c r="E123" s="158"/>
      <c r="F123" s="151"/>
      <c r="G123" s="151"/>
      <c r="H123" s="152"/>
      <c r="I123" s="147"/>
      <c r="J123" s="148"/>
      <c r="K123" s="153"/>
    </row>
    <row r="124" spans="1:13">
      <c r="D124" s="157"/>
      <c r="E124" s="158"/>
      <c r="F124" s="151"/>
      <c r="G124" s="151"/>
      <c r="H124" s="152"/>
      <c r="I124" s="147"/>
      <c r="J124" s="148"/>
      <c r="K124" s="153"/>
    </row>
    <row r="125" spans="1:13">
      <c r="D125" s="157"/>
      <c r="E125" s="158"/>
      <c r="F125" s="151"/>
      <c r="G125" s="151"/>
      <c r="H125" s="152"/>
      <c r="I125" s="147"/>
      <c r="J125" s="148"/>
      <c r="K125" s="153"/>
    </row>
    <row r="126" spans="1:13">
      <c r="D126" s="157"/>
      <c r="E126" s="158"/>
      <c r="F126" s="151"/>
      <c r="G126" s="151"/>
      <c r="H126" s="152"/>
      <c r="I126" s="147"/>
      <c r="J126" s="148"/>
      <c r="K126" s="153"/>
    </row>
  </sheetData>
  <mergeCells count="52">
    <mergeCell ref="D14:F14"/>
    <mergeCell ref="D15:F15"/>
    <mergeCell ref="B7:D7"/>
    <mergeCell ref="I7:M7"/>
    <mergeCell ref="B8:D8"/>
    <mergeCell ref="B9:D9"/>
    <mergeCell ref="K3:M3"/>
    <mergeCell ref="A1:H1"/>
    <mergeCell ref="I4:M4"/>
    <mergeCell ref="B6:D6"/>
    <mergeCell ref="K2:M2"/>
    <mergeCell ref="K17:K18"/>
    <mergeCell ref="B17:B18"/>
    <mergeCell ref="L17:L18"/>
    <mergeCell ref="M17:M18"/>
    <mergeCell ref="A17:A18"/>
    <mergeCell ref="C17:C18"/>
    <mergeCell ref="D17:E18"/>
    <mergeCell ref="F17:G17"/>
    <mergeCell ref="B111:C111"/>
    <mergeCell ref="C118:I118"/>
    <mergeCell ref="B12:B13"/>
    <mergeCell ref="D12:F12"/>
    <mergeCell ref="D13:F13"/>
    <mergeCell ref="B110:C110"/>
    <mergeCell ref="B102:B109"/>
    <mergeCell ref="A101:M101"/>
    <mergeCell ref="A10:M10"/>
    <mergeCell ref="A11:M11"/>
    <mergeCell ref="H17:I17"/>
    <mergeCell ref="B80:B81"/>
    <mergeCell ref="A53:M53"/>
    <mergeCell ref="K54:K69"/>
    <mergeCell ref="A70:C70"/>
    <mergeCell ref="K73:K91"/>
    <mergeCell ref="D19:E19"/>
    <mergeCell ref="J17:J18"/>
    <mergeCell ref="K21:K29"/>
    <mergeCell ref="K95:K98"/>
    <mergeCell ref="A99:C99"/>
    <mergeCell ref="A30:C30"/>
    <mergeCell ref="A31:M31"/>
    <mergeCell ref="A51:C51"/>
    <mergeCell ref="B38:B41"/>
    <mergeCell ref="B47:B48"/>
    <mergeCell ref="K33:K50"/>
    <mergeCell ref="K102:K109"/>
    <mergeCell ref="A113:C113"/>
    <mergeCell ref="A114:C114"/>
    <mergeCell ref="B95:B98"/>
    <mergeCell ref="A115:C115"/>
    <mergeCell ref="A116:C116"/>
  </mergeCells>
  <hyperlinks>
    <hyperlink ref="D13" r:id="rId1"/>
  </hyperlinks>
  <pageMargins left="0.31496062992125984" right="0.19685039370078741" top="0" bottom="0.35433070866141736" header="0" footer="0.31496062992125984"/>
  <pageSetup paperSize="9" scale="55" fitToHeight="1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КАП.РЕМ.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2016-03-01T04:24:57Z</dcterms:modified>
</cp:coreProperties>
</file>