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Кратк. описание" sheetId="2" r:id="rId1"/>
  </sheets>
  <calcPr calcId="144525"/>
</workbook>
</file>

<file path=xl/calcChain.xml><?xml version="1.0" encoding="utf-8"?>
<calcChain xmlns="http://schemas.openxmlformats.org/spreadsheetml/2006/main">
  <c r="I20" i="2" l="1"/>
  <c r="K20" i="2"/>
  <c r="L20" i="2"/>
  <c r="M20" i="2"/>
  <c r="N20" i="2"/>
  <c r="O20" i="2"/>
  <c r="H20" i="2"/>
  <c r="H19" i="2"/>
  <c r="C13" i="2"/>
  <c r="C19" i="2"/>
  <c r="K13" i="2"/>
  <c r="K19" i="2"/>
  <c r="L13" i="2"/>
  <c r="L19" i="2"/>
  <c r="M13" i="2"/>
  <c r="N13" i="2"/>
  <c r="N19" i="2"/>
  <c r="O13" i="2"/>
  <c r="J14" i="2"/>
  <c r="J20" i="2"/>
  <c r="J12" i="2"/>
  <c r="O11" i="2"/>
  <c r="N11" i="2"/>
  <c r="M11" i="2"/>
  <c r="L11" i="2"/>
  <c r="K11" i="2"/>
  <c r="D11" i="2"/>
  <c r="E11" i="2"/>
  <c r="J11" i="2"/>
  <c r="J10" i="2"/>
  <c r="O9" i="2"/>
  <c r="O19" i="2"/>
  <c r="N9" i="2"/>
  <c r="J9" i="2"/>
  <c r="M9" i="2"/>
  <c r="L9" i="2"/>
  <c r="K9" i="2"/>
  <c r="I9" i="2"/>
  <c r="J8" i="2"/>
  <c r="O7" i="2"/>
  <c r="N7" i="2"/>
  <c r="M7" i="2"/>
  <c r="M19" i="2"/>
  <c r="L7" i="2"/>
  <c r="K7" i="2"/>
  <c r="J7" i="2"/>
  <c r="I7" i="2"/>
  <c r="D7" i="2"/>
  <c r="E15" i="2"/>
  <c r="E17" i="2"/>
  <c r="I28" i="2"/>
  <c r="I25" i="2"/>
  <c r="I26" i="2"/>
  <c r="K28" i="2"/>
  <c r="L27" i="2"/>
  <c r="L28" i="2"/>
  <c r="J26" i="2"/>
  <c r="L24" i="2"/>
  <c r="M24" i="2"/>
  <c r="K29" i="2"/>
  <c r="J25" i="2"/>
  <c r="K25" i="2"/>
  <c r="K26" i="2"/>
  <c r="D13" i="2"/>
  <c r="E13" i="2"/>
  <c r="I13" i="2"/>
  <c r="M27" i="2"/>
  <c r="M26" i="2"/>
  <c r="L29" i="2"/>
  <c r="M25" i="2"/>
  <c r="N24" i="2"/>
  <c r="N27" i="2"/>
  <c r="D9" i="2"/>
  <c r="E9" i="2"/>
  <c r="L25" i="2"/>
  <c r="J13" i="2"/>
  <c r="J19" i="2"/>
  <c r="L26" i="2"/>
  <c r="M28" i="2"/>
  <c r="M29" i="2"/>
  <c r="E7" i="2"/>
  <c r="I11" i="2"/>
  <c r="I19" i="2"/>
  <c r="N26" i="2"/>
  <c r="O27" i="2"/>
  <c r="O26" i="2"/>
  <c r="N28" i="2"/>
  <c r="D19" i="2"/>
  <c r="N25" i="2"/>
  <c r="O24" i="2"/>
  <c r="O25" i="2"/>
  <c r="N29" i="2"/>
  <c r="O28" i="2"/>
  <c r="O29" i="2"/>
  <c r="J28" i="2"/>
  <c r="J29" i="2"/>
</calcChain>
</file>

<file path=xl/sharedStrings.xml><?xml version="1.0" encoding="utf-8"?>
<sst xmlns="http://schemas.openxmlformats.org/spreadsheetml/2006/main" count="77" uniqueCount="60">
  <si>
    <t>№</t>
  </si>
  <si>
    <t>Наименование
проекта</t>
  </si>
  <si>
    <t>Стоимость
объекта 
млн. руб.</t>
  </si>
  <si>
    <t>доходность 
млн. руб.</t>
  </si>
  <si>
    <t>срок 
окупаемости,
лет</t>
  </si>
  <si>
    <t>Потери</t>
  </si>
  <si>
    <t>Всего</t>
  </si>
  <si>
    <t>Показатели экономической
 эффективности</t>
  </si>
  <si>
    <t>1.</t>
  </si>
  <si>
    <t>Энергосбережение и повышение энергетической эффективности</t>
  </si>
  <si>
    <t>2.</t>
  </si>
  <si>
    <t>3.</t>
  </si>
  <si>
    <t>4.</t>
  </si>
  <si>
    <t>инвестиционная составляющая в тарифе</t>
  </si>
  <si>
    <t>ИТОГО</t>
  </si>
  <si>
    <t>ед.изм.</t>
  </si>
  <si>
    <t>т.кВтч</t>
  </si>
  <si>
    <t>%</t>
  </si>
  <si>
    <t>факт</t>
  </si>
  <si>
    <t>план</t>
  </si>
  <si>
    <t>Фактические потери, %</t>
  </si>
  <si>
    <t>Снижение фактических потерь электроэнергии, т.кВт.ч</t>
  </si>
  <si>
    <t>Экономия  от снижения потерь электроэнергии, тыс.руб.</t>
  </si>
  <si>
    <t>Наименование</t>
  </si>
  <si>
    <t>темп роста пропуска по сетям</t>
  </si>
  <si>
    <t xml:space="preserve">Техническое перевооружение и реконструкция </t>
  </si>
  <si>
    <t>5.</t>
  </si>
  <si>
    <t>6.</t>
  </si>
  <si>
    <t>Источ-ники 
финанси-рования</t>
  </si>
  <si>
    <t>I</t>
  </si>
  <si>
    <t>II</t>
  </si>
  <si>
    <t>Норматив потерь % 2014г.</t>
  </si>
  <si>
    <t>Сверхнорматив потери   % 2014г.</t>
  </si>
  <si>
    <t>Снижение к 2014г.</t>
  </si>
  <si>
    <t>2015 г.</t>
  </si>
  <si>
    <t>2016 г.</t>
  </si>
  <si>
    <t>2017 г.</t>
  </si>
  <si>
    <t>2018 г.</t>
  </si>
  <si>
    <t>2019 г.</t>
  </si>
  <si>
    <t>2013г.</t>
  </si>
  <si>
    <t>2014г.</t>
  </si>
  <si>
    <t>2015г.</t>
  </si>
  <si>
    <t>2016г.</t>
  </si>
  <si>
    <t>2017г.</t>
  </si>
  <si>
    <t>2018г.</t>
  </si>
  <si>
    <t>2019г.</t>
  </si>
  <si>
    <t xml:space="preserve"> т.руб.</t>
  </si>
  <si>
    <t>Краткое описание инвестиционной программы  МУП "Уссурийск-Электросеть" на 2015-2019 годы</t>
  </si>
  <si>
    <t>Реконструкция  воздушных и кабельных линий</t>
  </si>
  <si>
    <t>Установка в трансформаторных  подстанциях (ТП) и распределительных пунктах (РП) вторых трансформаторов</t>
  </si>
  <si>
    <t>Замена в трансформаторных  подстанциях (ТП) и распределительных пунктах (РП)  трансформаторов на больший номинал</t>
  </si>
  <si>
    <t xml:space="preserve">Модернизация трансформаторных  подстанций (ТП) и распределительных пунктов (РП)  </t>
  </si>
  <si>
    <t>НВВ 2014г.  204252,48</t>
  </si>
  <si>
    <t>Объем пропуска электроэнергии по сетям МУП "Уссурийск-Электросеть" т.кВт.ч</t>
  </si>
  <si>
    <t>Потери электроэнергии, т.кВт.ч</t>
  </si>
  <si>
    <t>Балансовая стоимость основных средств   323299059 руб.</t>
  </si>
  <si>
    <t>Остаточная стоимость на 01.01.2013г 201735635 руб.</t>
  </si>
  <si>
    <t>Остаточная стоимость на 01.01.2014г  216271564 руб.</t>
  </si>
  <si>
    <t>Остаточная стоимость на 01.01.2015г 231608715 руб.</t>
  </si>
  <si>
    <r>
      <t>Электросетевой комплекс (ТП, ВЛ, КЛ, тр-ры, опоры ит.д.) находятся в хозяйственном ведении МУП "Уссурийск-Электросеть"</t>
    </r>
    <r>
      <rPr>
        <b/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</si>
</sst>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4" formatCode="0.0"/>
    <numFmt numFmtId="185" formatCode="0.000"/>
    <numFmt numFmtId="187" formatCode="0.0%"/>
  </numFmts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184" fontId="2" fillId="0" borderId="6" xfId="0" applyNumberFormat="1" applyFont="1" applyBorder="1" applyAlignment="1">
      <alignment horizontal="center" vertical="center" wrapText="1"/>
    </xf>
    <xf numFmtId="184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view="pageBreakPreview" zoomScale="115" zoomScaleNormal="100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2" sqref="P2"/>
    </sheetView>
  </sheetViews>
  <sheetFormatPr defaultRowHeight="15.75" x14ac:dyDescent="0.25"/>
  <cols>
    <col min="1" max="1" width="4.7109375" style="1" customWidth="1"/>
    <col min="2" max="2" width="31.7109375" style="1" customWidth="1"/>
    <col min="3" max="3" width="11.42578125" style="1" customWidth="1"/>
    <col min="4" max="4" width="12" style="1" customWidth="1"/>
    <col min="5" max="5" width="13.85546875" style="1" customWidth="1"/>
    <col min="6" max="6" width="10" style="1" customWidth="1"/>
    <col min="7" max="7" width="6.7109375" style="1" customWidth="1"/>
    <col min="8" max="8" width="15.85546875" style="1" customWidth="1"/>
    <col min="9" max="9" width="15.140625" style="1" customWidth="1"/>
    <col min="10" max="10" width="13.7109375" style="1" customWidth="1"/>
    <col min="11" max="11" width="13" style="1" bestFit="1" customWidth="1"/>
    <col min="12" max="13" width="10.140625" style="1" customWidth="1"/>
    <col min="14" max="15" width="13" style="1" bestFit="1" customWidth="1"/>
    <col min="16" max="16" width="9.140625" style="1"/>
    <col min="17" max="17" width="21.85546875" style="1" customWidth="1"/>
    <col min="18" max="16384" width="9.140625" style="1"/>
  </cols>
  <sheetData>
    <row r="1" spans="1:15" ht="38.25" customHeight="1" x14ac:dyDescent="0.25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51" customHeight="1" x14ac:dyDescent="0.25">
      <c r="A2" s="26" t="s">
        <v>0</v>
      </c>
      <c r="B2" s="29" t="s">
        <v>1</v>
      </c>
      <c r="C2" s="29" t="s">
        <v>2</v>
      </c>
      <c r="D2" s="31" t="s">
        <v>7</v>
      </c>
      <c r="E2" s="32"/>
      <c r="F2" s="29" t="s">
        <v>28</v>
      </c>
      <c r="G2" s="32" t="s">
        <v>5</v>
      </c>
      <c r="H2" s="32"/>
      <c r="I2" s="32"/>
      <c r="J2" s="32"/>
      <c r="K2" s="32"/>
      <c r="L2" s="32"/>
      <c r="M2" s="32"/>
      <c r="N2" s="32"/>
      <c r="O2" s="32"/>
    </row>
    <row r="3" spans="1:15" ht="23.25" customHeight="1" x14ac:dyDescent="0.25">
      <c r="A3" s="27"/>
      <c r="B3" s="30"/>
      <c r="C3" s="30"/>
      <c r="D3" s="29" t="s">
        <v>3</v>
      </c>
      <c r="E3" s="29" t="s">
        <v>4</v>
      </c>
      <c r="F3" s="30"/>
      <c r="G3" s="34" t="s">
        <v>15</v>
      </c>
      <c r="H3" s="48" t="s">
        <v>31</v>
      </c>
      <c r="I3" s="48" t="s">
        <v>32</v>
      </c>
      <c r="J3" s="46" t="s">
        <v>33</v>
      </c>
      <c r="K3" s="46"/>
      <c r="L3" s="46"/>
      <c r="M3" s="46"/>
      <c r="N3" s="46"/>
      <c r="O3" s="47"/>
    </row>
    <row r="4" spans="1:15" ht="25.5" customHeight="1" x14ac:dyDescent="0.25">
      <c r="A4" s="28"/>
      <c r="B4" s="28"/>
      <c r="C4" s="28"/>
      <c r="D4" s="33"/>
      <c r="E4" s="33"/>
      <c r="F4" s="28"/>
      <c r="G4" s="35"/>
      <c r="H4" s="49"/>
      <c r="I4" s="49"/>
      <c r="J4" s="12" t="s">
        <v>6</v>
      </c>
      <c r="K4" s="13" t="s">
        <v>34</v>
      </c>
      <c r="L4" s="13" t="s">
        <v>35</v>
      </c>
      <c r="M4" s="13" t="s">
        <v>36</v>
      </c>
      <c r="N4" s="13" t="s">
        <v>37</v>
      </c>
      <c r="O4" s="13" t="s">
        <v>38</v>
      </c>
    </row>
    <row r="5" spans="1:15" ht="18" customHeight="1" x14ac:dyDescent="0.25">
      <c r="A5" s="18" t="s">
        <v>29</v>
      </c>
      <c r="B5" s="40" t="s">
        <v>25</v>
      </c>
      <c r="C5" s="41"/>
      <c r="D5" s="41"/>
      <c r="E5" s="42"/>
      <c r="F5" s="15"/>
      <c r="G5" s="16"/>
      <c r="H5" s="17"/>
      <c r="I5" s="17"/>
      <c r="J5" s="12"/>
      <c r="K5" s="13"/>
      <c r="L5" s="13"/>
      <c r="M5" s="13"/>
      <c r="N5" s="13"/>
      <c r="O5" s="13"/>
    </row>
    <row r="6" spans="1:15" ht="18" customHeight="1" x14ac:dyDescent="0.25">
      <c r="A6" s="19" t="s">
        <v>30</v>
      </c>
      <c r="B6" s="40" t="s">
        <v>9</v>
      </c>
      <c r="C6" s="41"/>
      <c r="D6" s="41"/>
      <c r="E6" s="42"/>
      <c r="F6" s="15"/>
      <c r="G6" s="16"/>
      <c r="H6" s="17"/>
      <c r="I6" s="17"/>
      <c r="J6" s="12"/>
      <c r="K6" s="13"/>
      <c r="L6" s="13"/>
      <c r="M6" s="13"/>
      <c r="N6" s="13"/>
      <c r="O6" s="13"/>
    </row>
    <row r="7" spans="1:15" ht="18" customHeight="1" x14ac:dyDescent="0.25">
      <c r="A7" s="23" t="s">
        <v>8</v>
      </c>
      <c r="B7" s="36" t="s">
        <v>50</v>
      </c>
      <c r="C7" s="38">
        <v>21.245000000000001</v>
      </c>
      <c r="D7" s="56">
        <f>(K7+L7+M7+N7+O7)*2065.078/1000000</f>
        <v>0.72876602620000008</v>
      </c>
      <c r="E7" s="58">
        <f>C7/D7/5</f>
        <v>5.8304035139447059</v>
      </c>
      <c r="F7" s="53" t="s">
        <v>13</v>
      </c>
      <c r="G7" s="11" t="s">
        <v>16</v>
      </c>
      <c r="H7" s="21">
        <v>410</v>
      </c>
      <c r="I7" s="21">
        <f>K7</f>
        <v>76.302702702702703</v>
      </c>
      <c r="J7" s="21">
        <f>K7+L7+M7+N7+O7</f>
        <v>352.90000000000003</v>
      </c>
      <c r="K7" s="21">
        <f>352.9/37*8</f>
        <v>76.302702702702703</v>
      </c>
      <c r="L7" s="21">
        <f>352.9/37*6</f>
        <v>57.227027027027027</v>
      </c>
      <c r="M7" s="21">
        <f>352.9/37*5</f>
        <v>47.689189189189193</v>
      </c>
      <c r="N7" s="21">
        <f>352.9/37*8</f>
        <v>76.302702702702703</v>
      </c>
      <c r="O7" s="21">
        <f>352.9/37*10</f>
        <v>95.378378378378386</v>
      </c>
    </row>
    <row r="8" spans="1:15" ht="38.25" customHeight="1" x14ac:dyDescent="0.25">
      <c r="A8" s="24"/>
      <c r="B8" s="37"/>
      <c r="C8" s="39"/>
      <c r="D8" s="57"/>
      <c r="E8" s="59"/>
      <c r="F8" s="54"/>
      <c r="G8" s="11" t="s">
        <v>17</v>
      </c>
      <c r="H8" s="22">
        <v>5.6000000000000001E-2</v>
      </c>
      <c r="I8" s="22">
        <v>3.1E-2</v>
      </c>
      <c r="J8" s="3">
        <f>(K8+L8+M8+N8+O8)/5</f>
        <v>2.7200000000000002E-2</v>
      </c>
      <c r="K8" s="22">
        <v>3.1E-2</v>
      </c>
      <c r="L8" s="22">
        <v>3.1E-2</v>
      </c>
      <c r="M8" s="22">
        <v>1.2999999999999999E-2</v>
      </c>
      <c r="N8" s="22">
        <v>3.1E-2</v>
      </c>
      <c r="O8" s="22">
        <v>0.03</v>
      </c>
    </row>
    <row r="9" spans="1:15" ht="19.5" customHeight="1" x14ac:dyDescent="0.25">
      <c r="A9" s="23" t="s">
        <v>10</v>
      </c>
      <c r="B9" s="36" t="s">
        <v>49</v>
      </c>
      <c r="C9" s="38">
        <v>10.69</v>
      </c>
      <c r="D9" s="56">
        <f>(K9+L9+M9+N9+O9)*2065.078/1000000</f>
        <v>1.4608361772000003</v>
      </c>
      <c r="E9" s="58">
        <f>C9/D9/5</f>
        <v>1.4635453539341603</v>
      </c>
      <c r="F9" s="54"/>
      <c r="G9" s="11" t="s">
        <v>16</v>
      </c>
      <c r="H9" s="2">
        <v>1212</v>
      </c>
      <c r="I9" s="21">
        <f>K9</f>
        <v>153.78260869565219</v>
      </c>
      <c r="J9" s="21">
        <f>K9+L9+M9+N9+O9</f>
        <v>707.40000000000009</v>
      </c>
      <c r="K9" s="21">
        <f>707.4/23*5</f>
        <v>153.78260869565219</v>
      </c>
      <c r="L9" s="21">
        <f>707.4/23*5</f>
        <v>153.78260869565219</v>
      </c>
      <c r="M9" s="21">
        <f>707.4/23*5</f>
        <v>153.78260869565219</v>
      </c>
      <c r="N9" s="21">
        <f>707.4/23*5</f>
        <v>153.78260869565219</v>
      </c>
      <c r="O9" s="21">
        <f>707.4/23*3</f>
        <v>92.269565217391303</v>
      </c>
    </row>
    <row r="10" spans="1:15" ht="33" customHeight="1" x14ac:dyDescent="0.25">
      <c r="A10" s="24"/>
      <c r="B10" s="37"/>
      <c r="C10" s="39"/>
      <c r="D10" s="57"/>
      <c r="E10" s="59"/>
      <c r="F10" s="54"/>
      <c r="G10" s="11" t="s">
        <v>17</v>
      </c>
      <c r="H10" s="22">
        <v>4.2999999999999997E-2</v>
      </c>
      <c r="I10" s="22">
        <v>1.7000000000000001E-2</v>
      </c>
      <c r="J10" s="3">
        <f>(K10+L10+M10+N10+O10)/5</f>
        <v>2.2600000000000002E-2</v>
      </c>
      <c r="K10" s="22">
        <v>1.7000000000000001E-2</v>
      </c>
      <c r="L10" s="22">
        <v>2.1000000000000001E-2</v>
      </c>
      <c r="M10" s="22">
        <v>3.1E-2</v>
      </c>
      <c r="N10" s="22">
        <v>2.3E-2</v>
      </c>
      <c r="O10" s="22">
        <v>2.1000000000000001E-2</v>
      </c>
    </row>
    <row r="11" spans="1:15" ht="17.25" customHeight="1" x14ac:dyDescent="0.25">
      <c r="A11" s="23" t="s">
        <v>11</v>
      </c>
      <c r="B11" s="36" t="s">
        <v>51</v>
      </c>
      <c r="C11" s="38">
        <v>9.5220000000000002</v>
      </c>
      <c r="D11" s="56">
        <f>(K11+L11+M11+N11+O11)*2065.078/1000000</f>
        <v>0.55942963019999992</v>
      </c>
      <c r="E11" s="58">
        <f>C11/D11/5</f>
        <v>3.404181504149439</v>
      </c>
      <c r="F11" s="54"/>
      <c r="G11" s="11" t="s">
        <v>16</v>
      </c>
      <c r="H11" s="21">
        <v>314</v>
      </c>
      <c r="I11" s="21">
        <f>K11</f>
        <v>53.117647058823529</v>
      </c>
      <c r="J11" s="21">
        <f>K11+L11+M11+N11+O11</f>
        <v>270.89999999999998</v>
      </c>
      <c r="K11" s="21">
        <f>270.9/51*10</f>
        <v>53.117647058823529</v>
      </c>
      <c r="L11" s="21">
        <f>270.9/51*10</f>
        <v>53.117647058823529</v>
      </c>
      <c r="M11" s="21">
        <f>270.9/51*10</f>
        <v>53.117647058823529</v>
      </c>
      <c r="N11" s="21">
        <f>270.9/51*10</f>
        <v>53.117647058823529</v>
      </c>
      <c r="O11" s="21">
        <f>270.9/51*11</f>
        <v>58.429411764705883</v>
      </c>
    </row>
    <row r="12" spans="1:15" ht="27" customHeight="1" x14ac:dyDescent="0.25">
      <c r="A12" s="24"/>
      <c r="B12" s="37"/>
      <c r="C12" s="39"/>
      <c r="D12" s="57"/>
      <c r="E12" s="59"/>
      <c r="F12" s="54"/>
      <c r="G12" s="11" t="s">
        <v>17</v>
      </c>
      <c r="H12" s="22">
        <v>5.1999999999999998E-2</v>
      </c>
      <c r="I12" s="22">
        <v>1.2999999999999999E-2</v>
      </c>
      <c r="J12" s="3">
        <f>(K12+L12+M12+N12+O12)/5</f>
        <v>1.4999999999999999E-2</v>
      </c>
      <c r="K12" s="22">
        <v>1.2999999999999999E-2</v>
      </c>
      <c r="L12" s="22">
        <v>1.4999999999999999E-2</v>
      </c>
      <c r="M12" s="22">
        <v>1.6E-2</v>
      </c>
      <c r="N12" s="22">
        <v>1.2999999999999999E-2</v>
      </c>
      <c r="O12" s="22">
        <v>1.7999999999999999E-2</v>
      </c>
    </row>
    <row r="13" spans="1:15" ht="18" customHeight="1" x14ac:dyDescent="0.25">
      <c r="A13" s="23" t="s">
        <v>12</v>
      </c>
      <c r="B13" s="36" t="s">
        <v>48</v>
      </c>
      <c r="C13" s="38">
        <f>114.611-C7-C9-C11</f>
        <v>73.153999999999996</v>
      </c>
      <c r="D13" s="56">
        <f>(K13+L13+M13+N13+O13)*2065.078/1000000</f>
        <v>8.0661946679999978</v>
      </c>
      <c r="E13" s="58">
        <f>C13/D13/5</f>
        <v>1.8138416691135582</v>
      </c>
      <c r="F13" s="54"/>
      <c r="G13" s="11" t="s">
        <v>16</v>
      </c>
      <c r="H13" s="2">
        <v>7030</v>
      </c>
      <c r="I13" s="21">
        <f>K13</f>
        <v>391.63360376864694</v>
      </c>
      <c r="J13" s="21">
        <f>K13+L13+M13+N13+O13</f>
        <v>3905.9999999999995</v>
      </c>
      <c r="K13" s="21">
        <f>3906/34.389*3.448</f>
        <v>391.63360376864694</v>
      </c>
      <c r="L13" s="21">
        <f>3906/34.389*7.573</f>
        <v>860.16278461135835</v>
      </c>
      <c r="M13" s="21">
        <f>3906/34.389*8.309</f>
        <v>943.75974875686984</v>
      </c>
      <c r="N13" s="21">
        <f>3906/34.389*7.882</f>
        <v>895.25987961266674</v>
      </c>
      <c r="O13" s="21">
        <f>3906/34.389*7.177</f>
        <v>815.18398325045791</v>
      </c>
    </row>
    <row r="14" spans="1:15" ht="16.5" customHeight="1" x14ac:dyDescent="0.25">
      <c r="A14" s="24"/>
      <c r="B14" s="37"/>
      <c r="C14" s="39"/>
      <c r="D14" s="57"/>
      <c r="E14" s="59"/>
      <c r="F14" s="54"/>
      <c r="G14" s="11" t="s">
        <v>17</v>
      </c>
      <c r="H14" s="22">
        <v>0.13400000000000001</v>
      </c>
      <c r="I14" s="22">
        <v>9.1999999999999998E-2</v>
      </c>
      <c r="J14" s="22">
        <f>(K14+L14+M14+N14+O14)/5</f>
        <v>9.5599999999999991E-2</v>
      </c>
      <c r="K14" s="22">
        <v>9.1999999999999998E-2</v>
      </c>
      <c r="L14" s="22">
        <v>9.6000000000000002E-2</v>
      </c>
      <c r="M14" s="22">
        <v>8.3000000000000004E-2</v>
      </c>
      <c r="N14" s="22">
        <v>0.106</v>
      </c>
      <c r="O14" s="22">
        <v>0.10100000000000001</v>
      </c>
    </row>
    <row r="15" spans="1:15" ht="18.75" hidden="1" customHeight="1" x14ac:dyDescent="0.25">
      <c r="A15" s="23" t="s">
        <v>26</v>
      </c>
      <c r="B15" s="36"/>
      <c r="C15" s="23"/>
      <c r="D15" s="23"/>
      <c r="E15" s="23" t="e">
        <f>C15/D15/5</f>
        <v>#DIV/0!</v>
      </c>
      <c r="F15" s="54"/>
      <c r="G15" s="11" t="s">
        <v>16</v>
      </c>
      <c r="H15" s="3"/>
      <c r="I15" s="3"/>
      <c r="J15" s="3"/>
      <c r="K15" s="3"/>
      <c r="L15" s="3"/>
      <c r="M15" s="3"/>
      <c r="N15" s="3"/>
      <c r="O15" s="3"/>
    </row>
    <row r="16" spans="1:15" ht="17.25" hidden="1" customHeight="1" x14ac:dyDescent="0.25">
      <c r="A16" s="24"/>
      <c r="B16" s="37"/>
      <c r="C16" s="24"/>
      <c r="D16" s="24"/>
      <c r="E16" s="24"/>
      <c r="F16" s="54"/>
      <c r="G16" s="11" t="s">
        <v>17</v>
      </c>
      <c r="H16" s="3"/>
      <c r="I16" s="3"/>
      <c r="J16" s="3"/>
      <c r="K16" s="3"/>
      <c r="L16" s="3"/>
      <c r="M16" s="3"/>
      <c r="N16" s="3"/>
      <c r="O16" s="3"/>
    </row>
    <row r="17" spans="1:15" ht="18.75" hidden="1" customHeight="1" x14ac:dyDescent="0.25">
      <c r="A17" s="23" t="s">
        <v>27</v>
      </c>
      <c r="B17" s="36"/>
      <c r="C17" s="23"/>
      <c r="D17" s="23"/>
      <c r="E17" s="23" t="e">
        <f>C17/D17/5</f>
        <v>#DIV/0!</v>
      </c>
      <c r="F17" s="54"/>
      <c r="G17" s="11" t="s">
        <v>16</v>
      </c>
      <c r="H17" s="3"/>
      <c r="I17" s="3"/>
      <c r="J17" s="3"/>
      <c r="K17" s="3"/>
      <c r="L17" s="3"/>
      <c r="M17" s="3"/>
      <c r="N17" s="3"/>
      <c r="O17" s="3"/>
    </row>
    <row r="18" spans="1:15" ht="16.5" hidden="1" customHeight="1" x14ac:dyDescent="0.25">
      <c r="A18" s="24"/>
      <c r="B18" s="37"/>
      <c r="C18" s="24"/>
      <c r="D18" s="24"/>
      <c r="E18" s="24"/>
      <c r="F18" s="55"/>
      <c r="G18" s="11" t="s">
        <v>17</v>
      </c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 t="s">
        <v>14</v>
      </c>
      <c r="C19" s="4">
        <f>SUM(C7:C18)</f>
        <v>114.61099999999999</v>
      </c>
      <c r="D19" s="4">
        <f>SUM(D7:D17)</f>
        <v>10.815226501599998</v>
      </c>
      <c r="E19" s="2"/>
      <c r="F19" s="2"/>
      <c r="G19" s="11" t="s">
        <v>16</v>
      </c>
      <c r="H19" s="21">
        <f>H13+H7+H9+H11</f>
        <v>8966</v>
      </c>
      <c r="I19" s="21">
        <f t="shared" ref="I19:O19" si="0">I13+I7+I9+I11</f>
        <v>674.83656222582533</v>
      </c>
      <c r="J19" s="21">
        <f t="shared" si="0"/>
        <v>5237.1999999999989</v>
      </c>
      <c r="K19" s="21">
        <f t="shared" si="0"/>
        <v>674.83656222582533</v>
      </c>
      <c r="L19" s="21">
        <f t="shared" si="0"/>
        <v>1124.2900673928609</v>
      </c>
      <c r="M19" s="21">
        <f t="shared" si="0"/>
        <v>1198.3491937005347</v>
      </c>
      <c r="N19" s="21">
        <f t="shared" si="0"/>
        <v>1178.462838069845</v>
      </c>
      <c r="O19" s="21">
        <f t="shared" si="0"/>
        <v>1061.2613386109335</v>
      </c>
    </row>
    <row r="20" spans="1:15" x14ac:dyDescent="0.25">
      <c r="G20" s="11" t="s">
        <v>17</v>
      </c>
      <c r="H20" s="22">
        <f>(H14+H8+H10+H12)/4</f>
        <v>7.1249999999999994E-2</v>
      </c>
      <c r="I20" s="22">
        <f>(I14+I8+I10+I12)/4</f>
        <v>3.8250000000000006E-2</v>
      </c>
      <c r="J20" s="22">
        <f t="shared" ref="J20:O20" si="1">(J14+J8+J10+J12)/4</f>
        <v>4.0099999999999997E-2</v>
      </c>
      <c r="K20" s="22">
        <f t="shared" si="1"/>
        <v>3.8250000000000006E-2</v>
      </c>
      <c r="L20" s="22">
        <f t="shared" si="1"/>
        <v>4.0749999999999995E-2</v>
      </c>
      <c r="M20" s="22">
        <f t="shared" si="1"/>
        <v>3.5750000000000004E-2</v>
      </c>
      <c r="N20" s="22">
        <f t="shared" si="1"/>
        <v>4.3250000000000004E-2</v>
      </c>
      <c r="O20" s="22">
        <f t="shared" si="1"/>
        <v>4.2499999999999996E-2</v>
      </c>
    </row>
    <row r="21" spans="1:15" x14ac:dyDescent="0.25">
      <c r="B21" s="8" t="s">
        <v>52</v>
      </c>
      <c r="C21" s="8" t="s">
        <v>46</v>
      </c>
      <c r="D21" s="8"/>
    </row>
    <row r="22" spans="1:15" x14ac:dyDescent="0.25">
      <c r="F22" s="43" t="s">
        <v>23</v>
      </c>
      <c r="G22" s="43"/>
      <c r="H22" s="43"/>
      <c r="I22" s="5" t="s">
        <v>39</v>
      </c>
      <c r="J22" s="5" t="s">
        <v>40</v>
      </c>
      <c r="K22" s="5" t="s">
        <v>41</v>
      </c>
      <c r="L22" s="5" t="s">
        <v>42</v>
      </c>
      <c r="M22" s="5" t="s">
        <v>43</v>
      </c>
      <c r="N22" s="5" t="s">
        <v>44</v>
      </c>
      <c r="O22" s="5" t="s">
        <v>45</v>
      </c>
    </row>
    <row r="23" spans="1:15" x14ac:dyDescent="0.25">
      <c r="A23" s="8" t="s">
        <v>55</v>
      </c>
      <c r="F23" s="43"/>
      <c r="G23" s="43"/>
      <c r="H23" s="43"/>
      <c r="I23" s="5" t="s">
        <v>18</v>
      </c>
      <c r="J23" s="5" t="s">
        <v>19</v>
      </c>
      <c r="K23" s="5" t="s">
        <v>19</v>
      </c>
      <c r="L23" s="5" t="s">
        <v>19</v>
      </c>
      <c r="M23" s="5" t="s">
        <v>19</v>
      </c>
      <c r="N23" s="5" t="s">
        <v>19</v>
      </c>
      <c r="O23" s="5" t="s">
        <v>19</v>
      </c>
    </row>
    <row r="24" spans="1:15" ht="49.5" customHeight="1" x14ac:dyDescent="0.25">
      <c r="A24" s="1" t="s">
        <v>56</v>
      </c>
      <c r="F24" s="43" t="s">
        <v>53</v>
      </c>
      <c r="G24" s="43"/>
      <c r="H24" s="43"/>
      <c r="I24" s="6">
        <v>619315.1</v>
      </c>
      <c r="J24" s="6">
        <v>651171.30000000005</v>
      </c>
      <c r="K24" s="6">
        <v>620763</v>
      </c>
      <c r="L24" s="6">
        <f>K24*101.5%</f>
        <v>630074.44499999995</v>
      </c>
      <c r="M24" s="6">
        <f>L24*101.5%</f>
        <v>639525.56167499989</v>
      </c>
      <c r="N24" s="6">
        <f>M24*101.5%</f>
        <v>649118.44510012481</v>
      </c>
      <c r="O24" s="6">
        <f>N24*101.5%</f>
        <v>658855.22177662665</v>
      </c>
    </row>
    <row r="25" spans="1:15" ht="20.25" customHeight="1" x14ac:dyDescent="0.25">
      <c r="A25" s="1" t="s">
        <v>57</v>
      </c>
      <c r="F25" s="50" t="s">
        <v>24</v>
      </c>
      <c r="G25" s="51"/>
      <c r="H25" s="52"/>
      <c r="I25" s="14">
        <f>I24/617106/100</f>
        <v>1.0035797739772421E-2</v>
      </c>
      <c r="J25" s="14">
        <f t="shared" ref="J25:O25" si="2">(J24-I24)/I24</f>
        <v>5.143778990694732E-2</v>
      </c>
      <c r="K25" s="14">
        <f t="shared" si="2"/>
        <v>-4.669785047344692E-2</v>
      </c>
      <c r="L25" s="14">
        <f t="shared" si="2"/>
        <v>1.4999999999999918E-2</v>
      </c>
      <c r="M25" s="14">
        <f t="shared" si="2"/>
        <v>1.4999999999999904E-2</v>
      </c>
      <c r="N25" s="14">
        <f t="shared" si="2"/>
        <v>1.499999999999988E-2</v>
      </c>
      <c r="O25" s="14">
        <f t="shared" si="2"/>
        <v>1.499999999999996E-2</v>
      </c>
    </row>
    <row r="26" spans="1:15" ht="22.5" customHeight="1" x14ac:dyDescent="0.25">
      <c r="A26" s="1" t="s">
        <v>58</v>
      </c>
      <c r="F26" s="43" t="s">
        <v>20</v>
      </c>
      <c r="G26" s="43"/>
      <c r="H26" s="43"/>
      <c r="I26" s="7">
        <f t="shared" ref="I26:O26" si="3">I27/I24</f>
        <v>0.15899127923733816</v>
      </c>
      <c r="J26" s="7">
        <f t="shared" si="3"/>
        <v>0.17864899758327801</v>
      </c>
      <c r="K26" s="7">
        <f t="shared" si="3"/>
        <v>0.17867704744000529</v>
      </c>
      <c r="L26" s="7">
        <f t="shared" si="3"/>
        <v>0.16723467494384733</v>
      </c>
      <c r="M26" s="7">
        <f t="shared" si="3"/>
        <v>0.15652506521837928</v>
      </c>
      <c r="N26" s="7">
        <f t="shared" si="3"/>
        <v>0.14650129256892644</v>
      </c>
      <c r="O26" s="7">
        <f t="shared" si="3"/>
        <v>0.1371194363945617</v>
      </c>
    </row>
    <row r="27" spans="1:15" ht="32.25" customHeight="1" x14ac:dyDescent="0.25">
      <c r="F27" s="43" t="s">
        <v>54</v>
      </c>
      <c r="G27" s="43"/>
      <c r="H27" s="43"/>
      <c r="I27" s="20">
        <v>98465.7</v>
      </c>
      <c r="J27" s="20">
        <v>116331.1</v>
      </c>
      <c r="K27" s="20">
        <v>110916.1</v>
      </c>
      <c r="L27" s="20">
        <f>K27*0.95</f>
        <v>105370.295</v>
      </c>
      <c r="M27" s="20">
        <f>L27*0.95</f>
        <v>100101.78025</v>
      </c>
      <c r="N27" s="20">
        <f>M27*0.95</f>
        <v>95096.691237499996</v>
      </c>
      <c r="O27" s="20">
        <f>N27*0.95</f>
        <v>90341.856675624993</v>
      </c>
    </row>
    <row r="28" spans="1:15" ht="48.75" customHeight="1" x14ac:dyDescent="0.25">
      <c r="B28" s="44" t="s">
        <v>59</v>
      </c>
      <c r="C28" s="44"/>
      <c r="D28" s="44"/>
      <c r="E28" s="45"/>
      <c r="F28" s="43" t="s">
        <v>21</v>
      </c>
      <c r="G28" s="43"/>
      <c r="H28" s="43"/>
      <c r="I28" s="20">
        <f>120538-I27</f>
        <v>22072.300000000003</v>
      </c>
      <c r="J28" s="20">
        <f>K28+L28+M28+N28+O28</f>
        <v>25989.243324375013</v>
      </c>
      <c r="K28" s="20">
        <f>J27-K27</f>
        <v>5415</v>
      </c>
      <c r="L28" s="20">
        <f>K27-L27</f>
        <v>5545.8050000000076</v>
      </c>
      <c r="M28" s="20">
        <f>L27-M27</f>
        <v>5268.5147500000021</v>
      </c>
      <c r="N28" s="20">
        <f>M27-N27</f>
        <v>5005.0890125000005</v>
      </c>
      <c r="O28" s="20">
        <f>N27-O27</f>
        <v>4754.8345618750027</v>
      </c>
    </row>
    <row r="29" spans="1:15" ht="49.5" customHeight="1" x14ac:dyDescent="0.25">
      <c r="B29" s="9"/>
      <c r="C29" s="9"/>
      <c r="D29" s="9"/>
      <c r="E29" s="10"/>
      <c r="F29" s="43" t="s">
        <v>22</v>
      </c>
      <c r="G29" s="43"/>
      <c r="H29" s="43"/>
      <c r="I29" s="20">
        <v>48551</v>
      </c>
      <c r="J29" s="20">
        <f t="shared" ref="J29:O29" si="4">J28*2065.078/1000</f>
        <v>53669.814625813699</v>
      </c>
      <c r="K29" s="20">
        <f t="shared" si="4"/>
        <v>11182.397369999999</v>
      </c>
      <c r="L29" s="20">
        <f t="shared" si="4"/>
        <v>11452.519897790015</v>
      </c>
      <c r="M29" s="20">
        <f t="shared" si="4"/>
        <v>10879.893902900503</v>
      </c>
      <c r="N29" s="20">
        <f t="shared" si="4"/>
        <v>10335.899207755476</v>
      </c>
      <c r="O29" s="20">
        <f t="shared" si="4"/>
        <v>9819.1042473677062</v>
      </c>
    </row>
  </sheetData>
  <mergeCells count="54">
    <mergeCell ref="D13:D14"/>
    <mergeCell ref="A11:A12"/>
    <mergeCell ref="B11:B12"/>
    <mergeCell ref="C11:C12"/>
    <mergeCell ref="D11:D12"/>
    <mergeCell ref="E11:E12"/>
    <mergeCell ref="E13:E14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F27:H27"/>
    <mergeCell ref="J3:O3"/>
    <mergeCell ref="I3:I4"/>
    <mergeCell ref="F25:H25"/>
    <mergeCell ref="F24:H24"/>
    <mergeCell ref="H3:H4"/>
    <mergeCell ref="F2:F4"/>
    <mergeCell ref="F7:F18"/>
    <mergeCell ref="E17:E18"/>
    <mergeCell ref="F28:H28"/>
    <mergeCell ref="F29:H29"/>
    <mergeCell ref="F22:H23"/>
    <mergeCell ref="B28:E28"/>
    <mergeCell ref="E15:E16"/>
    <mergeCell ref="F26:H26"/>
    <mergeCell ref="C17:C18"/>
    <mergeCell ref="D17:D18"/>
    <mergeCell ref="B15:B16"/>
    <mergeCell ref="A17:A18"/>
    <mergeCell ref="E3:E4"/>
    <mergeCell ref="A13:A14"/>
    <mergeCell ref="B13:B14"/>
    <mergeCell ref="C13:C14"/>
    <mergeCell ref="D15:D16"/>
    <mergeCell ref="B5:E5"/>
    <mergeCell ref="A15:A16"/>
    <mergeCell ref="B6:E6"/>
    <mergeCell ref="B17:B18"/>
    <mergeCell ref="C15:C16"/>
    <mergeCell ref="A1:O1"/>
    <mergeCell ref="A2:A4"/>
    <mergeCell ref="B2:B4"/>
    <mergeCell ref="C2:C4"/>
    <mergeCell ref="D2:E2"/>
    <mergeCell ref="D3:D4"/>
    <mergeCell ref="G2:O2"/>
    <mergeCell ref="G3:G4"/>
    <mergeCell ref="A7:A8"/>
  </mergeCells>
  <phoneticPr fontId="0" type="noConversion"/>
  <printOptions horizontalCentered="1"/>
  <pageMargins left="0.15748031496062992" right="0.15748031496062992" top="0" bottom="0.19685039370078741" header="0.15748031496062992" footer="0.15748031496062992"/>
  <pageSetup paperSize="287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Кратк. описание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buh7</cp:lastModifiedBy>
  <cp:lastPrinted>2014-07-21T01:04:49Z</cp:lastPrinted>
  <dcterms:created xsi:type="dcterms:W3CDTF">1996-10-08T23:32:33Z</dcterms:created>
  <dcterms:modified xsi:type="dcterms:W3CDTF">2017-07-14T01:50:03Z</dcterms:modified>
</cp:coreProperties>
</file>