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65" windowWidth="14805" windowHeight="7350" tabRatio="686" activeTab="2"/>
  </bookViews>
  <sheets>
    <sheet name="План кап рем 2017 - 2021 Ж " sheetId="11" r:id="rId1"/>
    <sheet name="План кап рем 2017 - 2021 департ" sheetId="14" r:id="rId2"/>
    <sheet name="1 кварт 2017г. " sheetId="16" r:id="rId3"/>
    <sheet name="2 кварт 2017г. " sheetId="18" r:id="rId4"/>
  </sheets>
  <calcPr calcId="144525" refMode="R1C1"/>
</workbook>
</file>

<file path=xl/calcChain.xml><?xml version="1.0" encoding="utf-8"?>
<calcChain xmlns="http://schemas.openxmlformats.org/spreadsheetml/2006/main">
  <c r="L31" i="18" l="1"/>
  <c r="L25" i="18"/>
  <c r="L26" i="18"/>
  <c r="K35" i="18"/>
  <c r="K32" i="18"/>
  <c r="L30" i="18"/>
  <c r="J32" i="18"/>
  <c r="L29" i="18"/>
  <c r="G32" i="18"/>
  <c r="F32" i="18"/>
  <c r="K27" i="18"/>
  <c r="J27" i="18"/>
  <c r="I27" i="18"/>
  <c r="H27" i="18"/>
  <c r="G27" i="18"/>
  <c r="F27" i="18"/>
  <c r="L24" i="18"/>
  <c r="L19" i="18"/>
  <c r="L20" i="18"/>
  <c r="K21" i="18"/>
  <c r="J21" i="18"/>
  <c r="I21" i="18"/>
  <c r="H21" i="18"/>
  <c r="G21" i="18"/>
  <c r="F21" i="18"/>
  <c r="L13" i="18"/>
  <c r="L14" i="18"/>
  <c r="J38" i="18"/>
  <c r="L37" i="18"/>
  <c r="F35" i="18"/>
  <c r="J34" i="18"/>
  <c r="J35" i="18" s="1"/>
  <c r="I15" i="18"/>
  <c r="H15" i="18"/>
  <c r="F15" i="18"/>
  <c r="K12" i="18"/>
  <c r="K15" i="18" s="1"/>
  <c r="J37" i="16"/>
  <c r="L21" i="18" l="1"/>
  <c r="L32" i="18"/>
  <c r="L15" i="18"/>
  <c r="L27" i="18"/>
  <c r="L35" i="18"/>
  <c r="L34" i="18"/>
  <c r="K38" i="18"/>
  <c r="L38" i="18" s="1"/>
  <c r="J15" i="18"/>
  <c r="K39" i="18"/>
  <c r="L12" i="18"/>
  <c r="L11" i="18"/>
  <c r="L18" i="18"/>
  <c r="J39" i="18" l="1"/>
  <c r="L39" i="18" s="1"/>
  <c r="K36" i="16" l="1"/>
  <c r="L36" i="16" s="1"/>
  <c r="K35" i="16"/>
  <c r="L35" i="16" s="1"/>
  <c r="F31" i="16"/>
  <c r="J30" i="16"/>
  <c r="K30" i="16" s="1"/>
  <c r="L30" i="16" s="1"/>
  <c r="G21" i="16"/>
  <c r="F21" i="16"/>
  <c r="J20" i="16"/>
  <c r="K20" i="16" s="1"/>
  <c r="L20" i="16" s="1"/>
  <c r="I17" i="16"/>
  <c r="H17" i="16"/>
  <c r="G17" i="16"/>
  <c r="F17" i="16"/>
  <c r="K16" i="16"/>
  <c r="J16" i="16"/>
  <c r="K15" i="16"/>
  <c r="J15" i="16"/>
  <c r="K14" i="16"/>
  <c r="J14" i="16"/>
  <c r="K13" i="16"/>
  <c r="J13" i="16"/>
  <c r="J12" i="16"/>
  <c r="K37" i="16" l="1"/>
  <c r="L37" i="16" s="1"/>
  <c r="J17" i="16"/>
  <c r="K21" i="16"/>
  <c r="L14" i="16"/>
  <c r="J21" i="16"/>
  <c r="L13" i="16"/>
  <c r="L15" i="16"/>
  <c r="L16" i="16"/>
  <c r="J31" i="16"/>
  <c r="K12" i="16"/>
  <c r="K31" i="16" l="1"/>
  <c r="L31" i="16" s="1"/>
  <c r="J38" i="16"/>
  <c r="L21" i="16"/>
  <c r="L12" i="16"/>
  <c r="K17" i="16"/>
  <c r="L17" i="16" l="1"/>
  <c r="K38" i="16"/>
  <c r="L38" i="16" s="1"/>
  <c r="P21" i="14" l="1"/>
  <c r="O21" i="14" s="1"/>
  <c r="P20" i="14"/>
  <c r="O20" i="14" s="1"/>
  <c r="P16" i="14"/>
  <c r="O16" i="14" s="1"/>
  <c r="P15" i="14"/>
  <c r="O15" i="14" s="1"/>
  <c r="P13" i="14"/>
  <c r="O13" i="14" s="1"/>
  <c r="P12" i="14"/>
  <c r="P14" i="14" s="1"/>
  <c r="Q14" i="14"/>
  <c r="M21" i="14"/>
  <c r="L21" i="14" s="1"/>
  <c r="M20" i="14"/>
  <c r="L20" i="14" s="1"/>
  <c r="M16" i="14"/>
  <c r="L16" i="14" s="1"/>
  <c r="M15" i="14"/>
  <c r="L15" i="14" s="1"/>
  <c r="M13" i="14"/>
  <c r="L13" i="14" s="1"/>
  <c r="M12" i="14"/>
  <c r="N14" i="14"/>
  <c r="J21" i="14"/>
  <c r="I21" i="14" s="1"/>
  <c r="J20" i="14"/>
  <c r="I20" i="14" s="1"/>
  <c r="J16" i="14"/>
  <c r="I16" i="14" s="1"/>
  <c r="J15" i="14"/>
  <c r="I15" i="14" s="1"/>
  <c r="J13" i="14"/>
  <c r="I13" i="14" s="1"/>
  <c r="J12" i="14"/>
  <c r="J14" i="14" s="1"/>
  <c r="K14" i="14"/>
  <c r="G21" i="14"/>
  <c r="F21" i="14" s="1"/>
  <c r="G20" i="14"/>
  <c r="F20" i="14" s="1"/>
  <c r="F16" i="14"/>
  <c r="G16" i="14"/>
  <c r="F15" i="14"/>
  <c r="G15" i="14"/>
  <c r="F13" i="14"/>
  <c r="F14" i="14" s="1"/>
  <c r="G13" i="14"/>
  <c r="G12" i="14"/>
  <c r="G14" i="14" s="1"/>
  <c r="H14" i="14"/>
  <c r="D21" i="14"/>
  <c r="D20" i="14"/>
  <c r="D17" i="14"/>
  <c r="C16" i="14"/>
  <c r="C15" i="14"/>
  <c r="D15" i="14"/>
  <c r="E14" i="14"/>
  <c r="D13" i="14"/>
  <c r="C13" i="14" s="1"/>
  <c r="C14" i="14" s="1"/>
  <c r="D12" i="14"/>
  <c r="D14" i="14" s="1"/>
  <c r="M14" i="14" l="1"/>
  <c r="I12" i="14"/>
  <c r="I14" i="14" s="1"/>
  <c r="O12" i="14"/>
  <c r="O14" i="14" s="1"/>
  <c r="L12" i="14"/>
  <c r="L14" i="14" s="1"/>
  <c r="O22" i="14"/>
  <c r="L22" i="14"/>
  <c r="I22" i="14"/>
  <c r="F22" i="14"/>
  <c r="C22" i="14"/>
  <c r="S21" i="14"/>
  <c r="R21" i="14"/>
  <c r="T21" i="14"/>
  <c r="K22" i="14"/>
  <c r="E22" i="14"/>
  <c r="T20" i="14"/>
  <c r="R20" i="14"/>
  <c r="P22" i="14"/>
  <c r="N22" i="14"/>
  <c r="M22" i="14"/>
  <c r="J22" i="14"/>
  <c r="H22" i="14"/>
  <c r="G22" i="14"/>
  <c r="D22" i="14"/>
  <c r="D24" i="14" s="1"/>
  <c r="O17" i="14"/>
  <c r="L17" i="14"/>
  <c r="I17" i="14"/>
  <c r="F17" i="14"/>
  <c r="C17" i="14"/>
  <c r="S16" i="14"/>
  <c r="R16" i="14"/>
  <c r="T16" i="14"/>
  <c r="K17" i="14"/>
  <c r="E17" i="14"/>
  <c r="T15" i="14"/>
  <c r="R15" i="14"/>
  <c r="P17" i="14"/>
  <c r="N17" i="14"/>
  <c r="M17" i="14"/>
  <c r="J17" i="14"/>
  <c r="H17" i="14"/>
  <c r="G17" i="14"/>
  <c r="S13" i="14"/>
  <c r="R13" i="14"/>
  <c r="T13" i="14"/>
  <c r="T12" i="14"/>
  <c r="P24" i="14"/>
  <c r="G24" i="14" l="1"/>
  <c r="J24" i="14"/>
  <c r="R17" i="14"/>
  <c r="M24" i="14"/>
  <c r="T22" i="14"/>
  <c r="R12" i="14"/>
  <c r="R14" i="14"/>
  <c r="R22" i="14"/>
  <c r="T17" i="14"/>
  <c r="T14" i="14"/>
  <c r="H24" i="14"/>
  <c r="N24" i="14"/>
  <c r="E24" i="14"/>
  <c r="K24" i="14"/>
  <c r="Q22" i="14"/>
  <c r="Q17" i="14"/>
  <c r="S12" i="14"/>
  <c r="S14" i="14" s="1"/>
  <c r="S15" i="14"/>
  <c r="S17" i="14" s="1"/>
  <c r="S20" i="14"/>
  <c r="S22" i="14" s="1"/>
  <c r="R16" i="11"/>
  <c r="R15" i="11"/>
  <c r="Q24" i="14" l="1"/>
  <c r="T24" i="14"/>
  <c r="S24" i="14"/>
  <c r="R21" i="11"/>
  <c r="R20" i="11"/>
  <c r="R13" i="11"/>
  <c r="R12" i="11"/>
  <c r="O22" i="11"/>
  <c r="L22" i="11"/>
  <c r="I22" i="11"/>
  <c r="F22" i="11"/>
  <c r="C22" i="11"/>
  <c r="Q21" i="11"/>
  <c r="P21" i="11"/>
  <c r="N21" i="11"/>
  <c r="M21" i="11"/>
  <c r="K21" i="11"/>
  <c r="J21" i="11"/>
  <c r="H21" i="11"/>
  <c r="G21" i="11"/>
  <c r="E21" i="11"/>
  <c r="D21" i="11"/>
  <c r="Q20" i="11"/>
  <c r="P20" i="11"/>
  <c r="P22" i="11" s="1"/>
  <c r="N20" i="11"/>
  <c r="N22" i="11" s="1"/>
  <c r="M20" i="11"/>
  <c r="M22" i="11" s="1"/>
  <c r="K20" i="11"/>
  <c r="K22" i="11" s="1"/>
  <c r="J20" i="11"/>
  <c r="J22" i="11" s="1"/>
  <c r="H20" i="11"/>
  <c r="H22" i="11" s="1"/>
  <c r="G20" i="11"/>
  <c r="G22" i="11" s="1"/>
  <c r="E20" i="11"/>
  <c r="E22" i="11" s="1"/>
  <c r="D20" i="11"/>
  <c r="D22" i="11" s="1"/>
  <c r="O17" i="11"/>
  <c r="L17" i="11"/>
  <c r="I17" i="11"/>
  <c r="F17" i="11"/>
  <c r="C17" i="11"/>
  <c r="Q16" i="11"/>
  <c r="P16" i="11"/>
  <c r="N16" i="11"/>
  <c r="M16" i="11"/>
  <c r="K16" i="11"/>
  <c r="J16" i="11"/>
  <c r="H16" i="11"/>
  <c r="G16" i="11"/>
  <c r="E16" i="11"/>
  <c r="D16" i="11"/>
  <c r="Q15" i="11"/>
  <c r="Q17" i="11" s="1"/>
  <c r="P15" i="11"/>
  <c r="N15" i="11"/>
  <c r="M15" i="11"/>
  <c r="M17" i="11" s="1"/>
  <c r="K15" i="11"/>
  <c r="J15" i="11"/>
  <c r="J17" i="11" s="1"/>
  <c r="H15" i="11"/>
  <c r="H17" i="11" s="1"/>
  <c r="G15" i="11"/>
  <c r="G17" i="11" s="1"/>
  <c r="E15" i="11"/>
  <c r="D15" i="11"/>
  <c r="D17" i="11" s="1"/>
  <c r="O14" i="11"/>
  <c r="L14" i="11"/>
  <c r="I14" i="11"/>
  <c r="F14" i="11"/>
  <c r="C14" i="11"/>
  <c r="Q13" i="11"/>
  <c r="P13" i="11"/>
  <c r="N13" i="11"/>
  <c r="M13" i="11"/>
  <c r="K13" i="11"/>
  <c r="J13" i="11"/>
  <c r="H13" i="11"/>
  <c r="G13" i="11"/>
  <c r="E13" i="11"/>
  <c r="D13" i="11"/>
  <c r="Q12" i="11"/>
  <c r="P12" i="11"/>
  <c r="P14" i="11" s="1"/>
  <c r="N12" i="11"/>
  <c r="N14" i="11" s="1"/>
  <c r="M12" i="11"/>
  <c r="M14" i="11" s="1"/>
  <c r="K12" i="11"/>
  <c r="K14" i="11" s="1"/>
  <c r="J12" i="11"/>
  <c r="J14" i="11" s="1"/>
  <c r="H12" i="11"/>
  <c r="H14" i="11" s="1"/>
  <c r="G12" i="11"/>
  <c r="G14" i="11" s="1"/>
  <c r="E12" i="11"/>
  <c r="E14" i="11" s="1"/>
  <c r="D12" i="11"/>
  <c r="D14" i="11" s="1"/>
  <c r="H24" i="11" l="1"/>
  <c r="N17" i="11"/>
  <c r="N24" i="11" s="1"/>
  <c r="K17" i="11"/>
  <c r="K24" i="11" s="1"/>
  <c r="E17" i="11"/>
  <c r="E24" i="11" s="1"/>
  <c r="S16" i="11"/>
  <c r="G24" i="11"/>
  <c r="M24" i="11"/>
  <c r="S13" i="11"/>
  <c r="T16" i="11"/>
  <c r="S21" i="11"/>
  <c r="R14" i="11"/>
  <c r="R17" i="11"/>
  <c r="R22" i="11"/>
  <c r="T12" i="11"/>
  <c r="T13" i="11"/>
  <c r="S15" i="11"/>
  <c r="T20" i="11"/>
  <c r="T21" i="11"/>
  <c r="Q14" i="11"/>
  <c r="P17" i="11"/>
  <c r="P24" i="11" s="1"/>
  <c r="Q22" i="11"/>
  <c r="T15" i="11"/>
  <c r="S20" i="11"/>
  <c r="D24" i="11"/>
  <c r="J24" i="11"/>
  <c r="S12" i="11"/>
  <c r="S14" i="11" s="1"/>
  <c r="S22" i="11" l="1"/>
  <c r="T17" i="11"/>
  <c r="T22" i="11"/>
  <c r="S17" i="11"/>
  <c r="S24" i="11" s="1"/>
  <c r="T14" i="11"/>
  <c r="Q24" i="11"/>
  <c r="T24" i="11" l="1"/>
</calcChain>
</file>

<file path=xl/sharedStrings.xml><?xml version="1.0" encoding="utf-8"?>
<sst xmlns="http://schemas.openxmlformats.org/spreadsheetml/2006/main" count="318" uniqueCount="101">
  <si>
    <t>Наименование работ</t>
  </si>
  <si>
    <t>км.</t>
  </si>
  <si>
    <t>шт.</t>
  </si>
  <si>
    <t xml:space="preserve"> СМР </t>
  </si>
  <si>
    <t xml:space="preserve">                                                                                         1.  Капитальный ремонт ВЛ-10/6 кВ (с установкой опор и подвеской проводов)</t>
  </si>
  <si>
    <t>км</t>
  </si>
  <si>
    <t>оп.</t>
  </si>
  <si>
    <t>ИТОГО:</t>
  </si>
  <si>
    <t xml:space="preserve">                                                                                            2.  Капитальный ремонт ВЛ-0,4 кВ (с установкой опор и подвеской проводов)</t>
  </si>
  <si>
    <t xml:space="preserve">                                                                                                     5.  Капитальный ремонт строительной части ТП и РП  </t>
  </si>
  <si>
    <t>Единицы измерения</t>
  </si>
  <si>
    <t>№ п/п</t>
  </si>
  <si>
    <t>Главный инженер МУП "Уссурийск-Электросеть"</t>
  </si>
  <si>
    <t xml:space="preserve">                                                                    3.  Ремонт КЛ-10/6 кВ (с учётом монтажа соединительных, мачтовых муфт и кабельных заделок)</t>
  </si>
  <si>
    <t xml:space="preserve">                                                                    4.  Ремонт КЛ-0,4 кВ (с учётом монтажа соединительных и мачтовых муфт и кабельных заделок)</t>
  </si>
  <si>
    <t xml:space="preserve">Стоимость                                           ( тыс. руб.) </t>
  </si>
  <si>
    <t>Инвентарный  номер</t>
  </si>
  <si>
    <t xml:space="preserve">                                                                                                                               ИТОГО:</t>
  </si>
  <si>
    <t xml:space="preserve">                                                                                                                               ВСЕГО:</t>
  </si>
  <si>
    <t>6. Работы в ТП по установке оборудования, монтажу ТП (КТП)</t>
  </si>
  <si>
    <t>"____"________________  2016 г.</t>
  </si>
  <si>
    <t>Исполнлнил начальник  ПТО                                           Байдюк А.И.</t>
  </si>
  <si>
    <t xml:space="preserve">ТП № 1 опора б/н  -  ТП № 40 </t>
  </si>
  <si>
    <t>ТП № 61 -   опора б/н  (КТП № 63)</t>
  </si>
  <si>
    <t>ТП № 109 - опора б/н (отпайка ЛЭП КТП № 63 - КТП № 61)</t>
  </si>
  <si>
    <t xml:space="preserve">ТП № 61   -  ТП № 24 </t>
  </si>
  <si>
    <t xml:space="preserve">ТП № 229 опора б/н   - ТП № 30 </t>
  </si>
  <si>
    <t>ТП № 272 опора  - ТП № 187</t>
  </si>
  <si>
    <t>ТП № 92 опора № 1 - опора № 8 (ВЛ РП № 3 - ТП № 273)</t>
  </si>
  <si>
    <t>ТП № 92 опора № 1 - опора № 12 (ВЛ  ТП № 135)</t>
  </si>
  <si>
    <t xml:space="preserve">КТП № 61, ТП № 24 - быт ул Волочаевская, ул Крестьянская, ул Кузнечная, ул Калугина, ул Тюхменева </t>
  </si>
  <si>
    <t>ТП № 88 быт ул Некрасова, здание травмотологии</t>
  </si>
  <si>
    <t>ТП № 232 -  быт ул Крестьянская</t>
  </si>
  <si>
    <t xml:space="preserve">ТП № 111 - быт пер.Ярославский, ул. Агеева, ул. Горького, ул Тимирязева  </t>
  </si>
  <si>
    <t xml:space="preserve">Капитальный ремонт </t>
  </si>
  <si>
    <r>
      <rPr>
        <b/>
        <sz val="14"/>
        <rFont val="Times New Roman"/>
        <family val="1"/>
        <charset val="204"/>
      </rPr>
      <t xml:space="preserve">ВЛ-10/6 кВ </t>
    </r>
    <r>
      <rPr>
        <sz val="14"/>
        <rFont val="Times New Roman"/>
        <family val="1"/>
        <charset val="204"/>
      </rPr>
      <t>(с установкой опор и подвеской проводов)</t>
    </r>
  </si>
  <si>
    <r>
      <rPr>
        <b/>
        <sz val="14"/>
        <rFont val="Times New Roman"/>
        <family val="1"/>
        <charset val="204"/>
      </rPr>
      <t>ВЛ-0,4 кВ</t>
    </r>
    <r>
      <rPr>
        <sz val="14"/>
        <rFont val="Times New Roman"/>
        <family val="1"/>
        <charset val="204"/>
      </rPr>
      <t xml:space="preserve"> (с установкой опор и подвеской проводов)</t>
    </r>
  </si>
  <si>
    <r>
      <rPr>
        <b/>
        <sz val="14"/>
        <rFont val="Times New Roman"/>
        <family val="1"/>
        <charset val="204"/>
      </rPr>
      <t xml:space="preserve">КЛ-10/6 кВ </t>
    </r>
    <r>
      <rPr>
        <sz val="14"/>
        <rFont val="Times New Roman"/>
        <family val="1"/>
        <charset val="204"/>
      </rPr>
      <t>(с учётом монтажа соединительных, мачтовых муфт и кабельных заделок)</t>
    </r>
  </si>
  <si>
    <t>2017 год</t>
  </si>
  <si>
    <t xml:space="preserve">Кол -во </t>
  </si>
  <si>
    <t xml:space="preserve">в т.ч. материалы </t>
  </si>
  <si>
    <t>2018 год</t>
  </si>
  <si>
    <t>2019 год</t>
  </si>
  <si>
    <t>2020 год</t>
  </si>
  <si>
    <t>2021 год</t>
  </si>
  <si>
    <t>Итого:</t>
  </si>
  <si>
    <r>
      <rPr>
        <b/>
        <sz val="14"/>
        <rFont val="Times New Roman"/>
        <family val="1"/>
        <charset val="204"/>
      </rPr>
      <t xml:space="preserve">КЛ-0,4 кВ </t>
    </r>
    <r>
      <rPr>
        <sz val="14"/>
        <rFont val="Times New Roman"/>
        <family val="1"/>
        <charset val="204"/>
      </rPr>
      <t>(с учётом монтажа соединительных, мачтовых муфт и кабельных заделок)</t>
    </r>
  </si>
  <si>
    <t>Утверждаю:</t>
  </si>
  <si>
    <t>Согласовано:</t>
  </si>
  <si>
    <t>Директор  МУП "Уссурийск-Электросеть"</t>
  </si>
  <si>
    <t xml:space="preserve">___________________  А.В. Кравченко         </t>
  </si>
  <si>
    <t xml:space="preserve">  на период с 2017 года по 2021 год включительно</t>
  </si>
  <si>
    <t>ТП, шт.</t>
  </si>
  <si>
    <t xml:space="preserve">                                             ДОЛГОСРОЧНЫЙ ПЛАН </t>
  </si>
  <si>
    <r>
      <t>Итого</t>
    </r>
    <r>
      <rPr>
        <b/>
        <sz val="14"/>
        <rFont val="Times New Roman"/>
        <family val="1"/>
        <charset val="204"/>
      </rPr>
      <t>:</t>
    </r>
  </si>
  <si>
    <t xml:space="preserve">Вид                         Ремонта </t>
  </si>
  <si>
    <r>
      <t>Стоимость  с учётом К</t>
    </r>
    <r>
      <rPr>
        <sz val="8"/>
        <rFont val="Times New Roman"/>
        <family val="1"/>
        <charset val="204"/>
      </rPr>
      <t xml:space="preserve">дефлятор - </t>
    </r>
    <r>
      <rPr>
        <b/>
        <sz val="8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4,4%                                        ( тыс. руб.) </t>
    </r>
  </si>
  <si>
    <r>
      <t>Стоимость  с учётом К</t>
    </r>
    <r>
      <rPr>
        <sz val="8"/>
        <rFont val="Times New Roman"/>
        <family val="1"/>
        <charset val="204"/>
      </rPr>
      <t xml:space="preserve">дефлятор - </t>
    </r>
    <r>
      <rPr>
        <b/>
        <sz val="12"/>
        <rFont val="Times New Roman"/>
        <family val="1"/>
        <charset val="204"/>
      </rPr>
      <t xml:space="preserve">3,65%                                        ( тыс. руб.) </t>
    </r>
  </si>
  <si>
    <r>
      <rPr>
        <b/>
        <sz val="14"/>
        <rFont val="Times New Roman"/>
        <family val="1"/>
        <charset val="204"/>
      </rPr>
      <t xml:space="preserve">Ремонт </t>
    </r>
    <r>
      <rPr>
        <sz val="14"/>
        <rFont val="Times New Roman"/>
        <family val="1"/>
        <charset val="204"/>
      </rPr>
      <t>с</t>
    </r>
    <r>
      <rPr>
        <b/>
        <sz val="14"/>
        <rFont val="Times New Roman"/>
        <family val="1"/>
        <charset val="204"/>
      </rPr>
      <t>троительной части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ТП и РП</t>
    </r>
    <r>
      <rPr>
        <sz val="14"/>
        <rFont val="Times New Roman"/>
        <family val="1"/>
        <charset val="204"/>
      </rPr>
      <t xml:space="preserve"> (стены, полы, отмостка, кровля, двери,вентиляция)</t>
    </r>
  </si>
  <si>
    <r>
      <rPr>
        <b/>
        <sz val="14"/>
        <rFont val="Times New Roman"/>
        <family val="1"/>
        <charset val="204"/>
      </rPr>
      <t>Работы в ТП по замене и ремонту  оборудования</t>
    </r>
    <r>
      <rPr>
        <sz val="14"/>
        <rFont val="Times New Roman"/>
        <family val="1"/>
        <charset val="204"/>
      </rPr>
      <t>, монтажу ТП (КТП)</t>
    </r>
  </si>
  <si>
    <t>II. Трансформаторные подстанции и оборудование</t>
  </si>
  <si>
    <t>I. Линии электропередачи 10/6/0,4 кВ</t>
  </si>
  <si>
    <t>Итого по I + II:</t>
  </si>
  <si>
    <r>
      <t xml:space="preserve">Стоимость  </t>
    </r>
    <r>
      <rPr>
        <b/>
        <sz val="12"/>
        <rFont val="Times New Roman"/>
        <family val="1"/>
        <charset val="204"/>
      </rPr>
      <t xml:space="preserve">                                ( тыс. руб.) </t>
    </r>
  </si>
  <si>
    <t>ВСЕГО за 2017-2021гг:</t>
  </si>
  <si>
    <t>Исполнил начальник ПТО</t>
  </si>
  <si>
    <t>А.И.Байдюк</t>
  </si>
  <si>
    <t xml:space="preserve">         "_____"__________________2016 г.</t>
  </si>
  <si>
    <t>__________________________А.В. Голубков</t>
  </si>
  <si>
    <t>капитального ремонта на объектах электроснабжения МУП "Уссурийск-Электросеть"</t>
  </si>
  <si>
    <t>ТП № 314 - ТП № 320 - ТП № 316</t>
  </si>
  <si>
    <t xml:space="preserve">ТП № 314 - ж/д Промышленная 12             ( 2КЛ по 260м ) </t>
  </si>
  <si>
    <t xml:space="preserve">ТП № 320 – ж/д ул. Промышленная, 7        ( 2КЛ по 100м ) </t>
  </si>
  <si>
    <t xml:space="preserve">                                  Планируемый объём работ                           </t>
  </si>
  <si>
    <t xml:space="preserve">  с 2017 года по 2021 год включительно</t>
  </si>
  <si>
    <t xml:space="preserve">капитального ремонта объектов электроснабжения МУП "Уссурийск-Электросеть"  на средства утвержденные Департаментом по передачи эл. энергии </t>
  </si>
  <si>
    <t>ТП №265 - ж/дом ул. Комсомольская,14             ( 2КЛ по 150м )</t>
  </si>
  <si>
    <t>Ф-7   ПС "УМЗ" - ТП № 120                                               ( 2КЛ по 600м )</t>
  </si>
  <si>
    <t>п/ст УМЗ - опора № 1 (ВЛ к ТП № 412)                              ( 2КЛ по 220м )</t>
  </si>
  <si>
    <r>
      <t>Замена коммутационной аппаратуры на ВНА, ВНР  в ТП №</t>
    </r>
    <r>
      <rPr>
        <b/>
        <sz val="14"/>
        <rFont val="Times New Roman"/>
        <family val="1"/>
        <charset val="204"/>
      </rPr>
      <t>179</t>
    </r>
    <r>
      <rPr>
        <sz val="14"/>
        <rFont val="Times New Roman"/>
        <family val="1"/>
        <charset val="204"/>
      </rPr>
      <t xml:space="preserve"> (тр-1), </t>
    </r>
    <r>
      <rPr>
        <b/>
        <sz val="14"/>
        <rFont val="Times New Roman"/>
        <family val="1"/>
        <charset val="204"/>
      </rPr>
      <t>310</t>
    </r>
    <r>
      <rPr>
        <sz val="14"/>
        <rFont val="Times New Roman"/>
        <family val="1"/>
        <charset val="204"/>
      </rPr>
      <t xml:space="preserve"> (тр-1), </t>
    </r>
    <r>
      <rPr>
        <b/>
        <sz val="14"/>
        <rFont val="Times New Roman"/>
        <family val="1"/>
        <charset val="204"/>
      </rPr>
      <t>97</t>
    </r>
    <r>
      <rPr>
        <sz val="14"/>
        <rFont val="Times New Roman"/>
        <family val="1"/>
        <charset val="204"/>
      </rPr>
      <t xml:space="preserve"> (тр-1,2), </t>
    </r>
    <r>
      <rPr>
        <b/>
        <sz val="14"/>
        <rFont val="Times New Roman"/>
        <family val="1"/>
        <charset val="204"/>
      </rPr>
      <t>188</t>
    </r>
    <r>
      <rPr>
        <sz val="14"/>
        <rFont val="Times New Roman"/>
        <family val="1"/>
        <charset val="204"/>
      </rPr>
      <t xml:space="preserve"> (тр-1,2), </t>
    </r>
    <r>
      <rPr>
        <b/>
        <sz val="14"/>
        <rFont val="Times New Roman"/>
        <family val="1"/>
        <charset val="204"/>
      </rPr>
      <t>601</t>
    </r>
    <r>
      <rPr>
        <sz val="14"/>
        <rFont val="Times New Roman"/>
        <family val="1"/>
        <charset val="204"/>
      </rPr>
      <t xml:space="preserve"> (тр-1,2), </t>
    </r>
    <r>
      <rPr>
        <b/>
        <sz val="14"/>
        <rFont val="Times New Roman"/>
        <family val="1"/>
        <charset val="204"/>
      </rPr>
      <t>232</t>
    </r>
    <r>
      <rPr>
        <sz val="14"/>
        <rFont val="Times New Roman"/>
        <family val="1"/>
        <charset val="204"/>
      </rPr>
      <t xml:space="preserve"> (тр-1,2), </t>
    </r>
    <r>
      <rPr>
        <b/>
        <sz val="14"/>
        <rFont val="Times New Roman"/>
        <family val="1"/>
        <charset val="204"/>
      </rPr>
      <t>98</t>
    </r>
    <r>
      <rPr>
        <sz val="14"/>
        <rFont val="Times New Roman"/>
        <family val="1"/>
        <charset val="204"/>
      </rPr>
      <t xml:space="preserve"> (тр-1,2), </t>
    </r>
    <r>
      <rPr>
        <b/>
        <sz val="14"/>
        <rFont val="Times New Roman"/>
        <family val="1"/>
        <charset val="204"/>
      </rPr>
      <t>96</t>
    </r>
    <r>
      <rPr>
        <sz val="14"/>
        <rFont val="Times New Roman"/>
        <family val="1"/>
        <charset val="204"/>
      </rPr>
      <t xml:space="preserve"> (тр-1,2)     всего - 14 шт.   </t>
    </r>
  </si>
  <si>
    <t>бесхоз.</t>
  </si>
  <si>
    <t>за 1 квартал  2017 года</t>
  </si>
  <si>
    <t>факт</t>
  </si>
  <si>
    <t>Выполнение, %</t>
  </si>
  <si>
    <t>Примечание</t>
  </si>
  <si>
    <t>ИТОГО за 1 квартал:</t>
  </si>
  <si>
    <t>факт 1 квартал</t>
  </si>
  <si>
    <t xml:space="preserve">план </t>
  </si>
  <si>
    <t>план  1 квартал</t>
  </si>
  <si>
    <t>Ремонты  КЛ-10/6 кВ в 1 квартале не планировались</t>
  </si>
  <si>
    <t>Установка новой  2БКТП-2*630 (1000) кВА  в замен ТП-272 /подготовительные работы/</t>
  </si>
  <si>
    <t>Ремонт дверей  ТП (РП) №270,615, 614,32</t>
  </si>
  <si>
    <r>
      <t>Установка автоматического выключателя (на ток 1000А, 1600А, 2000А, 2500А)  - ТП</t>
    </r>
    <r>
      <rPr>
        <b/>
        <sz val="14"/>
        <rFont val="Times New Roman"/>
        <family val="1"/>
        <charset val="204"/>
      </rPr>
      <t>265</t>
    </r>
    <r>
      <rPr>
        <sz val="14"/>
        <rFont val="Times New Roman"/>
        <family val="1"/>
        <charset val="204"/>
      </rPr>
      <t xml:space="preserve"> (тр-1), </t>
    </r>
    <r>
      <rPr>
        <b/>
        <sz val="14"/>
        <rFont val="Times New Roman"/>
        <family val="1"/>
        <charset val="204"/>
      </rPr>
      <t>270</t>
    </r>
    <r>
      <rPr>
        <sz val="14"/>
        <rFont val="Times New Roman"/>
        <family val="1"/>
        <charset val="204"/>
      </rPr>
      <t xml:space="preserve"> (тр-1), </t>
    </r>
    <r>
      <rPr>
        <b/>
        <sz val="14"/>
        <rFont val="Times New Roman"/>
        <family val="1"/>
        <charset val="204"/>
      </rPr>
      <t>96</t>
    </r>
    <r>
      <rPr>
        <sz val="14"/>
        <rFont val="Times New Roman"/>
        <family val="1"/>
        <charset val="204"/>
      </rPr>
      <t xml:space="preserve"> (тр-1,2),  </t>
    </r>
    <r>
      <rPr>
        <b/>
        <sz val="14"/>
        <rFont val="Times New Roman"/>
        <family val="1"/>
        <charset val="204"/>
      </rPr>
      <t>472</t>
    </r>
    <r>
      <rPr>
        <sz val="14"/>
        <rFont val="Times New Roman"/>
        <family val="1"/>
        <charset val="204"/>
      </rPr>
      <t xml:space="preserve"> (тр-1,2), </t>
    </r>
    <r>
      <rPr>
        <b/>
        <sz val="14"/>
        <rFont val="Times New Roman"/>
        <family val="1"/>
        <charset val="204"/>
      </rPr>
      <t>423</t>
    </r>
    <r>
      <rPr>
        <sz val="14"/>
        <rFont val="Times New Roman"/>
        <family val="1"/>
        <charset val="204"/>
      </rPr>
      <t xml:space="preserve">(тр-1,2), </t>
    </r>
    <r>
      <rPr>
        <b/>
        <sz val="14"/>
        <rFont val="Times New Roman"/>
        <family val="1"/>
        <charset val="204"/>
      </rPr>
      <t xml:space="preserve">424 </t>
    </r>
    <r>
      <rPr>
        <sz val="14"/>
        <rFont val="Times New Roman"/>
        <family val="1"/>
        <charset val="204"/>
      </rPr>
      <t xml:space="preserve">(тр-1,2), </t>
    </r>
    <r>
      <rPr>
        <b/>
        <sz val="14"/>
        <rFont val="Times New Roman"/>
        <family val="1"/>
        <charset val="204"/>
      </rPr>
      <t xml:space="preserve">422 </t>
    </r>
    <r>
      <rPr>
        <sz val="14"/>
        <rFont val="Times New Roman"/>
        <family val="1"/>
        <charset val="204"/>
      </rPr>
      <t xml:space="preserve">(тр-1,2), </t>
    </r>
    <r>
      <rPr>
        <b/>
        <sz val="14"/>
        <rFont val="Times New Roman"/>
        <family val="1"/>
        <charset val="204"/>
      </rPr>
      <t>753</t>
    </r>
    <r>
      <rPr>
        <sz val="14"/>
        <rFont val="Times New Roman"/>
        <family val="1"/>
        <charset val="204"/>
      </rPr>
      <t xml:space="preserve">(тр-1,2), </t>
    </r>
    <r>
      <rPr>
        <b/>
        <sz val="14"/>
        <rFont val="Times New Roman"/>
        <family val="1"/>
        <charset val="204"/>
      </rPr>
      <t>750</t>
    </r>
    <r>
      <rPr>
        <sz val="14"/>
        <rFont val="Times New Roman"/>
        <family val="1"/>
        <charset val="204"/>
      </rPr>
      <t xml:space="preserve"> (тр-1,2)  всего - 16шт</t>
    </r>
  </si>
  <si>
    <t>ОТЧЁТ</t>
  </si>
  <si>
    <t xml:space="preserve">по выполнению плана капитального ремонта на объектах электроснабжения МУП "Уссурийск-Электросеть"  </t>
  </si>
  <si>
    <t>за 2 квартал  2017 года</t>
  </si>
  <si>
    <t>план  2 квартал</t>
  </si>
  <si>
    <t>факт 2 квартал</t>
  </si>
  <si>
    <t>шт</t>
  </si>
  <si>
    <t>Ремонт дверей  ТП (РП) №272, 193, 732, 310</t>
  </si>
  <si>
    <t>Установка автоматического выключателя (на ток 1000А, 1600А, 2000А, 2500А)  - ТП400(тр-р-1), 410 (тр-р1)  всего - 4шт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</si>
</sst>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i/>
      <sz val="13"/>
      <name val="Calibri"/>
      <family val="2"/>
      <scheme val="minor"/>
    </font>
    <font>
      <sz val="11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rgb="FFF3FDF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6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3" fillId="0" borderId="0" xfId="0" applyFont="1" applyFill="1"/>
    <xf numFmtId="2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0" xfId="0" applyFont="1"/>
    <xf numFmtId="1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15" fillId="3" borderId="1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164" fontId="15" fillId="3" borderId="8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vertical="center"/>
    </xf>
    <xf numFmtId="1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5" fillId="0" borderId="9" xfId="0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49" fontId="23" fillId="0" borderId="0" xfId="0" applyNumberFormat="1" applyFont="1" applyAlignment="1">
      <alignment wrapText="1"/>
    </xf>
    <xf numFmtId="0" fontId="23" fillId="0" borderId="0" xfId="0" applyFont="1"/>
    <xf numFmtId="0" fontId="14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3" fillId="0" borderId="0" xfId="0" applyFont="1"/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vertical="center"/>
    </xf>
    <xf numFmtId="0" fontId="25" fillId="0" borderId="0" xfId="0" applyFont="1" applyFill="1"/>
    <xf numFmtId="0" fontId="26" fillId="0" borderId="0" xfId="0" applyFont="1" applyFill="1"/>
    <xf numFmtId="0" fontId="2" fillId="0" borderId="8" xfId="0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justify" wrapText="1"/>
    </xf>
    <xf numFmtId="0" fontId="2" fillId="0" borderId="3" xfId="0" applyFont="1" applyFill="1" applyBorder="1" applyAlignment="1">
      <alignment vertical="justify"/>
    </xf>
    <xf numFmtId="0" fontId="2" fillId="0" borderId="2" xfId="0" applyFont="1" applyFill="1" applyBorder="1" applyAlignment="1">
      <alignment vertical="distributed" wrapText="1"/>
    </xf>
    <xf numFmtId="0" fontId="2" fillId="0" borderId="2" xfId="0" applyFont="1" applyFill="1" applyBorder="1" applyAlignment="1">
      <alignment vertical="justify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/>
    <xf numFmtId="0" fontId="4" fillId="6" borderId="13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2" fontId="15" fillId="6" borderId="24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vertical="center" wrapText="1"/>
    </xf>
    <xf numFmtId="1" fontId="15" fillId="0" borderId="18" xfId="0" applyNumberFormat="1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 textRotation="90" wrapText="1"/>
    </xf>
    <xf numFmtId="1" fontId="2" fillId="0" borderId="17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15" fillId="6" borderId="17" xfId="0" applyNumberFormat="1" applyFont="1" applyFill="1" applyBorder="1" applyAlignment="1">
      <alignment horizontal="right" vertical="center" wrapText="1"/>
    </xf>
    <xf numFmtId="4" fontId="4" fillId="5" borderId="20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 wrapText="1"/>
    </xf>
    <xf numFmtId="4" fontId="15" fillId="6" borderId="25" xfId="0" applyNumberFormat="1" applyFont="1" applyFill="1" applyBorder="1" applyAlignment="1">
      <alignment horizontal="center" vertical="center" wrapText="1"/>
    </xf>
    <xf numFmtId="4" fontId="15" fillId="6" borderId="24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1" xfId="0" applyBorder="1"/>
    <xf numFmtId="4" fontId="1" fillId="0" borderId="24" xfId="0" applyNumberFormat="1" applyFont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4" fillId="6" borderId="24" xfId="0" applyNumberFormat="1" applyFont="1" applyFill="1" applyBorder="1" applyAlignment="1">
      <alignment horizontal="center" vertical="center"/>
    </xf>
    <xf numFmtId="4" fontId="24" fillId="6" borderId="1" xfId="0" applyNumberFormat="1" applyFont="1" applyFill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24" fillId="6" borderId="2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24" fillId="6" borderId="2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25" xfId="0" applyBorder="1"/>
    <xf numFmtId="0" fontId="0" fillId="0" borderId="0" xfId="0" applyBorder="1"/>
    <xf numFmtId="0" fontId="3" fillId="0" borderId="0" xfId="0" applyFont="1" applyBorder="1"/>
    <xf numFmtId="0" fontId="2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9" xfId="0" applyBorder="1"/>
    <xf numFmtId="4" fontId="20" fillId="5" borderId="20" xfId="0" applyNumberFormat="1" applyFont="1" applyFill="1" applyBorder="1" applyAlignment="1">
      <alignment horizontal="center" vertical="center"/>
    </xf>
    <xf numFmtId="4" fontId="20" fillId="5" borderId="2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2" fillId="0" borderId="17" xfId="0" applyNumberFormat="1" applyFont="1" applyFill="1" applyBorder="1" applyAlignment="1">
      <alignment vertical="center"/>
    </xf>
    <xf numFmtId="3" fontId="15" fillId="6" borderId="17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justify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24" fillId="6" borderId="1" xfId="0" applyNumberFormat="1" applyFont="1" applyFill="1" applyBorder="1" applyAlignment="1">
      <alignment vertical="center"/>
    </xf>
    <xf numFmtId="4" fontId="24" fillId="6" borderId="25" xfId="0" applyNumberFormat="1" applyFont="1" applyFill="1" applyBorder="1" applyAlignment="1">
      <alignment vertical="center"/>
    </xf>
    <xf numFmtId="4" fontId="24" fillId="6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horizontal="center" vertical="top" wrapText="1"/>
    </xf>
    <xf numFmtId="2" fontId="32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top"/>
    </xf>
    <xf numFmtId="1" fontId="4" fillId="3" borderId="8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1" fontId="4" fillId="3" borderId="8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" fontId="15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justify" wrapText="1"/>
    </xf>
    <xf numFmtId="0" fontId="15" fillId="4" borderId="6" xfId="0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 wrapText="1"/>
    </xf>
    <xf numFmtId="2" fontId="15" fillId="4" borderId="6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5" borderId="33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 textRotation="90" wrapText="1"/>
    </xf>
    <xf numFmtId="1" fontId="4" fillId="0" borderId="30" xfId="0" applyNumberFormat="1" applyFont="1" applyFill="1" applyBorder="1" applyAlignment="1">
      <alignment horizontal="center" vertical="center" textRotation="90" wrapText="1"/>
    </xf>
    <xf numFmtId="1" fontId="4" fillId="0" borderId="2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FDF1"/>
      <color rgb="FFE5F4D4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topLeftCell="A10" zoomScale="75" zoomScaleNormal="75" zoomScaleSheetLayoutView="75" zoomScalePageLayoutView="75" workbookViewId="0">
      <selection activeCell="E4" sqref="E4"/>
    </sheetView>
  </sheetViews>
  <sheetFormatPr defaultRowHeight="16.5" x14ac:dyDescent="0.25"/>
  <cols>
    <col min="1" max="1" width="6.42578125" style="86" customWidth="1"/>
    <col min="2" max="2" width="33.140625" style="91" customWidth="1"/>
    <col min="3" max="3" width="9.42578125" style="89" customWidth="1"/>
    <col min="4" max="5" width="13.7109375" style="83" customWidth="1"/>
    <col min="6" max="6" width="9.85546875" style="89" customWidth="1"/>
    <col min="7" max="8" width="12.5703125" style="83" customWidth="1"/>
    <col min="9" max="9" width="9.140625" style="89" customWidth="1"/>
    <col min="10" max="10" width="12.42578125" style="83" customWidth="1"/>
    <col min="11" max="11" width="13.140625" style="83" customWidth="1"/>
    <col min="12" max="12" width="9.42578125" style="89" customWidth="1"/>
    <col min="13" max="14" width="12.5703125" style="83" customWidth="1"/>
    <col min="15" max="15" width="10" style="89" customWidth="1"/>
    <col min="16" max="16" width="13.7109375" style="83" customWidth="1"/>
    <col min="17" max="17" width="12.5703125" style="83" customWidth="1"/>
    <col min="18" max="18" width="11.42578125" style="79" customWidth="1"/>
    <col min="19" max="19" width="13.42578125" bestFit="1" customWidth="1"/>
    <col min="20" max="20" width="13.28515625" bestFit="1" customWidth="1"/>
    <col min="21" max="21" width="8.140625" style="176" customWidth="1"/>
    <col min="22" max="22" width="8.85546875" style="176"/>
    <col min="23" max="24" width="11.85546875" style="176" customWidth="1"/>
    <col min="25" max="25" width="8.85546875" style="176"/>
    <col min="143" max="143" width="3.5703125" customWidth="1"/>
    <col min="144" max="144" width="57.7109375" customWidth="1"/>
    <col min="145" max="145" width="3.7109375" customWidth="1"/>
    <col min="146" max="146" width="4" customWidth="1"/>
    <col min="147" max="147" width="6.7109375" customWidth="1"/>
    <col min="148" max="148" width="6.42578125" customWidth="1"/>
    <col min="149" max="151" width="9.5703125" customWidth="1"/>
    <col min="152" max="152" width="10.7109375" customWidth="1"/>
    <col min="153" max="153" width="9" customWidth="1"/>
    <col min="154" max="154" width="11.5703125" customWidth="1"/>
    <col min="399" max="399" width="3.5703125" customWidth="1"/>
    <col min="400" max="400" width="57.7109375" customWidth="1"/>
    <col min="401" max="401" width="3.7109375" customWidth="1"/>
    <col min="402" max="402" width="4" customWidth="1"/>
    <col min="403" max="403" width="6.7109375" customWidth="1"/>
    <col min="404" max="404" width="6.42578125" customWidth="1"/>
    <col min="405" max="407" width="9.5703125" customWidth="1"/>
    <col min="408" max="408" width="10.7109375" customWidth="1"/>
    <col min="409" max="409" width="9" customWidth="1"/>
    <col min="410" max="410" width="11.5703125" customWidth="1"/>
    <col min="655" max="655" width="3.5703125" customWidth="1"/>
    <col min="656" max="656" width="57.7109375" customWidth="1"/>
    <col min="657" max="657" width="3.7109375" customWidth="1"/>
    <col min="658" max="658" width="4" customWidth="1"/>
    <col min="659" max="659" width="6.7109375" customWidth="1"/>
    <col min="660" max="660" width="6.42578125" customWidth="1"/>
    <col min="661" max="663" width="9.5703125" customWidth="1"/>
    <col min="664" max="664" width="10.7109375" customWidth="1"/>
    <col min="665" max="665" width="9" customWidth="1"/>
    <col min="666" max="666" width="11.5703125" customWidth="1"/>
    <col min="911" max="911" width="3.5703125" customWidth="1"/>
    <col min="912" max="912" width="57.7109375" customWidth="1"/>
    <col min="913" max="913" width="3.7109375" customWidth="1"/>
    <col min="914" max="914" width="4" customWidth="1"/>
    <col min="915" max="915" width="6.7109375" customWidth="1"/>
    <col min="916" max="916" width="6.42578125" customWidth="1"/>
    <col min="917" max="919" width="9.5703125" customWidth="1"/>
    <col min="920" max="920" width="10.7109375" customWidth="1"/>
    <col min="921" max="921" width="9" customWidth="1"/>
    <col min="922" max="922" width="11.5703125" customWidth="1"/>
    <col min="1167" max="1167" width="3.5703125" customWidth="1"/>
    <col min="1168" max="1168" width="57.7109375" customWidth="1"/>
    <col min="1169" max="1169" width="3.7109375" customWidth="1"/>
    <col min="1170" max="1170" width="4" customWidth="1"/>
    <col min="1171" max="1171" width="6.7109375" customWidth="1"/>
    <col min="1172" max="1172" width="6.42578125" customWidth="1"/>
    <col min="1173" max="1175" width="9.5703125" customWidth="1"/>
    <col min="1176" max="1176" width="10.7109375" customWidth="1"/>
    <col min="1177" max="1177" width="9" customWidth="1"/>
    <col min="1178" max="1178" width="11.5703125" customWidth="1"/>
    <col min="1423" max="1423" width="3.5703125" customWidth="1"/>
    <col min="1424" max="1424" width="57.7109375" customWidth="1"/>
    <col min="1425" max="1425" width="3.7109375" customWidth="1"/>
    <col min="1426" max="1426" width="4" customWidth="1"/>
    <col min="1427" max="1427" width="6.7109375" customWidth="1"/>
    <col min="1428" max="1428" width="6.42578125" customWidth="1"/>
    <col min="1429" max="1431" width="9.5703125" customWidth="1"/>
    <col min="1432" max="1432" width="10.7109375" customWidth="1"/>
    <col min="1433" max="1433" width="9" customWidth="1"/>
    <col min="1434" max="1434" width="11.5703125" customWidth="1"/>
    <col min="1679" max="1679" width="3.5703125" customWidth="1"/>
    <col min="1680" max="1680" width="57.7109375" customWidth="1"/>
    <col min="1681" max="1681" width="3.7109375" customWidth="1"/>
    <col min="1682" max="1682" width="4" customWidth="1"/>
    <col min="1683" max="1683" width="6.7109375" customWidth="1"/>
    <col min="1684" max="1684" width="6.42578125" customWidth="1"/>
    <col min="1685" max="1687" width="9.5703125" customWidth="1"/>
    <col min="1688" max="1688" width="10.7109375" customWidth="1"/>
    <col min="1689" max="1689" width="9" customWidth="1"/>
    <col min="1690" max="1690" width="11.5703125" customWidth="1"/>
    <col min="1935" max="1935" width="3.5703125" customWidth="1"/>
    <col min="1936" max="1936" width="57.7109375" customWidth="1"/>
    <col min="1937" max="1937" width="3.7109375" customWidth="1"/>
    <col min="1938" max="1938" width="4" customWidth="1"/>
    <col min="1939" max="1939" width="6.7109375" customWidth="1"/>
    <col min="1940" max="1940" width="6.42578125" customWidth="1"/>
    <col min="1941" max="1943" width="9.5703125" customWidth="1"/>
    <col min="1944" max="1944" width="10.7109375" customWidth="1"/>
    <col min="1945" max="1945" width="9" customWidth="1"/>
    <col min="1946" max="1946" width="11.5703125" customWidth="1"/>
    <col min="2191" max="2191" width="3.5703125" customWidth="1"/>
    <col min="2192" max="2192" width="57.7109375" customWidth="1"/>
    <col min="2193" max="2193" width="3.7109375" customWidth="1"/>
    <col min="2194" max="2194" width="4" customWidth="1"/>
    <col min="2195" max="2195" width="6.7109375" customWidth="1"/>
    <col min="2196" max="2196" width="6.42578125" customWidth="1"/>
    <col min="2197" max="2199" width="9.5703125" customWidth="1"/>
    <col min="2200" max="2200" width="10.7109375" customWidth="1"/>
    <col min="2201" max="2201" width="9" customWidth="1"/>
    <col min="2202" max="2202" width="11.5703125" customWidth="1"/>
    <col min="2447" max="2447" width="3.5703125" customWidth="1"/>
    <col min="2448" max="2448" width="57.7109375" customWidth="1"/>
    <col min="2449" max="2449" width="3.7109375" customWidth="1"/>
    <col min="2450" max="2450" width="4" customWidth="1"/>
    <col min="2451" max="2451" width="6.7109375" customWidth="1"/>
    <col min="2452" max="2452" width="6.42578125" customWidth="1"/>
    <col min="2453" max="2455" width="9.5703125" customWidth="1"/>
    <col min="2456" max="2456" width="10.7109375" customWidth="1"/>
    <col min="2457" max="2457" width="9" customWidth="1"/>
    <col min="2458" max="2458" width="11.5703125" customWidth="1"/>
    <col min="2703" max="2703" width="3.5703125" customWidth="1"/>
    <col min="2704" max="2704" width="57.7109375" customWidth="1"/>
    <col min="2705" max="2705" width="3.7109375" customWidth="1"/>
    <col min="2706" max="2706" width="4" customWidth="1"/>
    <col min="2707" max="2707" width="6.7109375" customWidth="1"/>
    <col min="2708" max="2708" width="6.42578125" customWidth="1"/>
    <col min="2709" max="2711" width="9.5703125" customWidth="1"/>
    <col min="2712" max="2712" width="10.7109375" customWidth="1"/>
    <col min="2713" max="2713" width="9" customWidth="1"/>
    <col min="2714" max="2714" width="11.5703125" customWidth="1"/>
    <col min="2959" max="2959" width="3.5703125" customWidth="1"/>
    <col min="2960" max="2960" width="57.7109375" customWidth="1"/>
    <col min="2961" max="2961" width="3.7109375" customWidth="1"/>
    <col min="2962" max="2962" width="4" customWidth="1"/>
    <col min="2963" max="2963" width="6.7109375" customWidth="1"/>
    <col min="2964" max="2964" width="6.42578125" customWidth="1"/>
    <col min="2965" max="2967" width="9.5703125" customWidth="1"/>
    <col min="2968" max="2968" width="10.7109375" customWidth="1"/>
    <col min="2969" max="2969" width="9" customWidth="1"/>
    <col min="2970" max="2970" width="11.5703125" customWidth="1"/>
    <col min="3215" max="3215" width="3.5703125" customWidth="1"/>
    <col min="3216" max="3216" width="57.7109375" customWidth="1"/>
    <col min="3217" max="3217" width="3.7109375" customWidth="1"/>
    <col min="3218" max="3218" width="4" customWidth="1"/>
    <col min="3219" max="3219" width="6.7109375" customWidth="1"/>
    <col min="3220" max="3220" width="6.42578125" customWidth="1"/>
    <col min="3221" max="3223" width="9.5703125" customWidth="1"/>
    <col min="3224" max="3224" width="10.7109375" customWidth="1"/>
    <col min="3225" max="3225" width="9" customWidth="1"/>
    <col min="3226" max="3226" width="11.5703125" customWidth="1"/>
    <col min="3471" max="3471" width="3.5703125" customWidth="1"/>
    <col min="3472" max="3472" width="57.7109375" customWidth="1"/>
    <col min="3473" max="3473" width="3.7109375" customWidth="1"/>
    <col min="3474" max="3474" width="4" customWidth="1"/>
    <col min="3475" max="3475" width="6.7109375" customWidth="1"/>
    <col min="3476" max="3476" width="6.42578125" customWidth="1"/>
    <col min="3477" max="3479" width="9.5703125" customWidth="1"/>
    <col min="3480" max="3480" width="10.7109375" customWidth="1"/>
    <col min="3481" max="3481" width="9" customWidth="1"/>
    <col min="3482" max="3482" width="11.5703125" customWidth="1"/>
    <col min="3727" max="3727" width="3.5703125" customWidth="1"/>
    <col min="3728" max="3728" width="57.7109375" customWidth="1"/>
    <col min="3729" max="3729" width="3.7109375" customWidth="1"/>
    <col min="3730" max="3730" width="4" customWidth="1"/>
    <col min="3731" max="3731" width="6.7109375" customWidth="1"/>
    <col min="3732" max="3732" width="6.42578125" customWidth="1"/>
    <col min="3733" max="3735" width="9.5703125" customWidth="1"/>
    <col min="3736" max="3736" width="10.7109375" customWidth="1"/>
    <col min="3737" max="3737" width="9" customWidth="1"/>
    <col min="3738" max="3738" width="11.5703125" customWidth="1"/>
    <col min="3983" max="3983" width="3.5703125" customWidth="1"/>
    <col min="3984" max="3984" width="57.7109375" customWidth="1"/>
    <col min="3985" max="3985" width="3.7109375" customWidth="1"/>
    <col min="3986" max="3986" width="4" customWidth="1"/>
    <col min="3987" max="3987" width="6.7109375" customWidth="1"/>
    <col min="3988" max="3988" width="6.42578125" customWidth="1"/>
    <col min="3989" max="3991" width="9.5703125" customWidth="1"/>
    <col min="3992" max="3992" width="10.7109375" customWidth="1"/>
    <col min="3993" max="3993" width="9" customWidth="1"/>
    <col min="3994" max="3994" width="11.5703125" customWidth="1"/>
    <col min="4239" max="4239" width="3.5703125" customWidth="1"/>
    <col min="4240" max="4240" width="57.7109375" customWidth="1"/>
    <col min="4241" max="4241" width="3.7109375" customWidth="1"/>
    <col min="4242" max="4242" width="4" customWidth="1"/>
    <col min="4243" max="4243" width="6.7109375" customWidth="1"/>
    <col min="4244" max="4244" width="6.42578125" customWidth="1"/>
    <col min="4245" max="4247" width="9.5703125" customWidth="1"/>
    <col min="4248" max="4248" width="10.7109375" customWidth="1"/>
    <col min="4249" max="4249" width="9" customWidth="1"/>
    <col min="4250" max="4250" width="11.5703125" customWidth="1"/>
    <col min="4495" max="4495" width="3.5703125" customWidth="1"/>
    <col min="4496" max="4496" width="57.7109375" customWidth="1"/>
    <col min="4497" max="4497" width="3.7109375" customWidth="1"/>
    <col min="4498" max="4498" width="4" customWidth="1"/>
    <col min="4499" max="4499" width="6.7109375" customWidth="1"/>
    <col min="4500" max="4500" width="6.42578125" customWidth="1"/>
    <col min="4501" max="4503" width="9.5703125" customWidth="1"/>
    <col min="4504" max="4504" width="10.7109375" customWidth="1"/>
    <col min="4505" max="4505" width="9" customWidth="1"/>
    <col min="4506" max="4506" width="11.5703125" customWidth="1"/>
    <col min="4751" max="4751" width="3.5703125" customWidth="1"/>
    <col min="4752" max="4752" width="57.7109375" customWidth="1"/>
    <col min="4753" max="4753" width="3.7109375" customWidth="1"/>
    <col min="4754" max="4754" width="4" customWidth="1"/>
    <col min="4755" max="4755" width="6.7109375" customWidth="1"/>
    <col min="4756" max="4756" width="6.42578125" customWidth="1"/>
    <col min="4757" max="4759" width="9.5703125" customWidth="1"/>
    <col min="4760" max="4760" width="10.7109375" customWidth="1"/>
    <col min="4761" max="4761" width="9" customWidth="1"/>
    <col min="4762" max="4762" width="11.5703125" customWidth="1"/>
    <col min="5007" max="5007" width="3.5703125" customWidth="1"/>
    <col min="5008" max="5008" width="57.7109375" customWidth="1"/>
    <col min="5009" max="5009" width="3.7109375" customWidth="1"/>
    <col min="5010" max="5010" width="4" customWidth="1"/>
    <col min="5011" max="5011" width="6.7109375" customWidth="1"/>
    <col min="5012" max="5012" width="6.42578125" customWidth="1"/>
    <col min="5013" max="5015" width="9.5703125" customWidth="1"/>
    <col min="5016" max="5016" width="10.7109375" customWidth="1"/>
    <col min="5017" max="5017" width="9" customWidth="1"/>
    <col min="5018" max="5018" width="11.5703125" customWidth="1"/>
    <col min="5263" max="5263" width="3.5703125" customWidth="1"/>
    <col min="5264" max="5264" width="57.7109375" customWidth="1"/>
    <col min="5265" max="5265" width="3.7109375" customWidth="1"/>
    <col min="5266" max="5266" width="4" customWidth="1"/>
    <col min="5267" max="5267" width="6.7109375" customWidth="1"/>
    <col min="5268" max="5268" width="6.42578125" customWidth="1"/>
    <col min="5269" max="5271" width="9.5703125" customWidth="1"/>
    <col min="5272" max="5272" width="10.7109375" customWidth="1"/>
    <col min="5273" max="5273" width="9" customWidth="1"/>
    <col min="5274" max="5274" width="11.5703125" customWidth="1"/>
    <col min="5519" max="5519" width="3.5703125" customWidth="1"/>
    <col min="5520" max="5520" width="57.7109375" customWidth="1"/>
    <col min="5521" max="5521" width="3.7109375" customWidth="1"/>
    <col min="5522" max="5522" width="4" customWidth="1"/>
    <col min="5523" max="5523" width="6.7109375" customWidth="1"/>
    <col min="5524" max="5524" width="6.42578125" customWidth="1"/>
    <col min="5525" max="5527" width="9.5703125" customWidth="1"/>
    <col min="5528" max="5528" width="10.7109375" customWidth="1"/>
    <col min="5529" max="5529" width="9" customWidth="1"/>
    <col min="5530" max="5530" width="11.5703125" customWidth="1"/>
    <col min="5775" max="5775" width="3.5703125" customWidth="1"/>
    <col min="5776" max="5776" width="57.7109375" customWidth="1"/>
    <col min="5777" max="5777" width="3.7109375" customWidth="1"/>
    <col min="5778" max="5778" width="4" customWidth="1"/>
    <col min="5779" max="5779" width="6.7109375" customWidth="1"/>
    <col min="5780" max="5780" width="6.42578125" customWidth="1"/>
    <col min="5781" max="5783" width="9.5703125" customWidth="1"/>
    <col min="5784" max="5784" width="10.7109375" customWidth="1"/>
    <col min="5785" max="5785" width="9" customWidth="1"/>
    <col min="5786" max="5786" width="11.5703125" customWidth="1"/>
    <col min="6031" max="6031" width="3.5703125" customWidth="1"/>
    <col min="6032" max="6032" width="57.7109375" customWidth="1"/>
    <col min="6033" max="6033" width="3.7109375" customWidth="1"/>
    <col min="6034" max="6034" width="4" customWidth="1"/>
    <col min="6035" max="6035" width="6.7109375" customWidth="1"/>
    <col min="6036" max="6036" width="6.42578125" customWidth="1"/>
    <col min="6037" max="6039" width="9.5703125" customWidth="1"/>
    <col min="6040" max="6040" width="10.7109375" customWidth="1"/>
    <col min="6041" max="6041" width="9" customWidth="1"/>
    <col min="6042" max="6042" width="11.5703125" customWidth="1"/>
    <col min="6287" max="6287" width="3.5703125" customWidth="1"/>
    <col min="6288" max="6288" width="57.7109375" customWidth="1"/>
    <col min="6289" max="6289" width="3.7109375" customWidth="1"/>
    <col min="6290" max="6290" width="4" customWidth="1"/>
    <col min="6291" max="6291" width="6.7109375" customWidth="1"/>
    <col min="6292" max="6292" width="6.42578125" customWidth="1"/>
    <col min="6293" max="6295" width="9.5703125" customWidth="1"/>
    <col min="6296" max="6296" width="10.7109375" customWidth="1"/>
    <col min="6297" max="6297" width="9" customWidth="1"/>
    <col min="6298" max="6298" width="11.5703125" customWidth="1"/>
    <col min="6543" max="6543" width="3.5703125" customWidth="1"/>
    <col min="6544" max="6544" width="57.7109375" customWidth="1"/>
    <col min="6545" max="6545" width="3.7109375" customWidth="1"/>
    <col min="6546" max="6546" width="4" customWidth="1"/>
    <col min="6547" max="6547" width="6.7109375" customWidth="1"/>
    <col min="6548" max="6548" width="6.42578125" customWidth="1"/>
    <col min="6549" max="6551" width="9.5703125" customWidth="1"/>
    <col min="6552" max="6552" width="10.7109375" customWidth="1"/>
    <col min="6553" max="6553" width="9" customWidth="1"/>
    <col min="6554" max="6554" width="11.5703125" customWidth="1"/>
    <col min="6799" max="6799" width="3.5703125" customWidth="1"/>
    <col min="6800" max="6800" width="57.7109375" customWidth="1"/>
    <col min="6801" max="6801" width="3.7109375" customWidth="1"/>
    <col min="6802" max="6802" width="4" customWidth="1"/>
    <col min="6803" max="6803" width="6.7109375" customWidth="1"/>
    <col min="6804" max="6804" width="6.42578125" customWidth="1"/>
    <col min="6805" max="6807" width="9.5703125" customWidth="1"/>
    <col min="6808" max="6808" width="10.7109375" customWidth="1"/>
    <col min="6809" max="6809" width="9" customWidth="1"/>
    <col min="6810" max="6810" width="11.5703125" customWidth="1"/>
    <col min="7055" max="7055" width="3.5703125" customWidth="1"/>
    <col min="7056" max="7056" width="57.7109375" customWidth="1"/>
    <col min="7057" max="7057" width="3.7109375" customWidth="1"/>
    <col min="7058" max="7058" width="4" customWidth="1"/>
    <col min="7059" max="7059" width="6.7109375" customWidth="1"/>
    <col min="7060" max="7060" width="6.42578125" customWidth="1"/>
    <col min="7061" max="7063" width="9.5703125" customWidth="1"/>
    <col min="7064" max="7064" width="10.7109375" customWidth="1"/>
    <col min="7065" max="7065" width="9" customWidth="1"/>
    <col min="7066" max="7066" width="11.5703125" customWidth="1"/>
    <col min="7311" max="7311" width="3.5703125" customWidth="1"/>
    <col min="7312" max="7312" width="57.7109375" customWidth="1"/>
    <col min="7313" max="7313" width="3.7109375" customWidth="1"/>
    <col min="7314" max="7314" width="4" customWidth="1"/>
    <col min="7315" max="7315" width="6.7109375" customWidth="1"/>
    <col min="7316" max="7316" width="6.42578125" customWidth="1"/>
    <col min="7317" max="7319" width="9.5703125" customWidth="1"/>
    <col min="7320" max="7320" width="10.7109375" customWidth="1"/>
    <col min="7321" max="7321" width="9" customWidth="1"/>
    <col min="7322" max="7322" width="11.5703125" customWidth="1"/>
    <col min="7567" max="7567" width="3.5703125" customWidth="1"/>
    <col min="7568" max="7568" width="57.7109375" customWidth="1"/>
    <col min="7569" max="7569" width="3.7109375" customWidth="1"/>
    <col min="7570" max="7570" width="4" customWidth="1"/>
    <col min="7571" max="7571" width="6.7109375" customWidth="1"/>
    <col min="7572" max="7572" width="6.42578125" customWidth="1"/>
    <col min="7573" max="7575" width="9.5703125" customWidth="1"/>
    <col min="7576" max="7576" width="10.7109375" customWidth="1"/>
    <col min="7577" max="7577" width="9" customWidth="1"/>
    <col min="7578" max="7578" width="11.5703125" customWidth="1"/>
    <col min="7823" max="7823" width="3.5703125" customWidth="1"/>
    <col min="7824" max="7824" width="57.7109375" customWidth="1"/>
    <col min="7825" max="7825" width="3.7109375" customWidth="1"/>
    <col min="7826" max="7826" width="4" customWidth="1"/>
    <col min="7827" max="7827" width="6.7109375" customWidth="1"/>
    <col min="7828" max="7828" width="6.42578125" customWidth="1"/>
    <col min="7829" max="7831" width="9.5703125" customWidth="1"/>
    <col min="7832" max="7832" width="10.7109375" customWidth="1"/>
    <col min="7833" max="7833" width="9" customWidth="1"/>
    <col min="7834" max="7834" width="11.5703125" customWidth="1"/>
    <col min="8079" max="8079" width="3.5703125" customWidth="1"/>
    <col min="8080" max="8080" width="57.7109375" customWidth="1"/>
    <col min="8081" max="8081" width="3.7109375" customWidth="1"/>
    <col min="8082" max="8082" width="4" customWidth="1"/>
    <col min="8083" max="8083" width="6.7109375" customWidth="1"/>
    <col min="8084" max="8084" width="6.42578125" customWidth="1"/>
    <col min="8085" max="8087" width="9.5703125" customWidth="1"/>
    <col min="8088" max="8088" width="10.7109375" customWidth="1"/>
    <col min="8089" max="8089" width="9" customWidth="1"/>
    <col min="8090" max="8090" width="11.5703125" customWidth="1"/>
    <col min="8335" max="8335" width="3.5703125" customWidth="1"/>
    <col min="8336" max="8336" width="57.7109375" customWidth="1"/>
    <col min="8337" max="8337" width="3.7109375" customWidth="1"/>
    <col min="8338" max="8338" width="4" customWidth="1"/>
    <col min="8339" max="8339" width="6.7109375" customWidth="1"/>
    <col min="8340" max="8340" width="6.42578125" customWidth="1"/>
    <col min="8341" max="8343" width="9.5703125" customWidth="1"/>
    <col min="8344" max="8344" width="10.7109375" customWidth="1"/>
    <col min="8345" max="8345" width="9" customWidth="1"/>
    <col min="8346" max="8346" width="11.5703125" customWidth="1"/>
  </cols>
  <sheetData>
    <row r="1" spans="1:25" s="2" customFormat="1" ht="18.75" customHeight="1" x14ac:dyDescent="0.3">
      <c r="A1" s="267" t="s">
        <v>48</v>
      </c>
      <c r="B1" s="267"/>
      <c r="C1" s="267"/>
      <c r="D1" s="267"/>
      <c r="E1" s="150"/>
      <c r="F1" s="150"/>
      <c r="G1" s="150"/>
      <c r="H1" s="150"/>
      <c r="I1" s="150"/>
      <c r="J1" s="150"/>
      <c r="K1" s="150"/>
      <c r="L1" s="150"/>
      <c r="M1" s="150"/>
      <c r="N1" s="191"/>
      <c r="O1" s="267" t="s">
        <v>47</v>
      </c>
      <c r="P1" s="267"/>
      <c r="Q1" s="267"/>
      <c r="R1" s="267"/>
      <c r="S1" s="267"/>
      <c r="T1" s="267"/>
      <c r="U1" s="177"/>
      <c r="V1" s="177"/>
      <c r="W1" s="177"/>
      <c r="X1" s="177"/>
      <c r="Y1" s="177"/>
    </row>
    <row r="2" spans="1:25" s="2" customFormat="1" ht="18.75" customHeight="1" x14ac:dyDescent="0.3">
      <c r="A2" s="268" t="s">
        <v>49</v>
      </c>
      <c r="B2" s="268"/>
      <c r="C2" s="268"/>
      <c r="D2" s="268"/>
      <c r="E2" s="132"/>
      <c r="F2" s="132"/>
      <c r="G2" s="132"/>
      <c r="H2" s="132"/>
      <c r="I2" s="132"/>
      <c r="J2" s="132"/>
      <c r="K2" s="132"/>
      <c r="L2" s="132"/>
      <c r="M2" s="132"/>
      <c r="N2" s="269" t="s">
        <v>12</v>
      </c>
      <c r="O2" s="269"/>
      <c r="P2" s="269"/>
      <c r="Q2" s="269"/>
      <c r="R2" s="269"/>
      <c r="S2" s="269"/>
      <c r="T2" s="269"/>
      <c r="U2" s="177"/>
      <c r="V2" s="177"/>
      <c r="W2" s="177"/>
      <c r="X2" s="177"/>
      <c r="Y2" s="177"/>
    </row>
    <row r="3" spans="1:25" s="2" customFormat="1" ht="23.25" customHeight="1" x14ac:dyDescent="0.3">
      <c r="A3" s="268" t="s">
        <v>50</v>
      </c>
      <c r="B3" s="268"/>
      <c r="C3" s="268"/>
      <c r="D3" s="268"/>
      <c r="E3" s="132"/>
      <c r="F3" s="132"/>
      <c r="G3" s="132"/>
      <c r="H3" s="132"/>
      <c r="I3" s="132"/>
      <c r="J3" s="132"/>
      <c r="K3" s="132"/>
      <c r="L3" s="132"/>
      <c r="M3" s="132"/>
      <c r="N3" s="269" t="s">
        <v>68</v>
      </c>
      <c r="O3" s="269"/>
      <c r="P3" s="269"/>
      <c r="Q3" s="269"/>
      <c r="R3" s="269"/>
      <c r="S3" s="269"/>
      <c r="T3" s="269"/>
      <c r="U3" s="177"/>
      <c r="V3" s="177"/>
      <c r="W3" s="177"/>
      <c r="X3" s="177"/>
      <c r="Y3" s="177"/>
    </row>
    <row r="4" spans="1:25" s="2" customFormat="1" ht="23.25" customHeight="1" x14ac:dyDescent="0.3">
      <c r="A4" s="268" t="s">
        <v>20</v>
      </c>
      <c r="B4" s="268"/>
      <c r="C4" s="268"/>
      <c r="D4" s="268"/>
      <c r="E4" s="148" t="s">
        <v>53</v>
      </c>
      <c r="F4" s="148"/>
      <c r="G4" s="148"/>
      <c r="H4" s="148"/>
      <c r="I4" s="148"/>
      <c r="J4" s="148"/>
      <c r="K4" s="148"/>
      <c r="L4" s="148"/>
      <c r="M4" s="148"/>
      <c r="N4" s="269" t="s">
        <v>67</v>
      </c>
      <c r="O4" s="269"/>
      <c r="P4" s="269"/>
      <c r="Q4" s="269"/>
      <c r="R4" s="269"/>
      <c r="S4" s="269"/>
      <c r="T4" s="269"/>
      <c r="U4" s="177"/>
      <c r="V4" s="177"/>
      <c r="W4" s="177"/>
      <c r="X4" s="177"/>
      <c r="Y4" s="177"/>
    </row>
    <row r="5" spans="1:25" ht="25.5" customHeight="1" x14ac:dyDescent="0.3">
      <c r="A5" s="273" t="s">
        <v>69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</row>
    <row r="6" spans="1:25" ht="19.5" customHeight="1" x14ac:dyDescent="0.3">
      <c r="A6" s="273" t="s">
        <v>51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25" ht="11.25" customHeight="1" thickBot="1" x14ac:dyDescent="0.3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</row>
    <row r="8" spans="1:25" ht="30.75" customHeight="1" x14ac:dyDescent="0.25">
      <c r="A8" s="288" t="s">
        <v>55</v>
      </c>
      <c r="B8" s="291" t="s">
        <v>0</v>
      </c>
      <c r="C8" s="270" t="s">
        <v>38</v>
      </c>
      <c r="D8" s="271"/>
      <c r="E8" s="272"/>
      <c r="F8" s="270" t="s">
        <v>41</v>
      </c>
      <c r="G8" s="271"/>
      <c r="H8" s="272"/>
      <c r="I8" s="270" t="s">
        <v>42</v>
      </c>
      <c r="J8" s="271"/>
      <c r="K8" s="272"/>
      <c r="L8" s="270" t="s">
        <v>43</v>
      </c>
      <c r="M8" s="271"/>
      <c r="N8" s="272"/>
      <c r="O8" s="270" t="s">
        <v>44</v>
      </c>
      <c r="P8" s="271"/>
      <c r="Q8" s="272"/>
      <c r="R8" s="274" t="s">
        <v>64</v>
      </c>
      <c r="S8" s="274"/>
      <c r="T8" s="274"/>
    </row>
    <row r="9" spans="1:25" s="4" customFormat="1" ht="50.25" customHeight="1" x14ac:dyDescent="0.2">
      <c r="A9" s="289"/>
      <c r="B9" s="292"/>
      <c r="C9" s="136" t="s">
        <v>39</v>
      </c>
      <c r="D9" s="286" t="s">
        <v>56</v>
      </c>
      <c r="E9" s="287"/>
      <c r="F9" s="136" t="s">
        <v>39</v>
      </c>
      <c r="G9" s="286" t="s">
        <v>57</v>
      </c>
      <c r="H9" s="287"/>
      <c r="I9" s="136" t="s">
        <v>39</v>
      </c>
      <c r="J9" s="286" t="s">
        <v>57</v>
      </c>
      <c r="K9" s="287"/>
      <c r="L9" s="136" t="s">
        <v>39</v>
      </c>
      <c r="M9" s="286" t="s">
        <v>57</v>
      </c>
      <c r="N9" s="287"/>
      <c r="O9" s="136" t="s">
        <v>39</v>
      </c>
      <c r="P9" s="286" t="s">
        <v>57</v>
      </c>
      <c r="Q9" s="287"/>
      <c r="R9" s="149" t="s">
        <v>39</v>
      </c>
      <c r="S9" s="275" t="s">
        <v>63</v>
      </c>
      <c r="T9" s="276"/>
      <c r="U9" s="178"/>
      <c r="V9" s="179"/>
      <c r="W9" s="179"/>
      <c r="X9" s="179"/>
      <c r="Y9" s="179"/>
    </row>
    <row r="10" spans="1:25" s="4" customFormat="1" ht="30" customHeight="1" x14ac:dyDescent="0.2">
      <c r="A10" s="290"/>
      <c r="B10" s="293"/>
      <c r="C10" s="139" t="s">
        <v>1</v>
      </c>
      <c r="D10" s="8" t="s">
        <v>3</v>
      </c>
      <c r="E10" s="140" t="s">
        <v>40</v>
      </c>
      <c r="F10" s="139" t="s">
        <v>1</v>
      </c>
      <c r="G10" s="8" t="s">
        <v>3</v>
      </c>
      <c r="H10" s="140" t="s">
        <v>40</v>
      </c>
      <c r="I10" s="139" t="s">
        <v>1</v>
      </c>
      <c r="J10" s="8" t="s">
        <v>3</v>
      </c>
      <c r="K10" s="140" t="s">
        <v>40</v>
      </c>
      <c r="L10" s="139" t="s">
        <v>1</v>
      </c>
      <c r="M10" s="8" t="s">
        <v>3</v>
      </c>
      <c r="N10" s="140" t="s">
        <v>40</v>
      </c>
      <c r="O10" s="139" t="s">
        <v>1</v>
      </c>
      <c r="P10" s="134" t="s">
        <v>3</v>
      </c>
      <c r="Q10" s="141" t="s">
        <v>40</v>
      </c>
      <c r="R10" s="149" t="s">
        <v>1</v>
      </c>
      <c r="S10" s="134" t="s">
        <v>3</v>
      </c>
      <c r="T10" s="141" t="s">
        <v>40</v>
      </c>
      <c r="U10" s="180"/>
      <c r="V10" s="179"/>
      <c r="W10" s="179"/>
      <c r="X10" s="179"/>
      <c r="Y10" s="179"/>
    </row>
    <row r="11" spans="1:25" s="38" customFormat="1" ht="31.5" customHeight="1" x14ac:dyDescent="0.25">
      <c r="A11" s="278" t="s">
        <v>34</v>
      </c>
      <c r="B11" s="281" t="s">
        <v>61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128"/>
      <c r="T11" s="170"/>
      <c r="U11" s="128"/>
      <c r="V11" s="128"/>
      <c r="W11" s="128"/>
      <c r="X11" s="128"/>
      <c r="Y11" s="128"/>
    </row>
    <row r="12" spans="1:25" s="3" customFormat="1" ht="60" customHeight="1" x14ac:dyDescent="0.25">
      <c r="A12" s="279"/>
      <c r="B12" s="131" t="s">
        <v>35</v>
      </c>
      <c r="C12" s="137">
        <v>6.4</v>
      </c>
      <c r="D12" s="155">
        <f>C12*2401.13</f>
        <v>15367.232000000002</v>
      </c>
      <c r="E12" s="156">
        <f>C12*1742.84</f>
        <v>11154.175999999999</v>
      </c>
      <c r="F12" s="157">
        <v>8</v>
      </c>
      <c r="G12" s="155">
        <f>F12*2488.77</f>
        <v>19910.16</v>
      </c>
      <c r="H12" s="156">
        <f>F12*1806.45</f>
        <v>14451.6</v>
      </c>
      <c r="I12" s="157">
        <v>8.4</v>
      </c>
      <c r="J12" s="155">
        <f>I12*2579.61</f>
        <v>21668.724000000002</v>
      </c>
      <c r="K12" s="156">
        <f>I12*1872.38</f>
        <v>15727.992000000002</v>
      </c>
      <c r="L12" s="157">
        <v>8</v>
      </c>
      <c r="M12" s="155">
        <f>L12*2673.76</f>
        <v>21390.080000000002</v>
      </c>
      <c r="N12" s="156">
        <f>L12*1940.72</f>
        <v>15525.76</v>
      </c>
      <c r="O12" s="157">
        <v>8.4499999999999993</v>
      </c>
      <c r="P12" s="155">
        <f>O12*2771.35</f>
        <v>23417.907499999998</v>
      </c>
      <c r="Q12" s="156">
        <f>O12*2011.55</f>
        <v>16997.5975</v>
      </c>
      <c r="R12" s="163">
        <f>C12+F12+I12+L12+O12</f>
        <v>39.25</v>
      </c>
      <c r="S12" s="164">
        <f>P12+M12+J12+G12+D12</f>
        <v>101754.10350000001</v>
      </c>
      <c r="T12" s="171">
        <f>Q12+N12+K12+H12+E12</f>
        <v>73857.125499999995</v>
      </c>
      <c r="U12" s="48"/>
      <c r="V12" s="48"/>
      <c r="W12" s="48"/>
      <c r="X12" s="48"/>
      <c r="Y12" s="48"/>
    </row>
    <row r="13" spans="1:25" s="3" customFormat="1" ht="60" customHeight="1" x14ac:dyDescent="0.25">
      <c r="A13" s="279"/>
      <c r="B13" s="131" t="s">
        <v>36</v>
      </c>
      <c r="C13" s="137">
        <v>8.5</v>
      </c>
      <c r="D13" s="155">
        <f>C13*1789.61</f>
        <v>15211.684999999999</v>
      </c>
      <c r="E13" s="156">
        <f>C13*1198.32</f>
        <v>10185.719999999999</v>
      </c>
      <c r="F13" s="157">
        <v>7.2</v>
      </c>
      <c r="G13" s="155">
        <f>F13*1854.93</f>
        <v>13355.496000000001</v>
      </c>
      <c r="H13" s="156">
        <f>F13*1242.05</f>
        <v>8942.76</v>
      </c>
      <c r="I13" s="157">
        <v>6.5</v>
      </c>
      <c r="J13" s="155">
        <f>I13*1922.63</f>
        <v>12497.095000000001</v>
      </c>
      <c r="K13" s="156">
        <f>I13*1287.38</f>
        <v>8367.9700000000012</v>
      </c>
      <c r="L13" s="157">
        <v>6.4</v>
      </c>
      <c r="M13" s="155">
        <f>L13*1992.8</f>
        <v>12753.92</v>
      </c>
      <c r="N13" s="156">
        <f>L13*1334.36</f>
        <v>8539.9040000000005</v>
      </c>
      <c r="O13" s="157">
        <v>6.2</v>
      </c>
      <c r="P13" s="155">
        <f>O13*2065.53</f>
        <v>12806.286000000002</v>
      </c>
      <c r="Q13" s="156">
        <f>O13*1383.06</f>
        <v>8574.9719999999998</v>
      </c>
      <c r="R13" s="163">
        <f>O13+L13+I13+F13+C13</f>
        <v>34.799999999999997</v>
      </c>
      <c r="S13" s="165">
        <f>P13+M13+J13+G13+D13</f>
        <v>66624.482000000004</v>
      </c>
      <c r="T13" s="172">
        <f>Q13+N13+K13+H13+E13</f>
        <v>44611.326000000001</v>
      </c>
      <c r="U13" s="48"/>
      <c r="V13" s="48"/>
      <c r="W13" s="48"/>
      <c r="X13" s="48"/>
      <c r="Y13" s="48"/>
    </row>
    <row r="14" spans="1:25" s="30" customFormat="1" ht="26.25" customHeight="1" x14ac:dyDescent="0.25">
      <c r="A14" s="279"/>
      <c r="B14" s="133" t="s">
        <v>54</v>
      </c>
      <c r="C14" s="138">
        <f>SUM(C12:C13)</f>
        <v>14.9</v>
      </c>
      <c r="D14" s="158">
        <f t="shared" ref="D14:Q14" si="0">SUM(D12:D13)</f>
        <v>30578.917000000001</v>
      </c>
      <c r="E14" s="159">
        <f t="shared" si="0"/>
        <v>21339.896000000001</v>
      </c>
      <c r="F14" s="160">
        <f t="shared" si="0"/>
        <v>15.2</v>
      </c>
      <c r="G14" s="158">
        <f t="shared" si="0"/>
        <v>33265.656000000003</v>
      </c>
      <c r="H14" s="159">
        <f t="shared" si="0"/>
        <v>23394.36</v>
      </c>
      <c r="I14" s="160">
        <f t="shared" si="0"/>
        <v>14.9</v>
      </c>
      <c r="J14" s="158">
        <f t="shared" si="0"/>
        <v>34165.819000000003</v>
      </c>
      <c r="K14" s="159">
        <f t="shared" si="0"/>
        <v>24095.962000000003</v>
      </c>
      <c r="L14" s="160">
        <f t="shared" si="0"/>
        <v>14.4</v>
      </c>
      <c r="M14" s="158">
        <f t="shared" si="0"/>
        <v>34144</v>
      </c>
      <c r="N14" s="159">
        <f t="shared" si="0"/>
        <v>24065.664000000001</v>
      </c>
      <c r="O14" s="160">
        <f t="shared" si="0"/>
        <v>14.649999999999999</v>
      </c>
      <c r="P14" s="158">
        <f t="shared" si="0"/>
        <v>36224.193500000001</v>
      </c>
      <c r="Q14" s="159">
        <f t="shared" si="0"/>
        <v>25572.569499999998</v>
      </c>
      <c r="R14" s="166">
        <f>SUM(R12:R13)</f>
        <v>74.05</v>
      </c>
      <c r="S14" s="167">
        <f>SUM(S12:S13)</f>
        <v>168378.58550000002</v>
      </c>
      <c r="T14" s="173">
        <f>SUM(T12:T13)</f>
        <v>118468.4515</v>
      </c>
      <c r="U14" s="181"/>
      <c r="V14" s="181"/>
      <c r="W14" s="181"/>
      <c r="X14" s="181"/>
      <c r="Y14" s="181"/>
    </row>
    <row r="15" spans="1:25" s="3" customFormat="1" ht="75" customHeight="1" x14ac:dyDescent="0.25">
      <c r="A15" s="279"/>
      <c r="B15" s="131" t="s">
        <v>37</v>
      </c>
      <c r="C15" s="137">
        <v>6.4</v>
      </c>
      <c r="D15" s="155">
        <f>C15*2579.91</f>
        <v>16511.423999999999</v>
      </c>
      <c r="E15" s="156">
        <f>C15*1172.84</f>
        <v>7506.1759999999995</v>
      </c>
      <c r="F15" s="157">
        <v>6.3</v>
      </c>
      <c r="G15" s="155">
        <f>F15*2674.08</f>
        <v>16846.703999999998</v>
      </c>
      <c r="H15" s="156">
        <f>F15*1215.65</f>
        <v>7658.5950000000003</v>
      </c>
      <c r="I15" s="157">
        <v>7</v>
      </c>
      <c r="J15" s="155">
        <f>I15*2771.69</f>
        <v>19401.830000000002</v>
      </c>
      <c r="K15" s="156">
        <f>I15*1260.03</f>
        <v>8820.2099999999991</v>
      </c>
      <c r="L15" s="157">
        <v>6.3</v>
      </c>
      <c r="M15" s="155">
        <f>L15*2872.86</f>
        <v>18099.018</v>
      </c>
      <c r="N15" s="156">
        <f>L15*1306.03</f>
        <v>8227.9889999999996</v>
      </c>
      <c r="O15" s="157">
        <v>7.5</v>
      </c>
      <c r="P15" s="155">
        <f>O15*2977.72</f>
        <v>22332.899999999998</v>
      </c>
      <c r="Q15" s="156">
        <f>O15*1353.7</f>
        <v>10152.75</v>
      </c>
      <c r="R15" s="163">
        <f>O15+L15+I15+F15+C15</f>
        <v>33.5</v>
      </c>
      <c r="S15" s="165">
        <f t="shared" ref="S15:T16" si="1">P15+M15+J15+G15+D15</f>
        <v>93191.875999999989</v>
      </c>
      <c r="T15" s="172">
        <f t="shared" si="1"/>
        <v>42365.72</v>
      </c>
      <c r="U15" s="48"/>
      <c r="V15" s="48"/>
      <c r="W15" s="48"/>
      <c r="X15" s="48"/>
      <c r="Y15" s="48"/>
    </row>
    <row r="16" spans="1:25" s="3" customFormat="1" ht="78" customHeight="1" x14ac:dyDescent="0.25">
      <c r="A16" s="279"/>
      <c r="B16" s="131" t="s">
        <v>46</v>
      </c>
      <c r="C16" s="137">
        <v>6.5</v>
      </c>
      <c r="D16" s="155">
        <f>C16*2186.15</f>
        <v>14209.975</v>
      </c>
      <c r="E16" s="156">
        <f>C16*1176.87</f>
        <v>7649.6549999999988</v>
      </c>
      <c r="F16" s="157">
        <v>6.8</v>
      </c>
      <c r="G16" s="155">
        <f>F16*2265.35</f>
        <v>15404.38</v>
      </c>
      <c r="H16" s="156">
        <f>F16*1219.83</f>
        <v>8294.8439999999991</v>
      </c>
      <c r="I16" s="157">
        <v>6.5</v>
      </c>
      <c r="J16" s="155">
        <f>I16*2348.66</f>
        <v>15266.289999999999</v>
      </c>
      <c r="K16" s="156">
        <f>I16*1264.36</f>
        <v>8218.34</v>
      </c>
      <c r="L16" s="157">
        <v>6.8</v>
      </c>
      <c r="M16" s="155">
        <f>L16*2434.39</f>
        <v>16553.851999999999</v>
      </c>
      <c r="N16" s="156">
        <f>L16*1310.51</f>
        <v>8911.4679999999989</v>
      </c>
      <c r="O16" s="157">
        <v>6.5</v>
      </c>
      <c r="P16" s="155">
        <f>O16*2523.25</f>
        <v>16401.125</v>
      </c>
      <c r="Q16" s="156">
        <f>O16*1358.35</f>
        <v>8829.2749999999996</v>
      </c>
      <c r="R16" s="163">
        <f>O16+L16+I16+F16+C16</f>
        <v>33.1</v>
      </c>
      <c r="S16" s="165">
        <f t="shared" si="1"/>
        <v>77835.622000000003</v>
      </c>
      <c r="T16" s="172">
        <f t="shared" si="1"/>
        <v>41903.581999999995</v>
      </c>
      <c r="U16" s="48"/>
      <c r="V16" s="48"/>
      <c r="W16" s="48"/>
      <c r="X16" s="48"/>
      <c r="Y16" s="48"/>
    </row>
    <row r="17" spans="1:25" s="30" customFormat="1" ht="28.5" customHeight="1" x14ac:dyDescent="0.25">
      <c r="A17" s="279"/>
      <c r="B17" s="133" t="s">
        <v>45</v>
      </c>
      <c r="C17" s="138">
        <f>SUM(C15:C16)</f>
        <v>12.9</v>
      </c>
      <c r="D17" s="158">
        <f t="shared" ref="D17:Q17" si="2">SUM(D15:D16)</f>
        <v>30721.398999999998</v>
      </c>
      <c r="E17" s="159">
        <f t="shared" si="2"/>
        <v>15155.830999999998</v>
      </c>
      <c r="F17" s="160">
        <f t="shared" si="2"/>
        <v>13.1</v>
      </c>
      <c r="G17" s="158">
        <f t="shared" si="2"/>
        <v>32251.083999999995</v>
      </c>
      <c r="H17" s="159">
        <f t="shared" si="2"/>
        <v>15953.438999999998</v>
      </c>
      <c r="I17" s="160">
        <f t="shared" si="2"/>
        <v>13.5</v>
      </c>
      <c r="J17" s="158">
        <f t="shared" si="2"/>
        <v>34668.120000000003</v>
      </c>
      <c r="K17" s="159">
        <f t="shared" si="2"/>
        <v>17038.55</v>
      </c>
      <c r="L17" s="160">
        <f t="shared" si="2"/>
        <v>13.1</v>
      </c>
      <c r="M17" s="158">
        <f t="shared" si="2"/>
        <v>34652.869999999995</v>
      </c>
      <c r="N17" s="159">
        <f t="shared" si="2"/>
        <v>17139.456999999999</v>
      </c>
      <c r="O17" s="160">
        <f t="shared" si="2"/>
        <v>14</v>
      </c>
      <c r="P17" s="158">
        <f t="shared" si="2"/>
        <v>38734.024999999994</v>
      </c>
      <c r="Q17" s="159">
        <f t="shared" si="2"/>
        <v>18982.025000000001</v>
      </c>
      <c r="R17" s="166">
        <f>R15+R16</f>
        <v>66.599999999999994</v>
      </c>
      <c r="S17" s="167">
        <f>S15+S16</f>
        <v>171027.49799999999</v>
      </c>
      <c r="T17" s="173">
        <f>T15+T16</f>
        <v>84269.301999999996</v>
      </c>
      <c r="U17" s="181"/>
      <c r="V17" s="181"/>
      <c r="W17" s="181"/>
      <c r="X17" s="181"/>
      <c r="Y17" s="181"/>
    </row>
    <row r="18" spans="1:25" s="38" customFormat="1" ht="32.25" customHeight="1" x14ac:dyDescent="0.25">
      <c r="A18" s="279"/>
      <c r="B18" s="281" t="s">
        <v>60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128"/>
      <c r="T18" s="174"/>
      <c r="U18" s="128"/>
      <c r="V18" s="128"/>
      <c r="W18" s="128"/>
      <c r="X18" s="128"/>
      <c r="Y18" s="128"/>
    </row>
    <row r="19" spans="1:25" s="4" customFormat="1" ht="33" customHeight="1" x14ac:dyDescent="0.2">
      <c r="A19" s="279"/>
      <c r="B19" s="135"/>
      <c r="C19" s="136" t="s">
        <v>52</v>
      </c>
      <c r="D19" s="134" t="s">
        <v>3</v>
      </c>
      <c r="E19" s="141" t="s">
        <v>40</v>
      </c>
      <c r="F19" s="147" t="s">
        <v>52</v>
      </c>
      <c r="G19" s="134" t="s">
        <v>3</v>
      </c>
      <c r="H19" s="141" t="s">
        <v>40</v>
      </c>
      <c r="I19" s="147" t="s">
        <v>52</v>
      </c>
      <c r="J19" s="134" t="s">
        <v>3</v>
      </c>
      <c r="K19" s="141" t="s">
        <v>40</v>
      </c>
      <c r="L19" s="147" t="s">
        <v>52</v>
      </c>
      <c r="M19" s="134" t="s">
        <v>3</v>
      </c>
      <c r="N19" s="141" t="s">
        <v>40</v>
      </c>
      <c r="O19" s="147" t="s">
        <v>52</v>
      </c>
      <c r="P19" s="134" t="s">
        <v>3</v>
      </c>
      <c r="Q19" s="141" t="s">
        <v>40</v>
      </c>
      <c r="R19" s="136" t="s">
        <v>52</v>
      </c>
      <c r="S19" s="134" t="s">
        <v>3</v>
      </c>
      <c r="T19" s="141" t="s">
        <v>40</v>
      </c>
      <c r="U19" s="180"/>
      <c r="V19" s="179"/>
      <c r="W19" s="179"/>
      <c r="X19" s="179"/>
      <c r="Y19" s="179"/>
    </row>
    <row r="20" spans="1:25" s="3" customFormat="1" ht="75.75" customHeight="1" x14ac:dyDescent="0.25">
      <c r="A20" s="279"/>
      <c r="B20" s="131" t="s">
        <v>58</v>
      </c>
      <c r="C20" s="146">
        <v>20</v>
      </c>
      <c r="D20" s="155">
        <f>C20*222.4</f>
        <v>4448</v>
      </c>
      <c r="E20" s="156">
        <f>C20*155.68</f>
        <v>3113.6000000000004</v>
      </c>
      <c r="F20" s="188">
        <v>22</v>
      </c>
      <c r="G20" s="155">
        <f>F20*230.51</f>
        <v>5071.2199999999993</v>
      </c>
      <c r="H20" s="156">
        <f>F20*161.36</f>
        <v>3549.92</v>
      </c>
      <c r="I20" s="188">
        <v>18</v>
      </c>
      <c r="J20" s="155">
        <f>I20*238.93</f>
        <v>4300.74</v>
      </c>
      <c r="K20" s="156">
        <f>I20*167.25</f>
        <v>3010.5</v>
      </c>
      <c r="L20" s="188">
        <v>21</v>
      </c>
      <c r="M20" s="155">
        <f>L20*247.65</f>
        <v>5200.6500000000005</v>
      </c>
      <c r="N20" s="156">
        <f>L20*173.35</f>
        <v>3640.35</v>
      </c>
      <c r="O20" s="188">
        <v>20</v>
      </c>
      <c r="P20" s="155">
        <f>O20*256.69</f>
        <v>5133.8</v>
      </c>
      <c r="Q20" s="156">
        <f>O20*179.68</f>
        <v>3593.6000000000004</v>
      </c>
      <c r="R20" s="168">
        <f t="shared" ref="R20:T21" si="3">O20+L20+I20+F20+C20</f>
        <v>101</v>
      </c>
      <c r="S20" s="165">
        <f t="shared" si="3"/>
        <v>24154.41</v>
      </c>
      <c r="T20" s="172">
        <f t="shared" si="3"/>
        <v>16907.97</v>
      </c>
      <c r="U20" s="48"/>
      <c r="V20" s="48"/>
      <c r="W20" s="48"/>
      <c r="X20" s="48"/>
      <c r="Y20" s="48"/>
    </row>
    <row r="21" spans="1:25" s="3" customFormat="1" ht="59.25" customHeight="1" x14ac:dyDescent="0.25">
      <c r="A21" s="279"/>
      <c r="B21" s="131" t="s">
        <v>59</v>
      </c>
      <c r="C21" s="146">
        <v>12</v>
      </c>
      <c r="D21" s="155">
        <f>C21*308.61</f>
        <v>3703.32</v>
      </c>
      <c r="E21" s="156">
        <f>C21*238.54</f>
        <v>2862.48</v>
      </c>
      <c r="F21" s="188">
        <v>16</v>
      </c>
      <c r="G21" s="155">
        <f>F21*322.19</f>
        <v>5155.04</v>
      </c>
      <c r="H21" s="156">
        <f>F21*249.04</f>
        <v>3984.64</v>
      </c>
      <c r="I21" s="188">
        <v>12</v>
      </c>
      <c r="J21" s="155">
        <f>I21*333.95</f>
        <v>4007.3999999999996</v>
      </c>
      <c r="K21" s="156">
        <f>I21*258.13</f>
        <v>3097.56</v>
      </c>
      <c r="L21" s="188">
        <v>16</v>
      </c>
      <c r="M21" s="155">
        <f>L21*346.14</f>
        <v>5538.24</v>
      </c>
      <c r="N21" s="156">
        <f>L21*267.56</f>
        <v>4280.96</v>
      </c>
      <c r="O21" s="188">
        <v>15</v>
      </c>
      <c r="P21" s="155">
        <f>O21*358.78</f>
        <v>5381.7</v>
      </c>
      <c r="Q21" s="156">
        <f>O21*277.33</f>
        <v>4159.95</v>
      </c>
      <c r="R21" s="168">
        <f t="shared" si="3"/>
        <v>71</v>
      </c>
      <c r="S21" s="165">
        <f t="shared" si="3"/>
        <v>23785.699999999997</v>
      </c>
      <c r="T21" s="172">
        <f t="shared" si="3"/>
        <v>18385.59</v>
      </c>
      <c r="U21" s="48"/>
      <c r="V21" s="48"/>
      <c r="W21" s="48"/>
      <c r="X21" s="48"/>
      <c r="Y21" s="48"/>
    </row>
    <row r="22" spans="1:25" s="30" customFormat="1" ht="30" customHeight="1" x14ac:dyDescent="0.25">
      <c r="A22" s="280"/>
      <c r="B22" s="133" t="s">
        <v>45</v>
      </c>
      <c r="C22" s="151">
        <f>C20+C21</f>
        <v>32</v>
      </c>
      <c r="D22" s="158">
        <f t="shared" ref="D22:Q22" si="4">SUM(D20:D21)</f>
        <v>8151.32</v>
      </c>
      <c r="E22" s="159">
        <f t="shared" si="4"/>
        <v>5976.08</v>
      </c>
      <c r="F22" s="189">
        <f>F20+F21</f>
        <v>38</v>
      </c>
      <c r="G22" s="158">
        <f t="shared" si="4"/>
        <v>10226.259999999998</v>
      </c>
      <c r="H22" s="159">
        <f t="shared" si="4"/>
        <v>7534.5599999999995</v>
      </c>
      <c r="I22" s="189">
        <f>I20+I21</f>
        <v>30</v>
      </c>
      <c r="J22" s="158">
        <f t="shared" si="4"/>
        <v>8308.14</v>
      </c>
      <c r="K22" s="159">
        <f t="shared" si="4"/>
        <v>6108.0599999999995</v>
      </c>
      <c r="L22" s="189">
        <f>L20+L21</f>
        <v>37</v>
      </c>
      <c r="M22" s="158">
        <f t="shared" si="4"/>
        <v>10738.89</v>
      </c>
      <c r="N22" s="159">
        <f t="shared" si="4"/>
        <v>7921.3099999999995</v>
      </c>
      <c r="O22" s="189">
        <f>O20+O21</f>
        <v>35</v>
      </c>
      <c r="P22" s="158">
        <f t="shared" si="4"/>
        <v>10515.5</v>
      </c>
      <c r="Q22" s="159">
        <f t="shared" si="4"/>
        <v>7753.55</v>
      </c>
      <c r="R22" s="169">
        <f>R20+R21</f>
        <v>172</v>
      </c>
      <c r="S22" s="167">
        <f>S20+S21</f>
        <v>47940.11</v>
      </c>
      <c r="T22" s="173">
        <f>T20+T21</f>
        <v>35293.56</v>
      </c>
      <c r="U22" s="181"/>
      <c r="V22" s="181"/>
      <c r="W22" s="181"/>
      <c r="X22" s="181"/>
      <c r="Y22" s="181"/>
    </row>
    <row r="23" spans="1:25" s="48" customFormat="1" ht="21.75" customHeight="1" x14ac:dyDescent="0.25">
      <c r="A23" s="145"/>
      <c r="B23" s="130"/>
      <c r="C23" s="142"/>
      <c r="D23" s="129"/>
      <c r="E23" s="143"/>
      <c r="F23" s="142"/>
      <c r="G23" s="129"/>
      <c r="H23" s="143"/>
      <c r="I23" s="142"/>
      <c r="J23" s="129"/>
      <c r="K23" s="143"/>
      <c r="L23" s="142"/>
      <c r="M23" s="129"/>
      <c r="N23" s="143"/>
      <c r="O23" s="142"/>
      <c r="P23" s="129"/>
      <c r="Q23" s="143"/>
      <c r="R23" s="161"/>
      <c r="S23" s="162"/>
      <c r="T23" s="175"/>
    </row>
    <row r="24" spans="1:25" s="49" customFormat="1" ht="44.25" customHeight="1" thickBot="1" x14ac:dyDescent="0.3">
      <c r="A24" s="284" t="s">
        <v>62</v>
      </c>
      <c r="B24" s="285"/>
      <c r="C24" s="144"/>
      <c r="D24" s="152">
        <f>D14+D17+D22</f>
        <v>69451.635999999999</v>
      </c>
      <c r="E24" s="153">
        <f>E14+E17+E22</f>
        <v>42471.807000000001</v>
      </c>
      <c r="F24" s="154"/>
      <c r="G24" s="152">
        <f>G14+G17+G22</f>
        <v>75743</v>
      </c>
      <c r="H24" s="153">
        <f>H14+H17+H22</f>
        <v>46882.358999999997</v>
      </c>
      <c r="I24" s="154"/>
      <c r="J24" s="152">
        <f>J14+J17+J22</f>
        <v>77142.079000000012</v>
      </c>
      <c r="K24" s="153">
        <f>K14+K17+K22</f>
        <v>47242.572</v>
      </c>
      <c r="L24" s="154"/>
      <c r="M24" s="152">
        <f>M14+M17+M22</f>
        <v>79535.759999999995</v>
      </c>
      <c r="N24" s="153">
        <f>N14+N17+N22</f>
        <v>49126.430999999997</v>
      </c>
      <c r="O24" s="154"/>
      <c r="P24" s="152">
        <f>P14+P17+P22</f>
        <v>85473.718499999988</v>
      </c>
      <c r="Q24" s="153">
        <f>Q14+Q17+Q22</f>
        <v>52308.144500000002</v>
      </c>
      <c r="R24" s="183"/>
      <c r="S24" s="184">
        <f>S14+S17+S22</f>
        <v>387346.19349999999</v>
      </c>
      <c r="T24" s="185">
        <f>T14+T17+T22</f>
        <v>238031.31349999999</v>
      </c>
      <c r="U24" s="182"/>
      <c r="V24" s="182"/>
      <c r="W24" s="182"/>
      <c r="X24" s="182"/>
      <c r="Y24" s="182"/>
    </row>
    <row r="25" spans="1:25" ht="13.5" customHeight="1" x14ac:dyDescent="0.25">
      <c r="F25" s="277"/>
      <c r="G25" s="277"/>
      <c r="H25" s="277"/>
      <c r="I25" s="277"/>
      <c r="J25" s="277"/>
      <c r="K25" s="277"/>
    </row>
    <row r="26" spans="1:25" ht="9" customHeight="1" x14ac:dyDescent="0.25"/>
    <row r="27" spans="1:25" ht="18.75" customHeight="1" x14ac:dyDescent="0.3">
      <c r="B27" s="76" t="s">
        <v>65</v>
      </c>
      <c r="C27" s="77"/>
      <c r="D27" s="186"/>
      <c r="E27" s="186" t="s">
        <v>66</v>
      </c>
      <c r="F27" s="187"/>
      <c r="I27" s="187"/>
      <c r="L27" s="187"/>
      <c r="O27" s="187"/>
      <c r="T27" s="176"/>
    </row>
    <row r="28" spans="1:25" ht="20.25" customHeight="1" x14ac:dyDescent="0.25"/>
    <row r="29" spans="1:25" x14ac:dyDescent="0.25">
      <c r="C29" s="83"/>
      <c r="D29" s="84"/>
      <c r="E29" s="79"/>
      <c r="F29" s="83"/>
      <c r="G29" s="84"/>
      <c r="H29" s="79"/>
      <c r="I29" s="83"/>
      <c r="J29" s="84"/>
      <c r="K29" s="79"/>
      <c r="L29" s="83"/>
      <c r="M29" s="84"/>
      <c r="N29" s="79"/>
      <c r="O29" s="83"/>
      <c r="P29" s="84"/>
      <c r="Q29" s="79"/>
      <c r="R29" s="85"/>
    </row>
    <row r="30" spans="1:25" x14ac:dyDescent="0.25">
      <c r="C30" s="83"/>
      <c r="D30" s="84"/>
      <c r="E30" s="79"/>
      <c r="F30" s="83"/>
      <c r="G30" s="84"/>
      <c r="H30" s="79"/>
      <c r="I30" s="83"/>
      <c r="J30" s="84"/>
      <c r="K30" s="79"/>
      <c r="L30" s="83"/>
      <c r="M30" s="84"/>
      <c r="N30" s="79"/>
      <c r="O30" s="83"/>
      <c r="P30" s="84"/>
      <c r="Q30" s="79"/>
      <c r="R30" s="85"/>
    </row>
    <row r="31" spans="1:25" x14ac:dyDescent="0.25">
      <c r="C31" s="83"/>
      <c r="D31" s="84"/>
      <c r="E31" s="79"/>
      <c r="F31" s="83"/>
      <c r="G31" s="84"/>
      <c r="H31" s="79"/>
      <c r="I31" s="83"/>
      <c r="J31" s="84"/>
      <c r="K31" s="79"/>
      <c r="L31" s="83"/>
      <c r="M31" s="84"/>
      <c r="N31" s="79"/>
      <c r="O31" s="83"/>
      <c r="P31" s="84"/>
      <c r="Q31" s="79"/>
      <c r="R31" s="85"/>
    </row>
  </sheetData>
  <mergeCells count="30">
    <mergeCell ref="S9:T9"/>
    <mergeCell ref="F25:K25"/>
    <mergeCell ref="A11:A22"/>
    <mergeCell ref="B11:R11"/>
    <mergeCell ref="B18:R18"/>
    <mergeCell ref="A24:B24"/>
    <mergeCell ref="D9:E9"/>
    <mergeCell ref="G9:H9"/>
    <mergeCell ref="J9:K9"/>
    <mergeCell ref="M9:N9"/>
    <mergeCell ref="P9:Q9"/>
    <mergeCell ref="A8:A10"/>
    <mergeCell ref="B8:B10"/>
    <mergeCell ref="C8:E8"/>
    <mergeCell ref="F8:H8"/>
    <mergeCell ref="I8:K8"/>
    <mergeCell ref="L8:N8"/>
    <mergeCell ref="A4:D4"/>
    <mergeCell ref="A5:R5"/>
    <mergeCell ref="A6:R6"/>
    <mergeCell ref="A7:R7"/>
    <mergeCell ref="R8:T8"/>
    <mergeCell ref="O8:Q8"/>
    <mergeCell ref="N4:T4"/>
    <mergeCell ref="A1:D1"/>
    <mergeCell ref="A2:D2"/>
    <mergeCell ref="A3:D3"/>
    <mergeCell ref="O1:T1"/>
    <mergeCell ref="N2:T2"/>
    <mergeCell ref="N3:T3"/>
  </mergeCells>
  <pageMargins left="0.31496062992125984" right="0.5118110236220472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topLeftCell="A7" zoomScale="75" zoomScaleNormal="75" zoomScaleSheetLayoutView="75" zoomScalePageLayoutView="75" workbookViewId="0">
      <selection activeCell="AA11" sqref="AA11"/>
    </sheetView>
  </sheetViews>
  <sheetFormatPr defaultRowHeight="16.5" x14ac:dyDescent="0.25"/>
  <cols>
    <col min="1" max="1" width="6.42578125" style="86" customWidth="1"/>
    <col min="2" max="2" width="33.140625" style="91" customWidth="1"/>
    <col min="3" max="3" width="9.42578125" style="195" customWidth="1"/>
    <col min="4" max="4" width="13.42578125" style="83" customWidth="1"/>
    <col min="5" max="5" width="13.7109375" style="83" customWidth="1"/>
    <col min="6" max="6" width="9.85546875" style="195" customWidth="1"/>
    <col min="7" max="8" width="12.5703125" style="83" customWidth="1"/>
    <col min="9" max="9" width="9.140625" style="195" customWidth="1"/>
    <col min="10" max="10" width="12.42578125" style="83" customWidth="1"/>
    <col min="11" max="11" width="13.140625" style="83" customWidth="1"/>
    <col min="12" max="12" width="9.42578125" style="195" customWidth="1"/>
    <col min="13" max="14" width="12.5703125" style="83" customWidth="1"/>
    <col min="15" max="15" width="10" style="195" customWidth="1"/>
    <col min="16" max="16" width="13.7109375" style="83" customWidth="1"/>
    <col min="17" max="17" width="12.5703125" style="83" customWidth="1"/>
    <col min="18" max="18" width="11.42578125" style="79" customWidth="1"/>
    <col min="19" max="19" width="13.42578125" bestFit="1" customWidth="1"/>
    <col min="20" max="20" width="13.28515625" bestFit="1" customWidth="1"/>
    <col min="21" max="21" width="8.140625" style="176" customWidth="1"/>
    <col min="22" max="22" width="8.85546875" style="176"/>
    <col min="23" max="24" width="11.85546875" style="176" customWidth="1"/>
    <col min="25" max="25" width="8.85546875" style="176"/>
    <col min="143" max="143" width="3.5703125" customWidth="1"/>
    <col min="144" max="144" width="57.7109375" customWidth="1"/>
    <col min="145" max="145" width="3.7109375" customWidth="1"/>
    <col min="146" max="146" width="4" customWidth="1"/>
    <col min="147" max="147" width="6.7109375" customWidth="1"/>
    <col min="148" max="148" width="6.42578125" customWidth="1"/>
    <col min="149" max="151" width="9.5703125" customWidth="1"/>
    <col min="152" max="152" width="10.7109375" customWidth="1"/>
    <col min="153" max="153" width="9" customWidth="1"/>
    <col min="154" max="154" width="11.5703125" customWidth="1"/>
    <col min="399" max="399" width="3.5703125" customWidth="1"/>
    <col min="400" max="400" width="57.7109375" customWidth="1"/>
    <col min="401" max="401" width="3.7109375" customWidth="1"/>
    <col min="402" max="402" width="4" customWidth="1"/>
    <col min="403" max="403" width="6.7109375" customWidth="1"/>
    <col min="404" max="404" width="6.42578125" customWidth="1"/>
    <col min="405" max="407" width="9.5703125" customWidth="1"/>
    <col min="408" max="408" width="10.7109375" customWidth="1"/>
    <col min="409" max="409" width="9" customWidth="1"/>
    <col min="410" max="410" width="11.5703125" customWidth="1"/>
    <col min="655" max="655" width="3.5703125" customWidth="1"/>
    <col min="656" max="656" width="57.7109375" customWidth="1"/>
    <col min="657" max="657" width="3.7109375" customWidth="1"/>
    <col min="658" max="658" width="4" customWidth="1"/>
    <col min="659" max="659" width="6.7109375" customWidth="1"/>
    <col min="660" max="660" width="6.42578125" customWidth="1"/>
    <col min="661" max="663" width="9.5703125" customWidth="1"/>
    <col min="664" max="664" width="10.7109375" customWidth="1"/>
    <col min="665" max="665" width="9" customWidth="1"/>
    <col min="666" max="666" width="11.5703125" customWidth="1"/>
    <col min="911" max="911" width="3.5703125" customWidth="1"/>
    <col min="912" max="912" width="57.7109375" customWidth="1"/>
    <col min="913" max="913" width="3.7109375" customWidth="1"/>
    <col min="914" max="914" width="4" customWidth="1"/>
    <col min="915" max="915" width="6.7109375" customWidth="1"/>
    <col min="916" max="916" width="6.42578125" customWidth="1"/>
    <col min="917" max="919" width="9.5703125" customWidth="1"/>
    <col min="920" max="920" width="10.7109375" customWidth="1"/>
    <col min="921" max="921" width="9" customWidth="1"/>
    <col min="922" max="922" width="11.5703125" customWidth="1"/>
    <col min="1167" max="1167" width="3.5703125" customWidth="1"/>
    <col min="1168" max="1168" width="57.7109375" customWidth="1"/>
    <col min="1169" max="1169" width="3.7109375" customWidth="1"/>
    <col min="1170" max="1170" width="4" customWidth="1"/>
    <col min="1171" max="1171" width="6.7109375" customWidth="1"/>
    <col min="1172" max="1172" width="6.42578125" customWidth="1"/>
    <col min="1173" max="1175" width="9.5703125" customWidth="1"/>
    <col min="1176" max="1176" width="10.7109375" customWidth="1"/>
    <col min="1177" max="1177" width="9" customWidth="1"/>
    <col min="1178" max="1178" width="11.5703125" customWidth="1"/>
    <col min="1423" max="1423" width="3.5703125" customWidth="1"/>
    <col min="1424" max="1424" width="57.7109375" customWidth="1"/>
    <col min="1425" max="1425" width="3.7109375" customWidth="1"/>
    <col min="1426" max="1426" width="4" customWidth="1"/>
    <col min="1427" max="1427" width="6.7109375" customWidth="1"/>
    <col min="1428" max="1428" width="6.42578125" customWidth="1"/>
    <col min="1429" max="1431" width="9.5703125" customWidth="1"/>
    <col min="1432" max="1432" width="10.7109375" customWidth="1"/>
    <col min="1433" max="1433" width="9" customWidth="1"/>
    <col min="1434" max="1434" width="11.5703125" customWidth="1"/>
    <col min="1679" max="1679" width="3.5703125" customWidth="1"/>
    <col min="1680" max="1680" width="57.7109375" customWidth="1"/>
    <col min="1681" max="1681" width="3.7109375" customWidth="1"/>
    <col min="1682" max="1682" width="4" customWidth="1"/>
    <col min="1683" max="1683" width="6.7109375" customWidth="1"/>
    <col min="1684" max="1684" width="6.42578125" customWidth="1"/>
    <col min="1685" max="1687" width="9.5703125" customWidth="1"/>
    <col min="1688" max="1688" width="10.7109375" customWidth="1"/>
    <col min="1689" max="1689" width="9" customWidth="1"/>
    <col min="1690" max="1690" width="11.5703125" customWidth="1"/>
    <col min="1935" max="1935" width="3.5703125" customWidth="1"/>
    <col min="1936" max="1936" width="57.7109375" customWidth="1"/>
    <col min="1937" max="1937" width="3.7109375" customWidth="1"/>
    <col min="1938" max="1938" width="4" customWidth="1"/>
    <col min="1939" max="1939" width="6.7109375" customWidth="1"/>
    <col min="1940" max="1940" width="6.42578125" customWidth="1"/>
    <col min="1941" max="1943" width="9.5703125" customWidth="1"/>
    <col min="1944" max="1944" width="10.7109375" customWidth="1"/>
    <col min="1945" max="1945" width="9" customWidth="1"/>
    <col min="1946" max="1946" width="11.5703125" customWidth="1"/>
    <col min="2191" max="2191" width="3.5703125" customWidth="1"/>
    <col min="2192" max="2192" width="57.7109375" customWidth="1"/>
    <col min="2193" max="2193" width="3.7109375" customWidth="1"/>
    <col min="2194" max="2194" width="4" customWidth="1"/>
    <col min="2195" max="2195" width="6.7109375" customWidth="1"/>
    <col min="2196" max="2196" width="6.42578125" customWidth="1"/>
    <col min="2197" max="2199" width="9.5703125" customWidth="1"/>
    <col min="2200" max="2200" width="10.7109375" customWidth="1"/>
    <col min="2201" max="2201" width="9" customWidth="1"/>
    <col min="2202" max="2202" width="11.5703125" customWidth="1"/>
    <col min="2447" max="2447" width="3.5703125" customWidth="1"/>
    <col min="2448" max="2448" width="57.7109375" customWidth="1"/>
    <col min="2449" max="2449" width="3.7109375" customWidth="1"/>
    <col min="2450" max="2450" width="4" customWidth="1"/>
    <col min="2451" max="2451" width="6.7109375" customWidth="1"/>
    <col min="2452" max="2452" width="6.42578125" customWidth="1"/>
    <col min="2453" max="2455" width="9.5703125" customWidth="1"/>
    <col min="2456" max="2456" width="10.7109375" customWidth="1"/>
    <col min="2457" max="2457" width="9" customWidth="1"/>
    <col min="2458" max="2458" width="11.5703125" customWidth="1"/>
    <col min="2703" max="2703" width="3.5703125" customWidth="1"/>
    <col min="2704" max="2704" width="57.7109375" customWidth="1"/>
    <col min="2705" max="2705" width="3.7109375" customWidth="1"/>
    <col min="2706" max="2706" width="4" customWidth="1"/>
    <col min="2707" max="2707" width="6.7109375" customWidth="1"/>
    <col min="2708" max="2708" width="6.42578125" customWidth="1"/>
    <col min="2709" max="2711" width="9.5703125" customWidth="1"/>
    <col min="2712" max="2712" width="10.7109375" customWidth="1"/>
    <col min="2713" max="2713" width="9" customWidth="1"/>
    <col min="2714" max="2714" width="11.5703125" customWidth="1"/>
    <col min="2959" max="2959" width="3.5703125" customWidth="1"/>
    <col min="2960" max="2960" width="57.7109375" customWidth="1"/>
    <col min="2961" max="2961" width="3.7109375" customWidth="1"/>
    <col min="2962" max="2962" width="4" customWidth="1"/>
    <col min="2963" max="2963" width="6.7109375" customWidth="1"/>
    <col min="2964" max="2964" width="6.42578125" customWidth="1"/>
    <col min="2965" max="2967" width="9.5703125" customWidth="1"/>
    <col min="2968" max="2968" width="10.7109375" customWidth="1"/>
    <col min="2969" max="2969" width="9" customWidth="1"/>
    <col min="2970" max="2970" width="11.5703125" customWidth="1"/>
    <col min="3215" max="3215" width="3.5703125" customWidth="1"/>
    <col min="3216" max="3216" width="57.7109375" customWidth="1"/>
    <col min="3217" max="3217" width="3.7109375" customWidth="1"/>
    <col min="3218" max="3218" width="4" customWidth="1"/>
    <col min="3219" max="3219" width="6.7109375" customWidth="1"/>
    <col min="3220" max="3220" width="6.42578125" customWidth="1"/>
    <col min="3221" max="3223" width="9.5703125" customWidth="1"/>
    <col min="3224" max="3224" width="10.7109375" customWidth="1"/>
    <col min="3225" max="3225" width="9" customWidth="1"/>
    <col min="3226" max="3226" width="11.5703125" customWidth="1"/>
    <col min="3471" max="3471" width="3.5703125" customWidth="1"/>
    <col min="3472" max="3472" width="57.7109375" customWidth="1"/>
    <col min="3473" max="3473" width="3.7109375" customWidth="1"/>
    <col min="3474" max="3474" width="4" customWidth="1"/>
    <col min="3475" max="3475" width="6.7109375" customWidth="1"/>
    <col min="3476" max="3476" width="6.42578125" customWidth="1"/>
    <col min="3477" max="3479" width="9.5703125" customWidth="1"/>
    <col min="3480" max="3480" width="10.7109375" customWidth="1"/>
    <col min="3481" max="3481" width="9" customWidth="1"/>
    <col min="3482" max="3482" width="11.5703125" customWidth="1"/>
    <col min="3727" max="3727" width="3.5703125" customWidth="1"/>
    <col min="3728" max="3728" width="57.7109375" customWidth="1"/>
    <col min="3729" max="3729" width="3.7109375" customWidth="1"/>
    <col min="3730" max="3730" width="4" customWidth="1"/>
    <col min="3731" max="3731" width="6.7109375" customWidth="1"/>
    <col min="3732" max="3732" width="6.42578125" customWidth="1"/>
    <col min="3733" max="3735" width="9.5703125" customWidth="1"/>
    <col min="3736" max="3736" width="10.7109375" customWidth="1"/>
    <col min="3737" max="3737" width="9" customWidth="1"/>
    <col min="3738" max="3738" width="11.5703125" customWidth="1"/>
    <col min="3983" max="3983" width="3.5703125" customWidth="1"/>
    <col min="3984" max="3984" width="57.7109375" customWidth="1"/>
    <col min="3985" max="3985" width="3.7109375" customWidth="1"/>
    <col min="3986" max="3986" width="4" customWidth="1"/>
    <col min="3987" max="3987" width="6.7109375" customWidth="1"/>
    <col min="3988" max="3988" width="6.42578125" customWidth="1"/>
    <col min="3989" max="3991" width="9.5703125" customWidth="1"/>
    <col min="3992" max="3992" width="10.7109375" customWidth="1"/>
    <col min="3993" max="3993" width="9" customWidth="1"/>
    <col min="3994" max="3994" width="11.5703125" customWidth="1"/>
    <col min="4239" max="4239" width="3.5703125" customWidth="1"/>
    <col min="4240" max="4240" width="57.7109375" customWidth="1"/>
    <col min="4241" max="4241" width="3.7109375" customWidth="1"/>
    <col min="4242" max="4242" width="4" customWidth="1"/>
    <col min="4243" max="4243" width="6.7109375" customWidth="1"/>
    <col min="4244" max="4244" width="6.42578125" customWidth="1"/>
    <col min="4245" max="4247" width="9.5703125" customWidth="1"/>
    <col min="4248" max="4248" width="10.7109375" customWidth="1"/>
    <col min="4249" max="4249" width="9" customWidth="1"/>
    <col min="4250" max="4250" width="11.5703125" customWidth="1"/>
    <col min="4495" max="4495" width="3.5703125" customWidth="1"/>
    <col min="4496" max="4496" width="57.7109375" customWidth="1"/>
    <col min="4497" max="4497" width="3.7109375" customWidth="1"/>
    <col min="4498" max="4498" width="4" customWidth="1"/>
    <col min="4499" max="4499" width="6.7109375" customWidth="1"/>
    <col min="4500" max="4500" width="6.42578125" customWidth="1"/>
    <col min="4501" max="4503" width="9.5703125" customWidth="1"/>
    <col min="4504" max="4504" width="10.7109375" customWidth="1"/>
    <col min="4505" max="4505" width="9" customWidth="1"/>
    <col min="4506" max="4506" width="11.5703125" customWidth="1"/>
    <col min="4751" max="4751" width="3.5703125" customWidth="1"/>
    <col min="4752" max="4752" width="57.7109375" customWidth="1"/>
    <col min="4753" max="4753" width="3.7109375" customWidth="1"/>
    <col min="4754" max="4754" width="4" customWidth="1"/>
    <col min="4755" max="4755" width="6.7109375" customWidth="1"/>
    <col min="4756" max="4756" width="6.42578125" customWidth="1"/>
    <col min="4757" max="4759" width="9.5703125" customWidth="1"/>
    <col min="4760" max="4760" width="10.7109375" customWidth="1"/>
    <col min="4761" max="4761" width="9" customWidth="1"/>
    <col min="4762" max="4762" width="11.5703125" customWidth="1"/>
    <col min="5007" max="5007" width="3.5703125" customWidth="1"/>
    <col min="5008" max="5008" width="57.7109375" customWidth="1"/>
    <col min="5009" max="5009" width="3.7109375" customWidth="1"/>
    <col min="5010" max="5010" width="4" customWidth="1"/>
    <col min="5011" max="5011" width="6.7109375" customWidth="1"/>
    <col min="5012" max="5012" width="6.42578125" customWidth="1"/>
    <col min="5013" max="5015" width="9.5703125" customWidth="1"/>
    <col min="5016" max="5016" width="10.7109375" customWidth="1"/>
    <col min="5017" max="5017" width="9" customWidth="1"/>
    <col min="5018" max="5018" width="11.5703125" customWidth="1"/>
    <col min="5263" max="5263" width="3.5703125" customWidth="1"/>
    <col min="5264" max="5264" width="57.7109375" customWidth="1"/>
    <col min="5265" max="5265" width="3.7109375" customWidth="1"/>
    <col min="5266" max="5266" width="4" customWidth="1"/>
    <col min="5267" max="5267" width="6.7109375" customWidth="1"/>
    <col min="5268" max="5268" width="6.42578125" customWidth="1"/>
    <col min="5269" max="5271" width="9.5703125" customWidth="1"/>
    <col min="5272" max="5272" width="10.7109375" customWidth="1"/>
    <col min="5273" max="5273" width="9" customWidth="1"/>
    <col min="5274" max="5274" width="11.5703125" customWidth="1"/>
    <col min="5519" max="5519" width="3.5703125" customWidth="1"/>
    <col min="5520" max="5520" width="57.7109375" customWidth="1"/>
    <col min="5521" max="5521" width="3.7109375" customWidth="1"/>
    <col min="5522" max="5522" width="4" customWidth="1"/>
    <col min="5523" max="5523" width="6.7109375" customWidth="1"/>
    <col min="5524" max="5524" width="6.42578125" customWidth="1"/>
    <col min="5525" max="5527" width="9.5703125" customWidth="1"/>
    <col min="5528" max="5528" width="10.7109375" customWidth="1"/>
    <col min="5529" max="5529" width="9" customWidth="1"/>
    <col min="5530" max="5530" width="11.5703125" customWidth="1"/>
    <col min="5775" max="5775" width="3.5703125" customWidth="1"/>
    <col min="5776" max="5776" width="57.7109375" customWidth="1"/>
    <col min="5777" max="5777" width="3.7109375" customWidth="1"/>
    <col min="5778" max="5778" width="4" customWidth="1"/>
    <col min="5779" max="5779" width="6.7109375" customWidth="1"/>
    <col min="5780" max="5780" width="6.42578125" customWidth="1"/>
    <col min="5781" max="5783" width="9.5703125" customWidth="1"/>
    <col min="5784" max="5784" width="10.7109375" customWidth="1"/>
    <col min="5785" max="5785" width="9" customWidth="1"/>
    <col min="5786" max="5786" width="11.5703125" customWidth="1"/>
    <col min="6031" max="6031" width="3.5703125" customWidth="1"/>
    <col min="6032" max="6032" width="57.7109375" customWidth="1"/>
    <col min="6033" max="6033" width="3.7109375" customWidth="1"/>
    <col min="6034" max="6034" width="4" customWidth="1"/>
    <col min="6035" max="6035" width="6.7109375" customWidth="1"/>
    <col min="6036" max="6036" width="6.42578125" customWidth="1"/>
    <col min="6037" max="6039" width="9.5703125" customWidth="1"/>
    <col min="6040" max="6040" width="10.7109375" customWidth="1"/>
    <col min="6041" max="6041" width="9" customWidth="1"/>
    <col min="6042" max="6042" width="11.5703125" customWidth="1"/>
    <col min="6287" max="6287" width="3.5703125" customWidth="1"/>
    <col min="6288" max="6288" width="57.7109375" customWidth="1"/>
    <col min="6289" max="6289" width="3.7109375" customWidth="1"/>
    <col min="6290" max="6290" width="4" customWidth="1"/>
    <col min="6291" max="6291" width="6.7109375" customWidth="1"/>
    <col min="6292" max="6292" width="6.42578125" customWidth="1"/>
    <col min="6293" max="6295" width="9.5703125" customWidth="1"/>
    <col min="6296" max="6296" width="10.7109375" customWidth="1"/>
    <col min="6297" max="6297" width="9" customWidth="1"/>
    <col min="6298" max="6298" width="11.5703125" customWidth="1"/>
    <col min="6543" max="6543" width="3.5703125" customWidth="1"/>
    <col min="6544" max="6544" width="57.7109375" customWidth="1"/>
    <col min="6545" max="6545" width="3.7109375" customWidth="1"/>
    <col min="6546" max="6546" width="4" customWidth="1"/>
    <col min="6547" max="6547" width="6.7109375" customWidth="1"/>
    <col min="6548" max="6548" width="6.42578125" customWidth="1"/>
    <col min="6549" max="6551" width="9.5703125" customWidth="1"/>
    <col min="6552" max="6552" width="10.7109375" customWidth="1"/>
    <col min="6553" max="6553" width="9" customWidth="1"/>
    <col min="6554" max="6554" width="11.5703125" customWidth="1"/>
    <col min="6799" max="6799" width="3.5703125" customWidth="1"/>
    <col min="6800" max="6800" width="57.7109375" customWidth="1"/>
    <col min="6801" max="6801" width="3.7109375" customWidth="1"/>
    <col min="6802" max="6802" width="4" customWidth="1"/>
    <col min="6803" max="6803" width="6.7109375" customWidth="1"/>
    <col min="6804" max="6804" width="6.42578125" customWidth="1"/>
    <col min="6805" max="6807" width="9.5703125" customWidth="1"/>
    <col min="6808" max="6808" width="10.7109375" customWidth="1"/>
    <col min="6809" max="6809" width="9" customWidth="1"/>
    <col min="6810" max="6810" width="11.5703125" customWidth="1"/>
    <col min="7055" max="7055" width="3.5703125" customWidth="1"/>
    <col min="7056" max="7056" width="57.7109375" customWidth="1"/>
    <col min="7057" max="7057" width="3.7109375" customWidth="1"/>
    <col min="7058" max="7058" width="4" customWidth="1"/>
    <col min="7059" max="7059" width="6.7109375" customWidth="1"/>
    <col min="7060" max="7060" width="6.42578125" customWidth="1"/>
    <col min="7061" max="7063" width="9.5703125" customWidth="1"/>
    <col min="7064" max="7064" width="10.7109375" customWidth="1"/>
    <col min="7065" max="7065" width="9" customWidth="1"/>
    <col min="7066" max="7066" width="11.5703125" customWidth="1"/>
    <col min="7311" max="7311" width="3.5703125" customWidth="1"/>
    <col min="7312" max="7312" width="57.7109375" customWidth="1"/>
    <col min="7313" max="7313" width="3.7109375" customWidth="1"/>
    <col min="7314" max="7314" width="4" customWidth="1"/>
    <col min="7315" max="7315" width="6.7109375" customWidth="1"/>
    <col min="7316" max="7316" width="6.42578125" customWidth="1"/>
    <col min="7317" max="7319" width="9.5703125" customWidth="1"/>
    <col min="7320" max="7320" width="10.7109375" customWidth="1"/>
    <col min="7321" max="7321" width="9" customWidth="1"/>
    <col min="7322" max="7322" width="11.5703125" customWidth="1"/>
    <col min="7567" max="7567" width="3.5703125" customWidth="1"/>
    <col min="7568" max="7568" width="57.7109375" customWidth="1"/>
    <col min="7569" max="7569" width="3.7109375" customWidth="1"/>
    <col min="7570" max="7570" width="4" customWidth="1"/>
    <col min="7571" max="7571" width="6.7109375" customWidth="1"/>
    <col min="7572" max="7572" width="6.42578125" customWidth="1"/>
    <col min="7573" max="7575" width="9.5703125" customWidth="1"/>
    <col min="7576" max="7576" width="10.7109375" customWidth="1"/>
    <col min="7577" max="7577" width="9" customWidth="1"/>
    <col min="7578" max="7578" width="11.5703125" customWidth="1"/>
    <col min="7823" max="7823" width="3.5703125" customWidth="1"/>
    <col min="7824" max="7824" width="57.7109375" customWidth="1"/>
    <col min="7825" max="7825" width="3.7109375" customWidth="1"/>
    <col min="7826" max="7826" width="4" customWidth="1"/>
    <col min="7827" max="7827" width="6.7109375" customWidth="1"/>
    <col min="7828" max="7828" width="6.42578125" customWidth="1"/>
    <col min="7829" max="7831" width="9.5703125" customWidth="1"/>
    <col min="7832" max="7832" width="10.7109375" customWidth="1"/>
    <col min="7833" max="7833" width="9" customWidth="1"/>
    <col min="7834" max="7834" width="11.5703125" customWidth="1"/>
    <col min="8079" max="8079" width="3.5703125" customWidth="1"/>
    <col min="8080" max="8080" width="57.7109375" customWidth="1"/>
    <col min="8081" max="8081" width="3.7109375" customWidth="1"/>
    <col min="8082" max="8082" width="4" customWidth="1"/>
    <col min="8083" max="8083" width="6.7109375" customWidth="1"/>
    <col min="8084" max="8084" width="6.42578125" customWidth="1"/>
    <col min="8085" max="8087" width="9.5703125" customWidth="1"/>
    <col min="8088" max="8088" width="10.7109375" customWidth="1"/>
    <col min="8089" max="8089" width="9" customWidth="1"/>
    <col min="8090" max="8090" width="11.5703125" customWidth="1"/>
    <col min="8335" max="8335" width="3.5703125" customWidth="1"/>
    <col min="8336" max="8336" width="57.7109375" customWidth="1"/>
    <col min="8337" max="8337" width="3.7109375" customWidth="1"/>
    <col min="8338" max="8338" width="4" customWidth="1"/>
    <col min="8339" max="8339" width="6.7109375" customWidth="1"/>
    <col min="8340" max="8340" width="6.42578125" customWidth="1"/>
    <col min="8341" max="8343" width="9.5703125" customWidth="1"/>
    <col min="8344" max="8344" width="10.7109375" customWidth="1"/>
    <col min="8345" max="8345" width="9" customWidth="1"/>
    <col min="8346" max="8346" width="11.5703125" customWidth="1"/>
  </cols>
  <sheetData>
    <row r="1" spans="1:25" s="2" customFormat="1" ht="18.75" customHeight="1" x14ac:dyDescent="0.3">
      <c r="A1" s="267" t="s">
        <v>48</v>
      </c>
      <c r="B1" s="267"/>
      <c r="C1" s="267"/>
      <c r="D1" s="267"/>
      <c r="E1" s="197"/>
      <c r="F1" s="197"/>
      <c r="G1" s="197"/>
      <c r="H1" s="197"/>
      <c r="I1" s="197"/>
      <c r="J1" s="197"/>
      <c r="K1" s="197"/>
      <c r="L1" s="197"/>
      <c r="M1" s="197"/>
      <c r="N1" s="191"/>
      <c r="O1" s="267" t="s">
        <v>47</v>
      </c>
      <c r="P1" s="267"/>
      <c r="Q1" s="267"/>
      <c r="R1" s="267"/>
      <c r="S1" s="267"/>
      <c r="T1" s="267"/>
      <c r="U1" s="177"/>
      <c r="V1" s="177"/>
      <c r="W1" s="177"/>
      <c r="X1" s="177"/>
      <c r="Y1" s="177"/>
    </row>
    <row r="2" spans="1:25" s="2" customFormat="1" ht="18.75" customHeight="1" x14ac:dyDescent="0.3">
      <c r="A2" s="268" t="s">
        <v>49</v>
      </c>
      <c r="B2" s="268"/>
      <c r="C2" s="268"/>
      <c r="D2" s="268"/>
      <c r="E2" s="132"/>
      <c r="F2" s="132"/>
      <c r="G2" s="132"/>
      <c r="H2" s="132"/>
      <c r="I2" s="132"/>
      <c r="J2" s="132"/>
      <c r="K2" s="132"/>
      <c r="L2" s="132"/>
      <c r="M2" s="132"/>
      <c r="N2" s="269" t="s">
        <v>12</v>
      </c>
      <c r="O2" s="269"/>
      <c r="P2" s="269"/>
      <c r="Q2" s="269"/>
      <c r="R2" s="269"/>
      <c r="S2" s="269"/>
      <c r="T2" s="269"/>
      <c r="U2" s="177"/>
      <c r="V2" s="177"/>
      <c r="W2" s="177"/>
      <c r="X2" s="177"/>
      <c r="Y2" s="177"/>
    </row>
    <row r="3" spans="1:25" s="2" customFormat="1" ht="23.25" customHeight="1" x14ac:dyDescent="0.3">
      <c r="A3" s="268" t="s">
        <v>50</v>
      </c>
      <c r="B3" s="268"/>
      <c r="C3" s="268"/>
      <c r="D3" s="268"/>
      <c r="E3" s="132"/>
      <c r="F3" s="132"/>
      <c r="G3" s="132"/>
      <c r="H3" s="132"/>
      <c r="I3" s="132"/>
      <c r="J3" s="132"/>
      <c r="K3" s="132"/>
      <c r="L3" s="132"/>
      <c r="M3" s="132"/>
      <c r="N3" s="269" t="s">
        <v>68</v>
      </c>
      <c r="O3" s="269"/>
      <c r="P3" s="269"/>
      <c r="Q3" s="269"/>
      <c r="R3" s="269"/>
      <c r="S3" s="269"/>
      <c r="T3" s="269"/>
      <c r="U3" s="177"/>
      <c r="V3" s="177"/>
      <c r="W3" s="177"/>
      <c r="X3" s="177"/>
      <c r="Y3" s="177"/>
    </row>
    <row r="4" spans="1:25" s="2" customFormat="1" ht="23.25" customHeight="1" x14ac:dyDescent="0.3">
      <c r="A4" s="268" t="s">
        <v>20</v>
      </c>
      <c r="B4" s="268"/>
      <c r="C4" s="268"/>
      <c r="D4" s="268"/>
      <c r="E4" s="148" t="s">
        <v>73</v>
      </c>
      <c r="F4" s="148"/>
      <c r="G4" s="148"/>
      <c r="H4" s="148"/>
      <c r="I4" s="148"/>
      <c r="J4" s="148"/>
      <c r="K4" s="148"/>
      <c r="L4" s="148"/>
      <c r="M4" s="148"/>
      <c r="N4" s="269" t="s">
        <v>67</v>
      </c>
      <c r="O4" s="269"/>
      <c r="P4" s="269"/>
      <c r="Q4" s="269"/>
      <c r="R4" s="269"/>
      <c r="S4" s="269"/>
      <c r="T4" s="269"/>
      <c r="U4" s="177"/>
      <c r="V4" s="177"/>
      <c r="W4" s="177"/>
      <c r="X4" s="177"/>
      <c r="Y4" s="177"/>
    </row>
    <row r="5" spans="1:25" ht="25.5" customHeight="1" x14ac:dyDescent="0.3">
      <c r="A5" s="273" t="s">
        <v>75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</row>
    <row r="6" spans="1:25" ht="19.5" customHeight="1" x14ac:dyDescent="0.3">
      <c r="A6" s="273" t="s">
        <v>74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25" ht="11.25" customHeight="1" thickBot="1" x14ac:dyDescent="0.3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</row>
    <row r="8" spans="1:25" ht="30.75" customHeight="1" x14ac:dyDescent="0.25">
      <c r="A8" s="288" t="s">
        <v>55</v>
      </c>
      <c r="B8" s="291" t="s">
        <v>0</v>
      </c>
      <c r="C8" s="270" t="s">
        <v>38</v>
      </c>
      <c r="D8" s="271"/>
      <c r="E8" s="272"/>
      <c r="F8" s="270" t="s">
        <v>41</v>
      </c>
      <c r="G8" s="271"/>
      <c r="H8" s="272"/>
      <c r="I8" s="270" t="s">
        <v>42</v>
      </c>
      <c r="J8" s="271"/>
      <c r="K8" s="272"/>
      <c r="L8" s="270" t="s">
        <v>43</v>
      </c>
      <c r="M8" s="271"/>
      <c r="N8" s="272"/>
      <c r="O8" s="270" t="s">
        <v>44</v>
      </c>
      <c r="P8" s="271"/>
      <c r="Q8" s="272"/>
      <c r="R8" s="274" t="s">
        <v>64</v>
      </c>
      <c r="S8" s="274"/>
      <c r="T8" s="274"/>
    </row>
    <row r="9" spans="1:25" s="4" customFormat="1" ht="50.25" customHeight="1" x14ac:dyDescent="0.2">
      <c r="A9" s="289"/>
      <c r="B9" s="292"/>
      <c r="C9" s="136" t="s">
        <v>39</v>
      </c>
      <c r="D9" s="286" t="s">
        <v>56</v>
      </c>
      <c r="E9" s="287"/>
      <c r="F9" s="136" t="s">
        <v>39</v>
      </c>
      <c r="G9" s="286" t="s">
        <v>57</v>
      </c>
      <c r="H9" s="287"/>
      <c r="I9" s="136" t="s">
        <v>39</v>
      </c>
      <c r="J9" s="286" t="s">
        <v>57</v>
      </c>
      <c r="K9" s="287"/>
      <c r="L9" s="136" t="s">
        <v>39</v>
      </c>
      <c r="M9" s="286" t="s">
        <v>57</v>
      </c>
      <c r="N9" s="287"/>
      <c r="O9" s="136" t="s">
        <v>39</v>
      </c>
      <c r="P9" s="286" t="s">
        <v>57</v>
      </c>
      <c r="Q9" s="287"/>
      <c r="R9" s="196" t="s">
        <v>39</v>
      </c>
      <c r="S9" s="275" t="s">
        <v>63</v>
      </c>
      <c r="T9" s="276"/>
      <c r="U9" s="178"/>
      <c r="V9" s="179"/>
      <c r="W9" s="179"/>
      <c r="X9" s="179"/>
      <c r="Y9" s="179"/>
    </row>
    <row r="10" spans="1:25" s="4" customFormat="1" ht="30" customHeight="1" x14ac:dyDescent="0.2">
      <c r="A10" s="290"/>
      <c r="B10" s="293"/>
      <c r="C10" s="139" t="s">
        <v>1</v>
      </c>
      <c r="D10" s="8" t="s">
        <v>3</v>
      </c>
      <c r="E10" s="140" t="s">
        <v>40</v>
      </c>
      <c r="F10" s="139" t="s">
        <v>1</v>
      </c>
      <c r="G10" s="8" t="s">
        <v>3</v>
      </c>
      <c r="H10" s="140" t="s">
        <v>40</v>
      </c>
      <c r="I10" s="139" t="s">
        <v>1</v>
      </c>
      <c r="J10" s="8" t="s">
        <v>3</v>
      </c>
      <c r="K10" s="140" t="s">
        <v>40</v>
      </c>
      <c r="L10" s="139" t="s">
        <v>1</v>
      </c>
      <c r="M10" s="8" t="s">
        <v>3</v>
      </c>
      <c r="N10" s="140" t="s">
        <v>40</v>
      </c>
      <c r="O10" s="139" t="s">
        <v>1</v>
      </c>
      <c r="P10" s="193" t="s">
        <v>3</v>
      </c>
      <c r="Q10" s="194" t="s">
        <v>40</v>
      </c>
      <c r="R10" s="196" t="s">
        <v>1</v>
      </c>
      <c r="S10" s="193" t="s">
        <v>3</v>
      </c>
      <c r="T10" s="194" t="s">
        <v>40</v>
      </c>
      <c r="U10" s="180"/>
      <c r="V10" s="179"/>
      <c r="W10" s="179"/>
      <c r="X10" s="179"/>
      <c r="Y10" s="179"/>
    </row>
    <row r="11" spans="1:25" s="38" customFormat="1" ht="31.5" customHeight="1" x14ac:dyDescent="0.25">
      <c r="A11" s="278" t="s">
        <v>34</v>
      </c>
      <c r="B11" s="281" t="s">
        <v>61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128"/>
      <c r="T11" s="170"/>
      <c r="U11" s="128"/>
      <c r="V11" s="128"/>
      <c r="W11" s="128"/>
      <c r="X11" s="128"/>
      <c r="Y11" s="128"/>
    </row>
    <row r="12" spans="1:25" s="3" customFormat="1" ht="60" customHeight="1" x14ac:dyDescent="0.25">
      <c r="A12" s="279"/>
      <c r="B12" s="131" t="s">
        <v>35</v>
      </c>
      <c r="C12" s="198">
        <v>5.62</v>
      </c>
      <c r="D12" s="198">
        <f>E12*1.3777</f>
        <v>13503.609211999999</v>
      </c>
      <c r="E12" s="199">
        <v>9801.56</v>
      </c>
      <c r="F12" s="202">
        <v>6.6</v>
      </c>
      <c r="G12" s="165">
        <f>H12*1.3777</f>
        <v>16420.944070000001</v>
      </c>
      <c r="H12" s="172">
        <v>11919.1</v>
      </c>
      <c r="I12" s="202">
        <f>J12/2579.61</f>
        <v>7.1261916599718562</v>
      </c>
      <c r="J12" s="165">
        <f>K12*1.377717</f>
        <v>18382.79526798</v>
      </c>
      <c r="K12" s="172">
        <v>13342.94</v>
      </c>
      <c r="L12" s="202">
        <f>M12/2673.76</f>
        <v>6.7646916716534005</v>
      </c>
      <c r="M12" s="165">
        <f>N12*1.3777</f>
        <v>18087.162003999998</v>
      </c>
      <c r="N12" s="165">
        <v>13128.52</v>
      </c>
      <c r="O12" s="165">
        <f>P12/2771.35</f>
        <v>6.9556080930954245</v>
      </c>
      <c r="P12" s="165">
        <f>Q12*1.37772</f>
        <v>19276.424488800003</v>
      </c>
      <c r="Q12" s="172">
        <v>13991.54</v>
      </c>
      <c r="R12" s="163">
        <f>C12+F12+I12+L12+O12</f>
        <v>33.066491424720681</v>
      </c>
      <c r="S12" s="164">
        <f>P12+M12+J12+G12+D12</f>
        <v>85670.935042779995</v>
      </c>
      <c r="T12" s="171">
        <f>Q12+N12+K12+H12+E12</f>
        <v>62183.659999999996</v>
      </c>
      <c r="U12" s="48"/>
      <c r="V12" s="48"/>
      <c r="W12" s="48"/>
      <c r="X12" s="48"/>
      <c r="Y12" s="48"/>
    </row>
    <row r="13" spans="1:25" s="3" customFormat="1" ht="60" customHeight="1" x14ac:dyDescent="0.25">
      <c r="A13" s="279"/>
      <c r="B13" s="131" t="s">
        <v>36</v>
      </c>
      <c r="C13" s="198">
        <f>D13/1789.61</f>
        <v>7.4690778638921342</v>
      </c>
      <c r="D13" s="198">
        <f>E13*1.4934</f>
        <v>13366.736436000001</v>
      </c>
      <c r="E13" s="199">
        <v>8950.5400000000009</v>
      </c>
      <c r="F13" s="202">
        <f>G13/1854.9305</f>
        <v>5.9381016388484644</v>
      </c>
      <c r="G13" s="165">
        <f>H13*1.4934</f>
        <v>11014.765842000001</v>
      </c>
      <c r="H13" s="172">
        <v>7375.63</v>
      </c>
      <c r="I13" s="202">
        <f>J13/1922.63</f>
        <v>5.5143009465159709</v>
      </c>
      <c r="J13" s="165">
        <f>K13*1.49344</f>
        <v>10601.960428800001</v>
      </c>
      <c r="K13" s="172">
        <v>7099.02</v>
      </c>
      <c r="L13" s="202">
        <f>M13/1992.8</f>
        <v>5.4118038798625054</v>
      </c>
      <c r="M13" s="165">
        <f>N13*1.493451</f>
        <v>10784.642771790001</v>
      </c>
      <c r="N13" s="165">
        <v>7221.29</v>
      </c>
      <c r="O13" s="165">
        <f>P13/2065.53</f>
        <v>5.1035192040299577</v>
      </c>
      <c r="P13" s="165">
        <f>Q13*1.49345</f>
        <v>10541.4720215</v>
      </c>
      <c r="Q13" s="172">
        <v>7058.47</v>
      </c>
      <c r="R13" s="163">
        <f>O13+L13+I13+F13+C13</f>
        <v>29.436803533149035</v>
      </c>
      <c r="S13" s="165">
        <f>P13+M13+J13+G13+D13</f>
        <v>56309.577500089996</v>
      </c>
      <c r="T13" s="172">
        <f>Q13+N13+K13+H13+E13</f>
        <v>37704.949999999997</v>
      </c>
      <c r="U13" s="48"/>
      <c r="V13" s="48"/>
      <c r="W13" s="48"/>
      <c r="X13" s="48"/>
      <c r="Y13" s="48"/>
    </row>
    <row r="14" spans="1:25" s="30" customFormat="1" ht="26.25" customHeight="1" x14ac:dyDescent="0.25">
      <c r="A14" s="279"/>
      <c r="B14" s="133" t="s">
        <v>54</v>
      </c>
      <c r="C14" s="203">
        <f t="shared" ref="C14:T14" si="0">SUM(C12:C13)</f>
        <v>13.089077863892134</v>
      </c>
      <c r="D14" s="203">
        <f t="shared" si="0"/>
        <v>26870.345648000002</v>
      </c>
      <c r="E14" s="204">
        <f t="shared" si="0"/>
        <v>18752.099999999999</v>
      </c>
      <c r="F14" s="205">
        <f t="shared" si="0"/>
        <v>12.538101638848463</v>
      </c>
      <c r="G14" s="167">
        <f t="shared" si="0"/>
        <v>27435.709912000002</v>
      </c>
      <c r="H14" s="173">
        <f t="shared" si="0"/>
        <v>19294.73</v>
      </c>
      <c r="I14" s="205">
        <f t="shared" si="0"/>
        <v>12.640492606487827</v>
      </c>
      <c r="J14" s="167">
        <f t="shared" si="0"/>
        <v>28984.755696780001</v>
      </c>
      <c r="K14" s="173">
        <f t="shared" si="0"/>
        <v>20441.96</v>
      </c>
      <c r="L14" s="205">
        <f t="shared" si="0"/>
        <v>12.176495551515906</v>
      </c>
      <c r="M14" s="167">
        <f t="shared" si="0"/>
        <v>28871.804775789999</v>
      </c>
      <c r="N14" s="167">
        <f t="shared" si="0"/>
        <v>20349.810000000001</v>
      </c>
      <c r="O14" s="167">
        <f t="shared" si="0"/>
        <v>12.059127297125382</v>
      </c>
      <c r="P14" s="167">
        <f t="shared" si="0"/>
        <v>29817.896510300001</v>
      </c>
      <c r="Q14" s="173">
        <f t="shared" si="0"/>
        <v>21050.010000000002</v>
      </c>
      <c r="R14" s="166">
        <f t="shared" si="0"/>
        <v>62.503294957869713</v>
      </c>
      <c r="S14" s="167">
        <f t="shared" si="0"/>
        <v>141980.51254286998</v>
      </c>
      <c r="T14" s="173">
        <f t="shared" si="0"/>
        <v>99888.609999999986</v>
      </c>
      <c r="U14" s="181"/>
      <c r="V14" s="181"/>
      <c r="W14" s="181"/>
      <c r="X14" s="181"/>
      <c r="Y14" s="181"/>
    </row>
    <row r="15" spans="1:25" s="3" customFormat="1" ht="75" customHeight="1" x14ac:dyDescent="0.25">
      <c r="A15" s="279"/>
      <c r="B15" s="131" t="s">
        <v>37</v>
      </c>
      <c r="C15" s="137">
        <f>D15/2579.91</f>
        <v>5.6237292135772181</v>
      </c>
      <c r="D15" s="155">
        <f>E15*2.19971</f>
        <v>14508.715235399999</v>
      </c>
      <c r="E15" s="156">
        <v>6595.74</v>
      </c>
      <c r="F15" s="157">
        <f>G15/2674.0793</f>
        <v>5.1959667190872016</v>
      </c>
      <c r="G15" s="155">
        <f>H15*2.1997</f>
        <v>13894.427047000001</v>
      </c>
      <c r="H15" s="156">
        <v>6316.51</v>
      </c>
      <c r="I15" s="200">
        <f>J15/2771.69</f>
        <v>5.938489223542315</v>
      </c>
      <c r="J15" s="155">
        <f>K15*2.1997</f>
        <v>16459.651195999999</v>
      </c>
      <c r="K15" s="156">
        <v>7482.68</v>
      </c>
      <c r="L15" s="200">
        <f>M15/2872.86</f>
        <v>5.327253384954366</v>
      </c>
      <c r="M15" s="155">
        <f>N15*2.19969</f>
        <v>15304.453159500001</v>
      </c>
      <c r="N15" s="156">
        <v>6957.55</v>
      </c>
      <c r="O15" s="157">
        <f>P15/2977.72</f>
        <v>6.173606405202638</v>
      </c>
      <c r="P15" s="155">
        <f>Q15*2.19969</f>
        <v>18383.271264899999</v>
      </c>
      <c r="Q15" s="156">
        <v>8357.2099999999991</v>
      </c>
      <c r="R15" s="163">
        <f>O15+L15+I15+F15+C15</f>
        <v>28.259044946363741</v>
      </c>
      <c r="S15" s="165">
        <f t="shared" ref="S15:T16" si="1">P15+M15+J15+G15+D15</f>
        <v>78550.517902799998</v>
      </c>
      <c r="T15" s="172">
        <f t="shared" si="1"/>
        <v>35709.689999999995</v>
      </c>
      <c r="U15" s="48"/>
      <c r="V15" s="48"/>
      <c r="W15" s="48"/>
      <c r="X15" s="48"/>
      <c r="Y15" s="48"/>
    </row>
    <row r="16" spans="1:25" s="3" customFormat="1" ht="78" customHeight="1" x14ac:dyDescent="0.25">
      <c r="A16" s="279"/>
      <c r="B16" s="131" t="s">
        <v>46</v>
      </c>
      <c r="C16" s="198">
        <f>D16/2186.15</f>
        <v>5.7117764105848172</v>
      </c>
      <c r="D16" s="198">
        <v>12486.8</v>
      </c>
      <c r="E16" s="201">
        <v>6722.02</v>
      </c>
      <c r="F16" s="157">
        <f>G16/2706.5265</f>
        <v>4.6943034901006877</v>
      </c>
      <c r="G16" s="155">
        <f>H16*1.8571</f>
        <v>12705.256794999999</v>
      </c>
      <c r="H16" s="156">
        <v>6841.45</v>
      </c>
      <c r="I16" s="157">
        <f>J16/2348.66</f>
        <v>5.514321394837908</v>
      </c>
      <c r="J16" s="155">
        <f>K16*1.85759</f>
        <v>12951.2660872</v>
      </c>
      <c r="K16" s="156">
        <v>6972.08</v>
      </c>
      <c r="L16" s="157">
        <f>M16/2434.39</f>
        <v>5.7500414204831598</v>
      </c>
      <c r="M16" s="155">
        <f>N16*1.857589</f>
        <v>13997.843333609999</v>
      </c>
      <c r="N16" s="156">
        <v>7535.49</v>
      </c>
      <c r="O16" s="157">
        <f>P16/2523.2507</f>
        <v>5.3504735565435491</v>
      </c>
      <c r="P16" s="155">
        <f>Q16*1.857584</f>
        <v>13500.586146879999</v>
      </c>
      <c r="Q16" s="156">
        <v>7267.82</v>
      </c>
      <c r="R16" s="163">
        <f>O16+L16+I16+F16+C16</f>
        <v>27.020916272550121</v>
      </c>
      <c r="S16" s="165">
        <f t="shared" si="1"/>
        <v>65641.752362689993</v>
      </c>
      <c r="T16" s="172">
        <f t="shared" si="1"/>
        <v>35338.86</v>
      </c>
      <c r="U16" s="48"/>
      <c r="V16" s="48"/>
      <c r="W16" s="48"/>
      <c r="X16" s="48"/>
      <c r="Y16" s="48"/>
    </row>
    <row r="17" spans="1:25" s="30" customFormat="1" ht="28.5" customHeight="1" x14ac:dyDescent="0.25">
      <c r="A17" s="279"/>
      <c r="B17" s="133" t="s">
        <v>45</v>
      </c>
      <c r="C17" s="138">
        <f>SUM(C15:C16)</f>
        <v>11.335505624162035</v>
      </c>
      <c r="D17" s="158">
        <f>D15+D16</f>
        <v>26995.515235399998</v>
      </c>
      <c r="E17" s="159">
        <f t="shared" ref="E17:Q17" si="2">SUM(E15:E16)</f>
        <v>13317.76</v>
      </c>
      <c r="F17" s="160">
        <f t="shared" si="2"/>
        <v>9.8902702091878893</v>
      </c>
      <c r="G17" s="158">
        <f t="shared" si="2"/>
        <v>26599.683841999999</v>
      </c>
      <c r="H17" s="159">
        <f t="shared" si="2"/>
        <v>13157.96</v>
      </c>
      <c r="I17" s="160">
        <f t="shared" si="2"/>
        <v>11.452810618380223</v>
      </c>
      <c r="J17" s="158">
        <f t="shared" si="2"/>
        <v>29410.917283199997</v>
      </c>
      <c r="K17" s="159">
        <f t="shared" si="2"/>
        <v>14454.76</v>
      </c>
      <c r="L17" s="160">
        <f t="shared" si="2"/>
        <v>11.077294805437525</v>
      </c>
      <c r="M17" s="158">
        <f t="shared" si="2"/>
        <v>29302.29649311</v>
      </c>
      <c r="N17" s="159">
        <f t="shared" si="2"/>
        <v>14493.04</v>
      </c>
      <c r="O17" s="160">
        <f t="shared" si="2"/>
        <v>11.524079961746187</v>
      </c>
      <c r="P17" s="158">
        <f t="shared" si="2"/>
        <v>31883.857411779998</v>
      </c>
      <c r="Q17" s="159">
        <f t="shared" si="2"/>
        <v>15625.029999999999</v>
      </c>
      <c r="R17" s="166">
        <f>R15+R16</f>
        <v>55.279961218913861</v>
      </c>
      <c r="S17" s="167">
        <f>S15+S16</f>
        <v>144192.27026548999</v>
      </c>
      <c r="T17" s="173">
        <f>T15+T16</f>
        <v>71048.549999999988</v>
      </c>
      <c r="U17" s="181"/>
      <c r="V17" s="181"/>
      <c r="W17" s="181"/>
      <c r="X17" s="181"/>
      <c r="Y17" s="181"/>
    </row>
    <row r="18" spans="1:25" s="38" customFormat="1" ht="32.25" customHeight="1" x14ac:dyDescent="0.25">
      <c r="A18" s="279"/>
      <c r="B18" s="281" t="s">
        <v>60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128"/>
      <c r="T18" s="174"/>
      <c r="U18" s="128"/>
      <c r="V18" s="128"/>
      <c r="W18" s="128"/>
      <c r="X18" s="128"/>
      <c r="Y18" s="128"/>
    </row>
    <row r="19" spans="1:25" s="4" customFormat="1" ht="33" customHeight="1" x14ac:dyDescent="0.2">
      <c r="A19" s="279"/>
      <c r="B19" s="135"/>
      <c r="C19" s="136" t="s">
        <v>52</v>
      </c>
      <c r="D19" s="193" t="s">
        <v>3</v>
      </c>
      <c r="E19" s="194" t="s">
        <v>40</v>
      </c>
      <c r="F19" s="147" t="s">
        <v>52</v>
      </c>
      <c r="G19" s="193" t="s">
        <v>3</v>
      </c>
      <c r="H19" s="194" t="s">
        <v>40</v>
      </c>
      <c r="I19" s="147" t="s">
        <v>52</v>
      </c>
      <c r="J19" s="193" t="s">
        <v>3</v>
      </c>
      <c r="K19" s="194" t="s">
        <v>40</v>
      </c>
      <c r="L19" s="147" t="s">
        <v>52</v>
      </c>
      <c r="M19" s="193" t="s">
        <v>3</v>
      </c>
      <c r="N19" s="194" t="s">
        <v>40</v>
      </c>
      <c r="O19" s="147" t="s">
        <v>52</v>
      </c>
      <c r="P19" s="193" t="s">
        <v>3</v>
      </c>
      <c r="Q19" s="194" t="s">
        <v>40</v>
      </c>
      <c r="R19" s="136" t="s">
        <v>52</v>
      </c>
      <c r="S19" s="193" t="s">
        <v>3</v>
      </c>
      <c r="T19" s="194" t="s">
        <v>40</v>
      </c>
      <c r="U19" s="180"/>
      <c r="V19" s="179"/>
      <c r="W19" s="179"/>
      <c r="X19" s="179"/>
      <c r="Y19" s="179"/>
    </row>
    <row r="20" spans="1:25" s="3" customFormat="1" ht="75.75" customHeight="1" x14ac:dyDescent="0.25">
      <c r="A20" s="279"/>
      <c r="B20" s="131" t="s">
        <v>58</v>
      </c>
      <c r="C20" s="146">
        <v>17</v>
      </c>
      <c r="D20" s="155">
        <f>E20*1.4285</f>
        <v>3906.9903550000004</v>
      </c>
      <c r="E20" s="156">
        <v>2735.03</v>
      </c>
      <c r="F20" s="188">
        <f>G20/230.51</f>
        <v>18.144137586221859</v>
      </c>
      <c r="G20" s="155">
        <f>H20*1.4285</f>
        <v>4182.4051550000004</v>
      </c>
      <c r="H20" s="156">
        <v>2927.83</v>
      </c>
      <c r="I20" s="188">
        <f>J20/238.92778</f>
        <v>15.239128752629769</v>
      </c>
      <c r="J20" s="155">
        <f>K20*1.4258</f>
        <v>3641.0512020000001</v>
      </c>
      <c r="K20" s="156">
        <v>2553.69</v>
      </c>
      <c r="L20" s="188">
        <f>M20/247.65</f>
        <v>17.75745212436907</v>
      </c>
      <c r="M20" s="155">
        <f>N20*1.42861</f>
        <v>4397.6330186000005</v>
      </c>
      <c r="N20" s="156">
        <v>3078.26</v>
      </c>
      <c r="O20" s="188">
        <f>P20/256.69</f>
        <v>16.462988491955276</v>
      </c>
      <c r="P20" s="155">
        <f>Q20*1.4286</f>
        <v>4225.8845160000001</v>
      </c>
      <c r="Q20" s="156">
        <v>2958.06</v>
      </c>
      <c r="R20" s="168">
        <f t="shared" ref="R20:T21" si="3">O20+L20+I20+F20+C20</f>
        <v>84.603706955175966</v>
      </c>
      <c r="S20" s="165">
        <f t="shared" si="3"/>
        <v>20353.9642466</v>
      </c>
      <c r="T20" s="172">
        <f t="shared" si="3"/>
        <v>14252.87</v>
      </c>
      <c r="U20" s="48"/>
      <c r="V20" s="48"/>
      <c r="W20" s="48"/>
      <c r="X20" s="48"/>
      <c r="Y20" s="48"/>
    </row>
    <row r="21" spans="1:25" s="3" customFormat="1" ht="59.25" customHeight="1" x14ac:dyDescent="0.25">
      <c r="A21" s="279"/>
      <c r="B21" s="131" t="s">
        <v>59</v>
      </c>
      <c r="C21" s="146">
        <v>10</v>
      </c>
      <c r="D21" s="155">
        <f>E21*1.2937</f>
        <v>3254.1212320000004</v>
      </c>
      <c r="E21" s="156">
        <v>2515.36</v>
      </c>
      <c r="F21" s="188">
        <f>G21/322.19</f>
        <v>13.195868490642169</v>
      </c>
      <c r="G21" s="155">
        <f>H21*1.2937</f>
        <v>4251.5768690000004</v>
      </c>
      <c r="H21" s="156">
        <v>3286.37</v>
      </c>
      <c r="I21" s="188">
        <f>J21/333.95</f>
        <v>10.180037942805811</v>
      </c>
      <c r="J21" s="155">
        <f>K21*1.2937</f>
        <v>3399.6236710000003</v>
      </c>
      <c r="K21" s="156">
        <v>2627.83</v>
      </c>
      <c r="L21" s="188">
        <f>M21/346.14</f>
        <v>13.529636803287685</v>
      </c>
      <c r="M21" s="155">
        <f>N21*1.293691</f>
        <v>4683.148483089999</v>
      </c>
      <c r="N21" s="156">
        <v>3619.99</v>
      </c>
      <c r="O21" s="188">
        <f>P21/358.78</f>
        <v>12.347266361001171</v>
      </c>
      <c r="P21" s="155">
        <f>Q21*1.2937</f>
        <v>4429.952225</v>
      </c>
      <c r="Q21" s="156">
        <v>3424.25</v>
      </c>
      <c r="R21" s="168">
        <f t="shared" si="3"/>
        <v>59.252809597736835</v>
      </c>
      <c r="S21" s="165">
        <f t="shared" si="3"/>
        <v>20018.422480090001</v>
      </c>
      <c r="T21" s="172">
        <f t="shared" si="3"/>
        <v>15473.8</v>
      </c>
      <c r="U21" s="48"/>
      <c r="V21" s="48"/>
      <c r="W21" s="48"/>
      <c r="X21" s="48"/>
      <c r="Y21" s="48"/>
    </row>
    <row r="22" spans="1:25" s="30" customFormat="1" ht="30" customHeight="1" x14ac:dyDescent="0.25">
      <c r="A22" s="280"/>
      <c r="B22" s="133" t="s">
        <v>45</v>
      </c>
      <c r="C22" s="151">
        <f>C20+C21</f>
        <v>27</v>
      </c>
      <c r="D22" s="158">
        <f t="shared" ref="D22:Q22" si="4">SUM(D20:D21)</f>
        <v>7161.1115870000012</v>
      </c>
      <c r="E22" s="159">
        <f t="shared" si="4"/>
        <v>5250.39</v>
      </c>
      <c r="F22" s="189">
        <f>F20+F21</f>
        <v>31.340006076864029</v>
      </c>
      <c r="G22" s="158">
        <f t="shared" si="4"/>
        <v>8433.9820240000008</v>
      </c>
      <c r="H22" s="159">
        <f t="shared" si="4"/>
        <v>6214.2</v>
      </c>
      <c r="I22" s="189">
        <f>I20+I21</f>
        <v>25.419166695435578</v>
      </c>
      <c r="J22" s="158">
        <f t="shared" si="4"/>
        <v>7040.6748729999999</v>
      </c>
      <c r="K22" s="159">
        <f t="shared" si="4"/>
        <v>5181.5200000000004</v>
      </c>
      <c r="L22" s="189">
        <f>L20+L21</f>
        <v>31.287088927656754</v>
      </c>
      <c r="M22" s="158">
        <f t="shared" si="4"/>
        <v>9080.7815016899985</v>
      </c>
      <c r="N22" s="159">
        <f t="shared" si="4"/>
        <v>6698.25</v>
      </c>
      <c r="O22" s="189">
        <f>O20+O21</f>
        <v>28.810254852956447</v>
      </c>
      <c r="P22" s="158">
        <f t="shared" si="4"/>
        <v>8655.8367409999992</v>
      </c>
      <c r="Q22" s="159">
        <f t="shared" si="4"/>
        <v>6382.3099999999995</v>
      </c>
      <c r="R22" s="169">
        <f>R20+R21</f>
        <v>143.85651655291281</v>
      </c>
      <c r="S22" s="167">
        <f>S20+S21</f>
        <v>40372.386726690005</v>
      </c>
      <c r="T22" s="173">
        <f>T20+T21</f>
        <v>29726.67</v>
      </c>
      <c r="U22" s="181"/>
      <c r="V22" s="181"/>
      <c r="W22" s="181"/>
      <c r="X22" s="181"/>
      <c r="Y22" s="181"/>
    </row>
    <row r="23" spans="1:25" s="48" customFormat="1" ht="21.75" customHeight="1" x14ac:dyDescent="0.25">
      <c r="A23" s="145"/>
      <c r="B23" s="130"/>
      <c r="C23" s="142"/>
      <c r="D23" s="129"/>
      <c r="E23" s="143"/>
      <c r="F23" s="142"/>
      <c r="G23" s="129"/>
      <c r="H23" s="143"/>
      <c r="I23" s="142"/>
      <c r="J23" s="129"/>
      <c r="K23" s="143"/>
      <c r="L23" s="142"/>
      <c r="M23" s="129"/>
      <c r="N23" s="143"/>
      <c r="O23" s="142"/>
      <c r="P23" s="129"/>
      <c r="Q23" s="143"/>
      <c r="R23" s="161"/>
      <c r="S23" s="162"/>
      <c r="T23" s="175"/>
    </row>
    <row r="24" spans="1:25" s="49" customFormat="1" ht="44.25" customHeight="1" thickBot="1" x14ac:dyDescent="0.3">
      <c r="A24" s="284" t="s">
        <v>62</v>
      </c>
      <c r="B24" s="285"/>
      <c r="C24" s="144"/>
      <c r="D24" s="152">
        <f>D14+D17+D22</f>
        <v>61026.972470400004</v>
      </c>
      <c r="E24" s="153">
        <f>E14+E17+E22</f>
        <v>37320.25</v>
      </c>
      <c r="F24" s="154"/>
      <c r="G24" s="152">
        <f>G14+G17+G22</f>
        <v>62469.375778000001</v>
      </c>
      <c r="H24" s="153">
        <f>H14+H17+H22</f>
        <v>38666.89</v>
      </c>
      <c r="I24" s="154"/>
      <c r="J24" s="152">
        <f>J14+J17+J22</f>
        <v>65436.34785297999</v>
      </c>
      <c r="K24" s="153">
        <f>K14+K17+K22</f>
        <v>40078.240000000005</v>
      </c>
      <c r="L24" s="154"/>
      <c r="M24" s="152">
        <f>M14+M17+M22</f>
        <v>67254.882770589989</v>
      </c>
      <c r="N24" s="153">
        <f>N14+N17+N22</f>
        <v>41541.100000000006</v>
      </c>
      <c r="O24" s="154"/>
      <c r="P24" s="152">
        <f>P14+P17+P22</f>
        <v>70357.590663079987</v>
      </c>
      <c r="Q24" s="153">
        <f>Q14+Q17+Q22</f>
        <v>43057.35</v>
      </c>
      <c r="R24" s="183"/>
      <c r="S24" s="184">
        <f>S14+S17+S22</f>
        <v>326545.16953504994</v>
      </c>
      <c r="T24" s="185">
        <f>T14+T17+T22</f>
        <v>200663.82999999996</v>
      </c>
      <c r="U24" s="182"/>
      <c r="V24" s="182"/>
      <c r="W24" s="182"/>
      <c r="X24" s="182"/>
      <c r="Y24" s="182"/>
    </row>
    <row r="25" spans="1:25" ht="13.5" customHeight="1" x14ac:dyDescent="0.25">
      <c r="F25" s="277"/>
      <c r="G25" s="277"/>
      <c r="H25" s="277"/>
      <c r="I25" s="277"/>
      <c r="J25" s="277"/>
      <c r="K25" s="277"/>
    </row>
    <row r="26" spans="1:25" ht="9" customHeight="1" x14ac:dyDescent="0.25"/>
    <row r="27" spans="1:25" ht="18.75" customHeight="1" x14ac:dyDescent="0.3">
      <c r="B27" s="76" t="s">
        <v>65</v>
      </c>
      <c r="C27" s="77"/>
      <c r="D27" s="186"/>
      <c r="E27" s="186" t="s">
        <v>66</v>
      </c>
      <c r="T27" s="176"/>
    </row>
    <row r="28" spans="1:25" ht="20.25" customHeight="1" x14ac:dyDescent="0.25"/>
    <row r="29" spans="1:25" x14ac:dyDescent="0.25">
      <c r="C29" s="83"/>
      <c r="D29" s="84"/>
      <c r="E29" s="79"/>
      <c r="F29" s="83"/>
      <c r="G29" s="84"/>
      <c r="H29" s="79"/>
      <c r="I29" s="83"/>
      <c r="J29" s="84"/>
      <c r="K29" s="79"/>
      <c r="L29" s="83"/>
      <c r="M29" s="84"/>
      <c r="N29" s="79"/>
      <c r="O29" s="83"/>
      <c r="P29" s="84"/>
      <c r="Q29" s="79"/>
      <c r="R29" s="85"/>
    </row>
    <row r="30" spans="1:25" x14ac:dyDescent="0.25">
      <c r="C30" s="83"/>
      <c r="D30" s="84"/>
      <c r="E30" s="79"/>
      <c r="F30" s="83"/>
      <c r="G30" s="84"/>
      <c r="H30" s="79"/>
      <c r="I30" s="83"/>
      <c r="J30" s="84"/>
      <c r="K30" s="79"/>
      <c r="L30" s="83"/>
      <c r="M30" s="84"/>
      <c r="N30" s="79"/>
      <c r="O30" s="83"/>
      <c r="P30" s="84"/>
      <c r="Q30" s="79"/>
      <c r="R30" s="85"/>
    </row>
    <row r="31" spans="1:25" x14ac:dyDescent="0.25">
      <c r="C31" s="83"/>
      <c r="D31" s="84"/>
      <c r="E31" s="79"/>
      <c r="F31" s="83"/>
      <c r="G31" s="84"/>
      <c r="H31" s="79"/>
      <c r="I31" s="83"/>
      <c r="J31" s="84"/>
      <c r="K31" s="79"/>
      <c r="L31" s="83"/>
      <c r="M31" s="84"/>
      <c r="N31" s="79"/>
      <c r="O31" s="83"/>
      <c r="P31" s="84"/>
      <c r="Q31" s="79"/>
      <c r="R31" s="85"/>
    </row>
  </sheetData>
  <mergeCells count="30">
    <mergeCell ref="A1:D1"/>
    <mergeCell ref="O1:T1"/>
    <mergeCell ref="A2:D2"/>
    <mergeCell ref="N2:T2"/>
    <mergeCell ref="A3:D3"/>
    <mergeCell ref="N3:T3"/>
    <mergeCell ref="A8:A10"/>
    <mergeCell ref="B8:B10"/>
    <mergeCell ref="C8:E8"/>
    <mergeCell ref="F8:H8"/>
    <mergeCell ref="I8:K8"/>
    <mergeCell ref="A4:D4"/>
    <mergeCell ref="N4:T4"/>
    <mergeCell ref="A5:R5"/>
    <mergeCell ref="A6:R6"/>
    <mergeCell ref="A7:R7"/>
    <mergeCell ref="L8:N8"/>
    <mergeCell ref="O8:Q8"/>
    <mergeCell ref="R8:T8"/>
    <mergeCell ref="D9:E9"/>
    <mergeCell ref="G9:H9"/>
    <mergeCell ref="J9:K9"/>
    <mergeCell ref="M9:N9"/>
    <mergeCell ref="P9:Q9"/>
    <mergeCell ref="S9:T9"/>
    <mergeCell ref="A11:A22"/>
    <mergeCell ref="B11:R11"/>
    <mergeCell ref="B18:R18"/>
    <mergeCell ref="A24:B24"/>
    <mergeCell ref="F25:K25"/>
  </mergeCells>
  <pageMargins left="0.51181102362204722" right="0.31496062992125984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8"/>
  <sheetViews>
    <sheetView tabSelected="1" view="pageBreakPreview" zoomScale="70" zoomScaleNormal="75" zoomScaleSheetLayoutView="70" zoomScalePageLayoutView="75" workbookViewId="0">
      <selection activeCell="A38" sqref="A38:C38"/>
    </sheetView>
  </sheetViews>
  <sheetFormatPr defaultRowHeight="16.5" x14ac:dyDescent="0.25"/>
  <cols>
    <col min="1" max="1" width="6.85546875" style="86" customWidth="1"/>
    <col min="2" max="2" width="17.28515625" style="86" customWidth="1"/>
    <col min="3" max="3" width="134.85546875" style="91" customWidth="1"/>
    <col min="4" max="4" width="7.140625" style="87" customWidth="1"/>
    <col min="5" max="5" width="7.5703125" style="88" customWidth="1"/>
    <col min="6" max="6" width="11" style="211" customWidth="1"/>
    <col min="7" max="9" width="11" style="90" customWidth="1"/>
    <col min="10" max="10" width="15.42578125" style="83" customWidth="1"/>
    <col min="11" max="11" width="12.7109375" style="83" customWidth="1"/>
    <col min="12" max="12" width="14.140625" style="83" customWidth="1"/>
    <col min="13" max="13" width="13.7109375" style="85" customWidth="1"/>
    <col min="232" max="232" width="3.5703125" customWidth="1"/>
    <col min="233" max="233" width="57.7109375" customWidth="1"/>
    <col min="234" max="234" width="3.7109375" customWidth="1"/>
    <col min="235" max="235" width="4" customWidth="1"/>
    <col min="236" max="236" width="6.7109375" customWidth="1"/>
    <col min="237" max="237" width="6.42578125" customWidth="1"/>
    <col min="238" max="240" width="9.5703125" customWidth="1"/>
    <col min="241" max="241" width="10.7109375" customWidth="1"/>
    <col min="242" max="242" width="9" customWidth="1"/>
    <col min="243" max="243" width="11.5703125" customWidth="1"/>
    <col min="488" max="488" width="3.5703125" customWidth="1"/>
    <col min="489" max="489" width="57.7109375" customWidth="1"/>
    <col min="490" max="490" width="3.7109375" customWidth="1"/>
    <col min="491" max="491" width="4" customWidth="1"/>
    <col min="492" max="492" width="6.7109375" customWidth="1"/>
    <col min="493" max="493" width="6.42578125" customWidth="1"/>
    <col min="494" max="496" width="9.5703125" customWidth="1"/>
    <col min="497" max="497" width="10.7109375" customWidth="1"/>
    <col min="498" max="498" width="9" customWidth="1"/>
    <col min="499" max="499" width="11.5703125" customWidth="1"/>
    <col min="744" max="744" width="3.5703125" customWidth="1"/>
    <col min="745" max="745" width="57.7109375" customWidth="1"/>
    <col min="746" max="746" width="3.7109375" customWidth="1"/>
    <col min="747" max="747" width="4" customWidth="1"/>
    <col min="748" max="748" width="6.7109375" customWidth="1"/>
    <col min="749" max="749" width="6.42578125" customWidth="1"/>
    <col min="750" max="752" width="9.5703125" customWidth="1"/>
    <col min="753" max="753" width="10.7109375" customWidth="1"/>
    <col min="754" max="754" width="9" customWidth="1"/>
    <col min="755" max="755" width="11.5703125" customWidth="1"/>
    <col min="1000" max="1000" width="3.5703125" customWidth="1"/>
    <col min="1001" max="1001" width="57.7109375" customWidth="1"/>
    <col min="1002" max="1002" width="3.7109375" customWidth="1"/>
    <col min="1003" max="1003" width="4" customWidth="1"/>
    <col min="1004" max="1004" width="6.7109375" customWidth="1"/>
    <col min="1005" max="1005" width="6.42578125" customWidth="1"/>
    <col min="1006" max="1008" width="9.5703125" customWidth="1"/>
    <col min="1009" max="1009" width="10.7109375" customWidth="1"/>
    <col min="1010" max="1010" width="9" customWidth="1"/>
    <col min="1011" max="1011" width="11.5703125" customWidth="1"/>
    <col min="1256" max="1256" width="3.5703125" customWidth="1"/>
    <col min="1257" max="1257" width="57.7109375" customWidth="1"/>
    <col min="1258" max="1258" width="3.7109375" customWidth="1"/>
    <col min="1259" max="1259" width="4" customWidth="1"/>
    <col min="1260" max="1260" width="6.7109375" customWidth="1"/>
    <col min="1261" max="1261" width="6.42578125" customWidth="1"/>
    <col min="1262" max="1264" width="9.5703125" customWidth="1"/>
    <col min="1265" max="1265" width="10.7109375" customWidth="1"/>
    <col min="1266" max="1266" width="9" customWidth="1"/>
    <col min="1267" max="1267" width="11.5703125" customWidth="1"/>
    <col min="1512" max="1512" width="3.5703125" customWidth="1"/>
    <col min="1513" max="1513" width="57.7109375" customWidth="1"/>
    <col min="1514" max="1514" width="3.7109375" customWidth="1"/>
    <col min="1515" max="1515" width="4" customWidth="1"/>
    <col min="1516" max="1516" width="6.7109375" customWidth="1"/>
    <col min="1517" max="1517" width="6.42578125" customWidth="1"/>
    <col min="1518" max="1520" width="9.5703125" customWidth="1"/>
    <col min="1521" max="1521" width="10.7109375" customWidth="1"/>
    <col min="1522" max="1522" width="9" customWidth="1"/>
    <col min="1523" max="1523" width="11.5703125" customWidth="1"/>
    <col min="1768" max="1768" width="3.5703125" customWidth="1"/>
    <col min="1769" max="1769" width="57.7109375" customWidth="1"/>
    <col min="1770" max="1770" width="3.7109375" customWidth="1"/>
    <col min="1771" max="1771" width="4" customWidth="1"/>
    <col min="1772" max="1772" width="6.7109375" customWidth="1"/>
    <col min="1773" max="1773" width="6.42578125" customWidth="1"/>
    <col min="1774" max="1776" width="9.5703125" customWidth="1"/>
    <col min="1777" max="1777" width="10.7109375" customWidth="1"/>
    <col min="1778" max="1778" width="9" customWidth="1"/>
    <col min="1779" max="1779" width="11.5703125" customWidth="1"/>
    <col min="2024" max="2024" width="3.5703125" customWidth="1"/>
    <col min="2025" max="2025" width="57.7109375" customWidth="1"/>
    <col min="2026" max="2026" width="3.7109375" customWidth="1"/>
    <col min="2027" max="2027" width="4" customWidth="1"/>
    <col min="2028" max="2028" width="6.7109375" customWidth="1"/>
    <col min="2029" max="2029" width="6.42578125" customWidth="1"/>
    <col min="2030" max="2032" width="9.5703125" customWidth="1"/>
    <col min="2033" max="2033" width="10.7109375" customWidth="1"/>
    <col min="2034" max="2034" width="9" customWidth="1"/>
    <col min="2035" max="2035" width="11.5703125" customWidth="1"/>
    <col min="2280" max="2280" width="3.5703125" customWidth="1"/>
    <col min="2281" max="2281" width="57.7109375" customWidth="1"/>
    <col min="2282" max="2282" width="3.7109375" customWidth="1"/>
    <col min="2283" max="2283" width="4" customWidth="1"/>
    <col min="2284" max="2284" width="6.7109375" customWidth="1"/>
    <col min="2285" max="2285" width="6.42578125" customWidth="1"/>
    <col min="2286" max="2288" width="9.5703125" customWidth="1"/>
    <col min="2289" max="2289" width="10.7109375" customWidth="1"/>
    <col min="2290" max="2290" width="9" customWidth="1"/>
    <col min="2291" max="2291" width="11.5703125" customWidth="1"/>
    <col min="2536" max="2536" width="3.5703125" customWidth="1"/>
    <col min="2537" max="2537" width="57.7109375" customWidth="1"/>
    <col min="2538" max="2538" width="3.7109375" customWidth="1"/>
    <col min="2539" max="2539" width="4" customWidth="1"/>
    <col min="2540" max="2540" width="6.7109375" customWidth="1"/>
    <col min="2541" max="2541" width="6.42578125" customWidth="1"/>
    <col min="2542" max="2544" width="9.5703125" customWidth="1"/>
    <col min="2545" max="2545" width="10.7109375" customWidth="1"/>
    <col min="2546" max="2546" width="9" customWidth="1"/>
    <col min="2547" max="2547" width="11.5703125" customWidth="1"/>
    <col min="2792" max="2792" width="3.5703125" customWidth="1"/>
    <col min="2793" max="2793" width="57.7109375" customWidth="1"/>
    <col min="2794" max="2794" width="3.7109375" customWidth="1"/>
    <col min="2795" max="2795" width="4" customWidth="1"/>
    <col min="2796" max="2796" width="6.7109375" customWidth="1"/>
    <col min="2797" max="2797" width="6.42578125" customWidth="1"/>
    <col min="2798" max="2800" width="9.5703125" customWidth="1"/>
    <col min="2801" max="2801" width="10.7109375" customWidth="1"/>
    <col min="2802" max="2802" width="9" customWidth="1"/>
    <col min="2803" max="2803" width="11.5703125" customWidth="1"/>
    <col min="3048" max="3048" width="3.5703125" customWidth="1"/>
    <col min="3049" max="3049" width="57.7109375" customWidth="1"/>
    <col min="3050" max="3050" width="3.7109375" customWidth="1"/>
    <col min="3051" max="3051" width="4" customWidth="1"/>
    <col min="3052" max="3052" width="6.7109375" customWidth="1"/>
    <col min="3053" max="3053" width="6.42578125" customWidth="1"/>
    <col min="3054" max="3056" width="9.5703125" customWidth="1"/>
    <col min="3057" max="3057" width="10.7109375" customWidth="1"/>
    <col min="3058" max="3058" width="9" customWidth="1"/>
    <col min="3059" max="3059" width="11.5703125" customWidth="1"/>
    <col min="3304" max="3304" width="3.5703125" customWidth="1"/>
    <col min="3305" max="3305" width="57.7109375" customWidth="1"/>
    <col min="3306" max="3306" width="3.7109375" customWidth="1"/>
    <col min="3307" max="3307" width="4" customWidth="1"/>
    <col min="3308" max="3308" width="6.7109375" customWidth="1"/>
    <col min="3309" max="3309" width="6.42578125" customWidth="1"/>
    <col min="3310" max="3312" width="9.5703125" customWidth="1"/>
    <col min="3313" max="3313" width="10.7109375" customWidth="1"/>
    <col min="3314" max="3314" width="9" customWidth="1"/>
    <col min="3315" max="3315" width="11.5703125" customWidth="1"/>
    <col min="3560" max="3560" width="3.5703125" customWidth="1"/>
    <col min="3561" max="3561" width="57.7109375" customWidth="1"/>
    <col min="3562" max="3562" width="3.7109375" customWidth="1"/>
    <col min="3563" max="3563" width="4" customWidth="1"/>
    <col min="3564" max="3564" width="6.7109375" customWidth="1"/>
    <col min="3565" max="3565" width="6.42578125" customWidth="1"/>
    <col min="3566" max="3568" width="9.5703125" customWidth="1"/>
    <col min="3569" max="3569" width="10.7109375" customWidth="1"/>
    <col min="3570" max="3570" width="9" customWidth="1"/>
    <col min="3571" max="3571" width="11.5703125" customWidth="1"/>
    <col min="3816" max="3816" width="3.5703125" customWidth="1"/>
    <col min="3817" max="3817" width="57.7109375" customWidth="1"/>
    <col min="3818" max="3818" width="3.7109375" customWidth="1"/>
    <col min="3819" max="3819" width="4" customWidth="1"/>
    <col min="3820" max="3820" width="6.7109375" customWidth="1"/>
    <col min="3821" max="3821" width="6.42578125" customWidth="1"/>
    <col min="3822" max="3824" width="9.5703125" customWidth="1"/>
    <col min="3825" max="3825" width="10.7109375" customWidth="1"/>
    <col min="3826" max="3826" width="9" customWidth="1"/>
    <col min="3827" max="3827" width="11.5703125" customWidth="1"/>
    <col min="4072" max="4072" width="3.5703125" customWidth="1"/>
    <col min="4073" max="4073" width="57.7109375" customWidth="1"/>
    <col min="4074" max="4074" width="3.7109375" customWidth="1"/>
    <col min="4075" max="4075" width="4" customWidth="1"/>
    <col min="4076" max="4076" width="6.7109375" customWidth="1"/>
    <col min="4077" max="4077" width="6.42578125" customWidth="1"/>
    <col min="4078" max="4080" width="9.5703125" customWidth="1"/>
    <col min="4081" max="4081" width="10.7109375" customWidth="1"/>
    <col min="4082" max="4082" width="9" customWidth="1"/>
    <col min="4083" max="4083" width="11.5703125" customWidth="1"/>
    <col min="4328" max="4328" width="3.5703125" customWidth="1"/>
    <col min="4329" max="4329" width="57.7109375" customWidth="1"/>
    <col min="4330" max="4330" width="3.7109375" customWidth="1"/>
    <col min="4331" max="4331" width="4" customWidth="1"/>
    <col min="4332" max="4332" width="6.7109375" customWidth="1"/>
    <col min="4333" max="4333" width="6.42578125" customWidth="1"/>
    <col min="4334" max="4336" width="9.5703125" customWidth="1"/>
    <col min="4337" max="4337" width="10.7109375" customWidth="1"/>
    <col min="4338" max="4338" width="9" customWidth="1"/>
    <col min="4339" max="4339" width="11.5703125" customWidth="1"/>
    <col min="4584" max="4584" width="3.5703125" customWidth="1"/>
    <col min="4585" max="4585" width="57.7109375" customWidth="1"/>
    <col min="4586" max="4586" width="3.7109375" customWidth="1"/>
    <col min="4587" max="4587" width="4" customWidth="1"/>
    <col min="4588" max="4588" width="6.7109375" customWidth="1"/>
    <col min="4589" max="4589" width="6.42578125" customWidth="1"/>
    <col min="4590" max="4592" width="9.5703125" customWidth="1"/>
    <col min="4593" max="4593" width="10.7109375" customWidth="1"/>
    <col min="4594" max="4594" width="9" customWidth="1"/>
    <col min="4595" max="4595" width="11.5703125" customWidth="1"/>
    <col min="4840" max="4840" width="3.5703125" customWidth="1"/>
    <col min="4841" max="4841" width="57.7109375" customWidth="1"/>
    <col min="4842" max="4842" width="3.7109375" customWidth="1"/>
    <col min="4843" max="4843" width="4" customWidth="1"/>
    <col min="4844" max="4844" width="6.7109375" customWidth="1"/>
    <col min="4845" max="4845" width="6.42578125" customWidth="1"/>
    <col min="4846" max="4848" width="9.5703125" customWidth="1"/>
    <col min="4849" max="4849" width="10.7109375" customWidth="1"/>
    <col min="4850" max="4850" width="9" customWidth="1"/>
    <col min="4851" max="4851" width="11.5703125" customWidth="1"/>
    <col min="5096" max="5096" width="3.5703125" customWidth="1"/>
    <col min="5097" max="5097" width="57.7109375" customWidth="1"/>
    <col min="5098" max="5098" width="3.7109375" customWidth="1"/>
    <col min="5099" max="5099" width="4" customWidth="1"/>
    <col min="5100" max="5100" width="6.7109375" customWidth="1"/>
    <col min="5101" max="5101" width="6.42578125" customWidth="1"/>
    <col min="5102" max="5104" width="9.5703125" customWidth="1"/>
    <col min="5105" max="5105" width="10.7109375" customWidth="1"/>
    <col min="5106" max="5106" width="9" customWidth="1"/>
    <col min="5107" max="5107" width="11.5703125" customWidth="1"/>
    <col min="5352" max="5352" width="3.5703125" customWidth="1"/>
    <col min="5353" max="5353" width="57.7109375" customWidth="1"/>
    <col min="5354" max="5354" width="3.7109375" customWidth="1"/>
    <col min="5355" max="5355" width="4" customWidth="1"/>
    <col min="5356" max="5356" width="6.7109375" customWidth="1"/>
    <col min="5357" max="5357" width="6.42578125" customWidth="1"/>
    <col min="5358" max="5360" width="9.5703125" customWidth="1"/>
    <col min="5361" max="5361" width="10.7109375" customWidth="1"/>
    <col min="5362" max="5362" width="9" customWidth="1"/>
    <col min="5363" max="5363" width="11.5703125" customWidth="1"/>
    <col min="5608" max="5608" width="3.5703125" customWidth="1"/>
    <col min="5609" max="5609" width="57.7109375" customWidth="1"/>
    <col min="5610" max="5610" width="3.7109375" customWidth="1"/>
    <col min="5611" max="5611" width="4" customWidth="1"/>
    <col min="5612" max="5612" width="6.7109375" customWidth="1"/>
    <col min="5613" max="5613" width="6.42578125" customWidth="1"/>
    <col min="5614" max="5616" width="9.5703125" customWidth="1"/>
    <col min="5617" max="5617" width="10.7109375" customWidth="1"/>
    <col min="5618" max="5618" width="9" customWidth="1"/>
    <col min="5619" max="5619" width="11.5703125" customWidth="1"/>
    <col min="5864" max="5864" width="3.5703125" customWidth="1"/>
    <col min="5865" max="5865" width="57.7109375" customWidth="1"/>
    <col min="5866" max="5866" width="3.7109375" customWidth="1"/>
    <col min="5867" max="5867" width="4" customWidth="1"/>
    <col min="5868" max="5868" width="6.7109375" customWidth="1"/>
    <col min="5869" max="5869" width="6.42578125" customWidth="1"/>
    <col min="5870" max="5872" width="9.5703125" customWidth="1"/>
    <col min="5873" max="5873" width="10.7109375" customWidth="1"/>
    <col min="5874" max="5874" width="9" customWidth="1"/>
    <col min="5875" max="5875" width="11.5703125" customWidth="1"/>
    <col min="6120" max="6120" width="3.5703125" customWidth="1"/>
    <col min="6121" max="6121" width="57.7109375" customWidth="1"/>
    <col min="6122" max="6122" width="3.7109375" customWidth="1"/>
    <col min="6123" max="6123" width="4" customWidth="1"/>
    <col min="6124" max="6124" width="6.7109375" customWidth="1"/>
    <col min="6125" max="6125" width="6.42578125" customWidth="1"/>
    <col min="6126" max="6128" width="9.5703125" customWidth="1"/>
    <col min="6129" max="6129" width="10.7109375" customWidth="1"/>
    <col min="6130" max="6130" width="9" customWidth="1"/>
    <col min="6131" max="6131" width="11.5703125" customWidth="1"/>
    <col min="6376" max="6376" width="3.5703125" customWidth="1"/>
    <col min="6377" max="6377" width="57.7109375" customWidth="1"/>
    <col min="6378" max="6378" width="3.7109375" customWidth="1"/>
    <col min="6379" max="6379" width="4" customWidth="1"/>
    <col min="6380" max="6380" width="6.7109375" customWidth="1"/>
    <col min="6381" max="6381" width="6.42578125" customWidth="1"/>
    <col min="6382" max="6384" width="9.5703125" customWidth="1"/>
    <col min="6385" max="6385" width="10.7109375" customWidth="1"/>
    <col min="6386" max="6386" width="9" customWidth="1"/>
    <col min="6387" max="6387" width="11.5703125" customWidth="1"/>
    <col min="6632" max="6632" width="3.5703125" customWidth="1"/>
    <col min="6633" max="6633" width="57.7109375" customWidth="1"/>
    <col min="6634" max="6634" width="3.7109375" customWidth="1"/>
    <col min="6635" max="6635" width="4" customWidth="1"/>
    <col min="6636" max="6636" width="6.7109375" customWidth="1"/>
    <col min="6637" max="6637" width="6.42578125" customWidth="1"/>
    <col min="6638" max="6640" width="9.5703125" customWidth="1"/>
    <col min="6641" max="6641" width="10.7109375" customWidth="1"/>
    <col min="6642" max="6642" width="9" customWidth="1"/>
    <col min="6643" max="6643" width="11.5703125" customWidth="1"/>
    <col min="6888" max="6888" width="3.5703125" customWidth="1"/>
    <col min="6889" max="6889" width="57.7109375" customWidth="1"/>
    <col min="6890" max="6890" width="3.7109375" customWidth="1"/>
    <col min="6891" max="6891" width="4" customWidth="1"/>
    <col min="6892" max="6892" width="6.7109375" customWidth="1"/>
    <col min="6893" max="6893" width="6.42578125" customWidth="1"/>
    <col min="6894" max="6896" width="9.5703125" customWidth="1"/>
    <col min="6897" max="6897" width="10.7109375" customWidth="1"/>
    <col min="6898" max="6898" width="9" customWidth="1"/>
    <col min="6899" max="6899" width="11.5703125" customWidth="1"/>
    <col min="7144" max="7144" width="3.5703125" customWidth="1"/>
    <col min="7145" max="7145" width="57.7109375" customWidth="1"/>
    <col min="7146" max="7146" width="3.7109375" customWidth="1"/>
    <col min="7147" max="7147" width="4" customWidth="1"/>
    <col min="7148" max="7148" width="6.7109375" customWidth="1"/>
    <col min="7149" max="7149" width="6.42578125" customWidth="1"/>
    <col min="7150" max="7152" width="9.5703125" customWidth="1"/>
    <col min="7153" max="7153" width="10.7109375" customWidth="1"/>
    <col min="7154" max="7154" width="9" customWidth="1"/>
    <col min="7155" max="7155" width="11.5703125" customWidth="1"/>
    <col min="7400" max="7400" width="3.5703125" customWidth="1"/>
    <col min="7401" max="7401" width="57.7109375" customWidth="1"/>
    <col min="7402" max="7402" width="3.7109375" customWidth="1"/>
    <col min="7403" max="7403" width="4" customWidth="1"/>
    <col min="7404" max="7404" width="6.7109375" customWidth="1"/>
    <col min="7405" max="7405" width="6.42578125" customWidth="1"/>
    <col min="7406" max="7408" width="9.5703125" customWidth="1"/>
    <col min="7409" max="7409" width="10.7109375" customWidth="1"/>
    <col min="7410" max="7410" width="9" customWidth="1"/>
    <col min="7411" max="7411" width="11.5703125" customWidth="1"/>
    <col min="7656" max="7656" width="3.5703125" customWidth="1"/>
    <col min="7657" max="7657" width="57.7109375" customWidth="1"/>
    <col min="7658" max="7658" width="3.7109375" customWidth="1"/>
    <col min="7659" max="7659" width="4" customWidth="1"/>
    <col min="7660" max="7660" width="6.7109375" customWidth="1"/>
    <col min="7661" max="7661" width="6.42578125" customWidth="1"/>
    <col min="7662" max="7664" width="9.5703125" customWidth="1"/>
    <col min="7665" max="7665" width="10.7109375" customWidth="1"/>
    <col min="7666" max="7666" width="9" customWidth="1"/>
    <col min="7667" max="7667" width="11.5703125" customWidth="1"/>
    <col min="7912" max="7912" width="3.5703125" customWidth="1"/>
    <col min="7913" max="7913" width="57.7109375" customWidth="1"/>
    <col min="7914" max="7914" width="3.7109375" customWidth="1"/>
    <col min="7915" max="7915" width="4" customWidth="1"/>
    <col min="7916" max="7916" width="6.7109375" customWidth="1"/>
    <col min="7917" max="7917" width="6.42578125" customWidth="1"/>
    <col min="7918" max="7920" width="9.5703125" customWidth="1"/>
    <col min="7921" max="7921" width="10.7109375" customWidth="1"/>
    <col min="7922" max="7922" width="9" customWidth="1"/>
    <col min="7923" max="7923" width="11.5703125" customWidth="1"/>
  </cols>
  <sheetData>
    <row r="1" spans="1:13" s="2" customFormat="1" ht="23.25" customHeight="1" x14ac:dyDescent="0.3">
      <c r="A1" s="268"/>
      <c r="B1" s="268"/>
      <c r="C1" s="268"/>
      <c r="D1" s="268"/>
      <c r="E1" s="268"/>
      <c r="F1" s="268"/>
      <c r="G1" s="1"/>
      <c r="H1" s="1"/>
      <c r="I1" s="1"/>
      <c r="J1" s="294"/>
      <c r="K1" s="294"/>
      <c r="L1" s="294"/>
      <c r="M1" s="294"/>
    </row>
    <row r="2" spans="1:13" s="2" customFormat="1" ht="23.25" customHeight="1" x14ac:dyDescent="0.3">
      <c r="A2" s="268"/>
      <c r="B2" s="268"/>
      <c r="C2" s="268"/>
      <c r="D2" s="268"/>
      <c r="E2" s="268"/>
      <c r="F2" s="268"/>
      <c r="G2" s="1"/>
      <c r="H2" s="1"/>
      <c r="I2" s="1"/>
      <c r="J2" s="294"/>
      <c r="K2" s="294"/>
      <c r="L2" s="294"/>
      <c r="M2" s="294"/>
    </row>
    <row r="3" spans="1:13" ht="19.5" customHeight="1" x14ac:dyDescent="0.3">
      <c r="A3" s="273" t="s">
        <v>93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1.75" customHeight="1" x14ac:dyDescent="0.3">
      <c r="A4" s="273" t="s">
        <v>94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21.75" customHeight="1" x14ac:dyDescent="0.25">
      <c r="A5" s="298" t="s">
        <v>81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1:13" ht="18" customHeight="1" x14ac:dyDescent="0.25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spans="1:13" ht="18" customHeight="1" x14ac:dyDescent="0.25">
      <c r="A7" s="213"/>
      <c r="B7" s="213"/>
      <c r="C7" s="213"/>
      <c r="D7" s="213"/>
      <c r="E7" s="213"/>
      <c r="F7" s="326"/>
      <c r="G7" s="326"/>
      <c r="H7" s="213"/>
      <c r="I7" s="213"/>
      <c r="J7" s="213"/>
      <c r="K7" s="213"/>
      <c r="L7" s="213"/>
      <c r="M7" s="213"/>
    </row>
    <row r="8" spans="1:13" s="4" customFormat="1" ht="30.75" customHeight="1" x14ac:dyDescent="0.2">
      <c r="A8" s="299" t="s">
        <v>11</v>
      </c>
      <c r="B8" s="299" t="s">
        <v>16</v>
      </c>
      <c r="C8" s="301" t="s">
        <v>0</v>
      </c>
      <c r="D8" s="302" t="s">
        <v>10</v>
      </c>
      <c r="E8" s="302"/>
      <c r="F8" s="286" t="s">
        <v>88</v>
      </c>
      <c r="G8" s="303"/>
      <c r="H8" s="286" t="s">
        <v>86</v>
      </c>
      <c r="I8" s="303"/>
      <c r="J8" s="304" t="s">
        <v>15</v>
      </c>
      <c r="K8" s="305"/>
      <c r="L8" s="306" t="s">
        <v>83</v>
      </c>
      <c r="M8" s="308" t="s">
        <v>84</v>
      </c>
    </row>
    <row r="9" spans="1:13" s="4" customFormat="1" ht="33.75" customHeight="1" x14ac:dyDescent="0.2">
      <c r="A9" s="300"/>
      <c r="B9" s="300"/>
      <c r="C9" s="293"/>
      <c r="D9" s="301"/>
      <c r="E9" s="301"/>
      <c r="F9" s="8" t="s">
        <v>1</v>
      </c>
      <c r="G9" s="8" t="s">
        <v>2</v>
      </c>
      <c r="H9" s="8" t="s">
        <v>1</v>
      </c>
      <c r="I9" s="8" t="s">
        <v>2</v>
      </c>
      <c r="J9" s="8" t="s">
        <v>87</v>
      </c>
      <c r="K9" s="210" t="s">
        <v>82</v>
      </c>
      <c r="L9" s="307"/>
      <c r="M9" s="309"/>
    </row>
    <row r="10" spans="1:13" s="38" customFormat="1" ht="18" customHeight="1" x14ac:dyDescent="0.25">
      <c r="A10" s="92">
        <v>1</v>
      </c>
      <c r="B10" s="92">
        <v>2</v>
      </c>
      <c r="C10" s="214">
        <v>3</v>
      </c>
      <c r="D10" s="310">
        <v>4</v>
      </c>
      <c r="E10" s="310"/>
      <c r="F10" s="92">
        <v>5</v>
      </c>
      <c r="G10" s="100">
        <v>6</v>
      </c>
      <c r="H10" s="100"/>
      <c r="I10" s="100"/>
      <c r="J10" s="92">
        <v>7</v>
      </c>
      <c r="K10" s="92"/>
      <c r="L10" s="92"/>
      <c r="M10" s="214">
        <v>12</v>
      </c>
    </row>
    <row r="11" spans="1:13" s="9" customFormat="1" ht="23.25" customHeight="1" x14ac:dyDescent="0.3">
      <c r="A11" s="39" t="s">
        <v>4</v>
      </c>
      <c r="B11" s="39" t="s">
        <v>4</v>
      </c>
      <c r="C11" s="40"/>
      <c r="D11" s="41"/>
      <c r="E11" s="42"/>
      <c r="F11" s="43"/>
      <c r="G11" s="44"/>
      <c r="H11" s="44"/>
      <c r="I11" s="44"/>
      <c r="J11" s="45"/>
      <c r="K11" s="45"/>
      <c r="L11" s="45"/>
      <c r="M11" s="46"/>
    </row>
    <row r="12" spans="1:13" s="3" customFormat="1" ht="21.75" customHeight="1" x14ac:dyDescent="0.25">
      <c r="A12" s="105">
        <v>1</v>
      </c>
      <c r="B12" s="23">
        <v>121041</v>
      </c>
      <c r="C12" s="15" t="s">
        <v>22</v>
      </c>
      <c r="D12" s="24" t="s">
        <v>5</v>
      </c>
      <c r="E12" s="25" t="s">
        <v>2</v>
      </c>
      <c r="F12" s="28">
        <v>0.25</v>
      </c>
      <c r="G12" s="27">
        <v>11</v>
      </c>
      <c r="H12" s="26">
        <v>0.25</v>
      </c>
      <c r="I12" s="27">
        <v>11</v>
      </c>
      <c r="J12" s="228">
        <f>F12*2543.73</f>
        <v>635.9325</v>
      </c>
      <c r="K12" s="229">
        <f>J12</f>
        <v>635.9325</v>
      </c>
      <c r="L12" s="227">
        <f>K12*100/J12</f>
        <v>100</v>
      </c>
      <c r="M12" s="207"/>
    </row>
    <row r="13" spans="1:13" s="3" customFormat="1" ht="22.5" customHeight="1" x14ac:dyDescent="0.25">
      <c r="A13" s="10">
        <v>5</v>
      </c>
      <c r="B13" s="10">
        <v>121071</v>
      </c>
      <c r="C13" s="120" t="s">
        <v>26</v>
      </c>
      <c r="D13" s="24" t="s">
        <v>5</v>
      </c>
      <c r="E13" s="25" t="s">
        <v>2</v>
      </c>
      <c r="F13" s="35">
        <v>0.23</v>
      </c>
      <c r="G13" s="27">
        <v>10</v>
      </c>
      <c r="H13" s="26">
        <v>0.23</v>
      </c>
      <c r="I13" s="27">
        <v>10</v>
      </c>
      <c r="J13" s="228">
        <f>F13*2543.73</f>
        <v>585.05790000000002</v>
      </c>
      <c r="K13" s="229">
        <f t="shared" ref="K13:K16" si="0">H13*2543.73</f>
        <v>585.05790000000002</v>
      </c>
      <c r="L13" s="227">
        <f t="shared" ref="L13:L16" si="1">K13*100/J13</f>
        <v>100</v>
      </c>
      <c r="M13" s="99"/>
    </row>
    <row r="14" spans="1:13" s="3" customFormat="1" ht="22.5" customHeight="1" x14ac:dyDescent="0.25">
      <c r="A14" s="105">
        <v>6</v>
      </c>
      <c r="B14" s="10">
        <v>122214</v>
      </c>
      <c r="C14" s="123" t="s">
        <v>28</v>
      </c>
      <c r="D14" s="11" t="s">
        <v>5</v>
      </c>
      <c r="E14" s="11" t="s">
        <v>6</v>
      </c>
      <c r="F14" s="121">
        <v>0.25800000000000001</v>
      </c>
      <c r="G14" s="27">
        <v>11</v>
      </c>
      <c r="H14" s="26">
        <v>0.25800000000000001</v>
      </c>
      <c r="I14" s="27">
        <v>11</v>
      </c>
      <c r="J14" s="228">
        <f>F14*2543.73</f>
        <v>656.28233999999998</v>
      </c>
      <c r="K14" s="229">
        <f t="shared" si="0"/>
        <v>656.28233999999998</v>
      </c>
      <c r="L14" s="227">
        <f t="shared" si="1"/>
        <v>100</v>
      </c>
      <c r="M14" s="14"/>
    </row>
    <row r="15" spans="1:13" s="3" customFormat="1" ht="22.5" customHeight="1" x14ac:dyDescent="0.25">
      <c r="A15" s="105">
        <v>7</v>
      </c>
      <c r="B15" s="10">
        <v>122216</v>
      </c>
      <c r="C15" s="123" t="s">
        <v>29</v>
      </c>
      <c r="D15" s="11" t="s">
        <v>5</v>
      </c>
      <c r="E15" s="11" t="s">
        <v>6</v>
      </c>
      <c r="F15" s="121">
        <v>0.48499999999999999</v>
      </c>
      <c r="G15" s="27">
        <v>20</v>
      </c>
      <c r="H15" s="26">
        <v>0.48499999999999999</v>
      </c>
      <c r="I15" s="27">
        <v>20</v>
      </c>
      <c r="J15" s="228">
        <f>F15*2543.73</f>
        <v>1233.7090499999999</v>
      </c>
      <c r="K15" s="229">
        <f t="shared" si="0"/>
        <v>1233.7090499999999</v>
      </c>
      <c r="L15" s="227">
        <f t="shared" si="1"/>
        <v>100</v>
      </c>
      <c r="M15" s="14"/>
    </row>
    <row r="16" spans="1:13" s="3" customFormat="1" ht="25.5" customHeight="1" x14ac:dyDescent="0.25">
      <c r="A16" s="105">
        <v>13</v>
      </c>
      <c r="B16" s="10">
        <v>121086</v>
      </c>
      <c r="C16" s="120" t="s">
        <v>27</v>
      </c>
      <c r="D16" s="11" t="s">
        <v>5</v>
      </c>
      <c r="E16" s="11" t="s">
        <v>6</v>
      </c>
      <c r="F16" s="127">
        <v>0.4</v>
      </c>
      <c r="G16" s="27">
        <v>17</v>
      </c>
      <c r="H16" s="26">
        <v>0.4</v>
      </c>
      <c r="I16" s="27">
        <v>17</v>
      </c>
      <c r="J16" s="228">
        <f>F16*2543.73</f>
        <v>1017.4920000000001</v>
      </c>
      <c r="K16" s="229">
        <f t="shared" si="0"/>
        <v>1017.4920000000001</v>
      </c>
      <c r="L16" s="227">
        <f t="shared" si="1"/>
        <v>100</v>
      </c>
      <c r="M16" s="207"/>
    </row>
    <row r="17" spans="1:16" s="49" customFormat="1" ht="22.5" customHeight="1" x14ac:dyDescent="0.25">
      <c r="A17" s="311" t="s">
        <v>85</v>
      </c>
      <c r="B17" s="312"/>
      <c r="C17" s="313"/>
      <c r="D17" s="16" t="s">
        <v>1</v>
      </c>
      <c r="E17" s="16" t="s">
        <v>6</v>
      </c>
      <c r="F17" s="18">
        <f t="shared" ref="F17:K17" si="2">SUM(F12:F16)</f>
        <v>1.6229999999999998</v>
      </c>
      <c r="G17" s="17">
        <f t="shared" si="2"/>
        <v>69</v>
      </c>
      <c r="H17" s="231">
        <f t="shared" si="2"/>
        <v>1.6229999999999998</v>
      </c>
      <c r="I17" s="17">
        <f t="shared" si="2"/>
        <v>69</v>
      </c>
      <c r="J17" s="230">
        <f t="shared" si="2"/>
        <v>4128.47379</v>
      </c>
      <c r="K17" s="230">
        <f t="shared" si="2"/>
        <v>4128.47379</v>
      </c>
      <c r="L17" s="17">
        <f>K17*100/J17</f>
        <v>100</v>
      </c>
      <c r="M17" s="209"/>
    </row>
    <row r="18" spans="1:16" s="48" customFormat="1" ht="18.75" customHeight="1" x14ac:dyDescent="0.25">
      <c r="A18" s="314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6"/>
    </row>
    <row r="19" spans="1:16" s="7" customFormat="1" ht="21" customHeight="1" x14ac:dyDescent="0.3">
      <c r="A19" s="98" t="s">
        <v>8</v>
      </c>
      <c r="B19" s="98" t="s">
        <v>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3"/>
    </row>
    <row r="20" spans="1:16" s="95" customFormat="1" ht="24" customHeight="1" x14ac:dyDescent="0.25">
      <c r="A20" s="20">
        <v>7</v>
      </c>
      <c r="B20" s="10">
        <v>120068</v>
      </c>
      <c r="C20" s="126" t="s">
        <v>33</v>
      </c>
      <c r="D20" s="11" t="s">
        <v>5</v>
      </c>
      <c r="E20" s="11" t="s">
        <v>6</v>
      </c>
      <c r="F20" s="12">
        <v>0.34</v>
      </c>
      <c r="G20" s="10">
        <v>16</v>
      </c>
      <c r="H20" s="13">
        <v>0.34</v>
      </c>
      <c r="I20" s="10">
        <v>16</v>
      </c>
      <c r="J20" s="13">
        <f t="shared" ref="J20" si="3">F20*1895.899</f>
        <v>644.60566000000006</v>
      </c>
      <c r="K20" s="225">
        <f>J20</f>
        <v>644.60566000000006</v>
      </c>
      <c r="L20" s="215">
        <f>K20*100/J20</f>
        <v>100</v>
      </c>
      <c r="M20" s="207"/>
    </row>
    <row r="21" spans="1:16" s="22" customFormat="1" ht="24.95" customHeight="1" x14ac:dyDescent="0.25">
      <c r="A21" s="295" t="s">
        <v>7</v>
      </c>
      <c r="B21" s="296"/>
      <c r="C21" s="297"/>
      <c r="D21" s="21" t="s">
        <v>1</v>
      </c>
      <c r="E21" s="21" t="s">
        <v>6</v>
      </c>
      <c r="F21" s="18">
        <f>SUM(F20:F20)</f>
        <v>0.34</v>
      </c>
      <c r="G21" s="17">
        <f>SUM(G20:G20)</f>
        <v>16</v>
      </c>
      <c r="H21" s="13">
        <v>0.34</v>
      </c>
      <c r="I21" s="10">
        <v>16</v>
      </c>
      <c r="J21" s="18">
        <f>SUM(J20:J20)</f>
        <v>644.60566000000006</v>
      </c>
      <c r="K21" s="18">
        <f>SUM(K20)</f>
        <v>644.60566000000006</v>
      </c>
      <c r="L21" s="10">
        <f>K21*100/J21</f>
        <v>100</v>
      </c>
      <c r="M21" s="208"/>
    </row>
    <row r="22" spans="1:16" s="48" customFormat="1" ht="12.75" customHeight="1" x14ac:dyDescent="0.25">
      <c r="A22" s="56"/>
      <c r="B22" s="56"/>
      <c r="C22" s="113"/>
      <c r="D22" s="115"/>
      <c r="E22" s="115"/>
      <c r="F22" s="116"/>
      <c r="G22" s="117"/>
      <c r="H22" s="117"/>
      <c r="I22" s="117"/>
      <c r="J22" s="118"/>
      <c r="K22" s="118"/>
      <c r="L22" s="118"/>
      <c r="M22" s="51"/>
    </row>
    <row r="23" spans="1:16" s="52" customFormat="1" ht="24" customHeight="1" x14ac:dyDescent="0.25">
      <c r="A23" s="317" t="s">
        <v>13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9"/>
    </row>
    <row r="24" spans="1:16" s="219" customFormat="1" ht="24" customHeight="1" x14ac:dyDescent="0.25">
      <c r="A24" s="23"/>
      <c r="B24" s="23"/>
      <c r="C24" s="123" t="s">
        <v>89</v>
      </c>
      <c r="D24" s="24"/>
      <c r="E24" s="25"/>
      <c r="F24" s="192"/>
      <c r="G24" s="27"/>
      <c r="H24" s="27"/>
      <c r="I24" s="27"/>
      <c r="J24" s="13"/>
      <c r="K24" s="13"/>
      <c r="L24" s="13"/>
      <c r="M24" s="207"/>
    </row>
    <row r="25" spans="1:16" s="5" customFormat="1" ht="20.25" customHeight="1" x14ac:dyDescent="0.25">
      <c r="A25" s="53"/>
      <c r="B25" s="53"/>
      <c r="C25" s="54"/>
      <c r="D25" s="55"/>
      <c r="E25" s="55"/>
      <c r="F25" s="56"/>
      <c r="G25" s="56"/>
      <c r="H25" s="56"/>
      <c r="I25" s="56"/>
      <c r="J25" s="57"/>
      <c r="K25" s="57"/>
      <c r="L25" s="57"/>
      <c r="M25" s="58"/>
    </row>
    <row r="26" spans="1:16" s="59" customFormat="1" ht="32.25" customHeight="1" x14ac:dyDescent="0.3">
      <c r="A26" s="98" t="s">
        <v>14</v>
      </c>
      <c r="B26" s="98" t="s">
        <v>14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3"/>
    </row>
    <row r="27" spans="1:16" s="3" customFormat="1" ht="24.75" customHeight="1" x14ac:dyDescent="0.25">
      <c r="A27" s="20"/>
      <c r="B27" s="20"/>
      <c r="C27" s="123" t="s">
        <v>89</v>
      </c>
      <c r="D27" s="32"/>
      <c r="E27" s="33"/>
      <c r="F27" s="190"/>
      <c r="G27" s="20"/>
      <c r="H27" s="20"/>
      <c r="I27" s="20"/>
      <c r="J27" s="13"/>
      <c r="K27" s="13"/>
      <c r="L27" s="13"/>
      <c r="M27" s="34"/>
    </row>
    <row r="28" spans="1:16" s="5" customFormat="1" ht="10.5" customHeight="1" x14ac:dyDescent="0.25">
      <c r="A28" s="56"/>
      <c r="B28" s="56"/>
      <c r="C28" s="119"/>
      <c r="D28" s="55"/>
      <c r="E28" s="55"/>
      <c r="F28" s="57"/>
      <c r="G28" s="56"/>
      <c r="H28" s="56"/>
      <c r="I28" s="56"/>
      <c r="J28" s="57"/>
      <c r="K28" s="57"/>
      <c r="L28" s="57"/>
      <c r="M28" s="58"/>
    </row>
    <row r="29" spans="1:16" s="9" customFormat="1" ht="24" customHeight="1" x14ac:dyDescent="0.3">
      <c r="A29" s="63" t="s">
        <v>9</v>
      </c>
      <c r="B29" s="40"/>
      <c r="C29" s="101"/>
      <c r="D29" s="40"/>
      <c r="E29" s="64"/>
      <c r="F29" s="220"/>
      <c r="G29" s="65"/>
      <c r="H29" s="65"/>
      <c r="I29" s="65"/>
      <c r="J29" s="65"/>
      <c r="K29" s="65"/>
      <c r="L29" s="65"/>
      <c r="M29" s="106"/>
      <c r="N29" s="47"/>
      <c r="O29" s="47"/>
      <c r="P29" s="47"/>
    </row>
    <row r="30" spans="1:16" s="3" customFormat="1" ht="34.5" customHeight="1" x14ac:dyDescent="0.25">
      <c r="A30" s="221">
        <v>2</v>
      </c>
      <c r="B30" s="215"/>
      <c r="C30" s="50" t="s">
        <v>91</v>
      </c>
      <c r="D30" s="223" t="s">
        <v>2</v>
      </c>
      <c r="E30" s="223"/>
      <c r="F30" s="221">
        <v>4</v>
      </c>
      <c r="G30" s="221"/>
      <c r="H30" s="221"/>
      <c r="I30" s="221">
        <v>4</v>
      </c>
      <c r="J30" s="35">
        <f>F30*187.2</f>
        <v>748.8</v>
      </c>
      <c r="K30" s="226">
        <f>J30</f>
        <v>748.8</v>
      </c>
      <c r="L30" s="232">
        <f>K30*100/J30</f>
        <v>100</v>
      </c>
      <c r="M30" s="207"/>
    </row>
    <row r="31" spans="1:16" s="5" customFormat="1" ht="24" customHeight="1" x14ac:dyDescent="0.25">
      <c r="A31" s="327" t="s">
        <v>7</v>
      </c>
      <c r="B31" s="327"/>
      <c r="C31" s="327"/>
      <c r="D31" s="29" t="s">
        <v>2</v>
      </c>
      <c r="E31" s="29"/>
      <c r="F31" s="17">
        <f>SUM(F30:F30)</f>
        <v>4</v>
      </c>
      <c r="G31" s="17"/>
      <c r="H31" s="17"/>
      <c r="I31" s="17">
        <v>4</v>
      </c>
      <c r="J31" s="18">
        <f>SUM(J30:J30)</f>
        <v>748.8</v>
      </c>
      <c r="K31" s="18">
        <f>J31</f>
        <v>748.8</v>
      </c>
      <c r="L31" s="20">
        <f>K31*100/J31</f>
        <v>100</v>
      </c>
      <c r="M31" s="19"/>
    </row>
    <row r="32" spans="1:16" s="5" customFormat="1" ht="20.25" customHeight="1" x14ac:dyDescent="0.25">
      <c r="A32" s="222"/>
      <c r="B32" s="222"/>
      <c r="C32" s="97"/>
      <c r="D32" s="60"/>
      <c r="E32" s="60"/>
      <c r="F32" s="61"/>
      <c r="G32" s="62"/>
      <c r="H32" s="62"/>
      <c r="I32" s="62"/>
      <c r="J32" s="61"/>
      <c r="K32" s="61"/>
      <c r="L32" s="61"/>
      <c r="M32" s="103"/>
    </row>
    <row r="33" spans="1:13" s="6" customFormat="1" ht="29.25" customHeight="1" x14ac:dyDescent="0.25">
      <c r="A33" s="317" t="s">
        <v>19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9"/>
    </row>
    <row r="34" spans="1:13" s="3" customFormat="1" ht="28.5" customHeight="1" x14ac:dyDescent="0.3">
      <c r="A34" s="33">
        <v>1</v>
      </c>
      <c r="B34" s="216"/>
      <c r="C34" s="206" t="s">
        <v>90</v>
      </c>
      <c r="D34" s="33" t="s">
        <v>2</v>
      </c>
      <c r="E34" s="102"/>
      <c r="F34" s="33">
        <v>1</v>
      </c>
      <c r="G34" s="102"/>
      <c r="H34" s="224"/>
      <c r="I34" s="224"/>
      <c r="J34" s="155">
        <v>280.99</v>
      </c>
      <c r="K34" s="233">
        <v>0</v>
      </c>
      <c r="L34" s="20">
        <v>0</v>
      </c>
      <c r="M34" s="207"/>
    </row>
    <row r="35" spans="1:13" s="49" customFormat="1" ht="40.5" customHeight="1" x14ac:dyDescent="0.25">
      <c r="A35" s="33">
        <v>5</v>
      </c>
      <c r="B35" s="217"/>
      <c r="C35" s="31" t="s">
        <v>79</v>
      </c>
      <c r="D35" s="33" t="s">
        <v>2</v>
      </c>
      <c r="E35" s="10"/>
      <c r="F35" s="10">
        <v>14</v>
      </c>
      <c r="G35" s="112"/>
      <c r="H35" s="112"/>
      <c r="I35" s="112"/>
      <c r="J35" s="234">
        <v>455.93</v>
      </c>
      <c r="K35" s="234">
        <f>J35</f>
        <v>455.93</v>
      </c>
      <c r="L35" s="20">
        <f t="shared" ref="L35:L37" si="4">K35*100/J35</f>
        <v>100</v>
      </c>
      <c r="M35" s="68"/>
    </row>
    <row r="36" spans="1:13" s="49" customFormat="1" ht="42" customHeight="1" x14ac:dyDescent="0.25">
      <c r="A36" s="104">
        <v>6</v>
      </c>
      <c r="B36" s="217"/>
      <c r="C36" s="69" t="s">
        <v>92</v>
      </c>
      <c r="D36" s="33" t="s">
        <v>2</v>
      </c>
      <c r="E36" s="10"/>
      <c r="F36" s="10">
        <v>16</v>
      </c>
      <c r="G36" s="112"/>
      <c r="H36" s="112"/>
      <c r="I36" s="112"/>
      <c r="J36" s="234">
        <v>2598.91</v>
      </c>
      <c r="K36" s="234">
        <f>J36</f>
        <v>2598.91</v>
      </c>
      <c r="L36" s="20">
        <f t="shared" si="4"/>
        <v>100</v>
      </c>
      <c r="M36" s="68"/>
    </row>
    <row r="37" spans="1:13" s="49" customFormat="1" ht="27.75" customHeight="1" x14ac:dyDescent="0.25">
      <c r="A37" s="311" t="s">
        <v>17</v>
      </c>
      <c r="B37" s="312"/>
      <c r="C37" s="313"/>
      <c r="D37" s="16"/>
      <c r="E37" s="16"/>
      <c r="F37" s="18"/>
      <c r="G37" s="66"/>
      <c r="H37" s="66"/>
      <c r="I37" s="66"/>
      <c r="J37" s="230">
        <f>SUM(J34:J36)</f>
        <v>3335.83</v>
      </c>
      <c r="K37" s="230">
        <f>SUM(K35:K36)</f>
        <v>3054.8399999999997</v>
      </c>
      <c r="L37" s="20">
        <f t="shared" si="4"/>
        <v>91.576609119769273</v>
      </c>
      <c r="M37" s="67"/>
    </row>
    <row r="38" spans="1:13" s="49" customFormat="1" ht="32.25" customHeight="1" x14ac:dyDescent="0.25">
      <c r="A38" s="323" t="s">
        <v>18</v>
      </c>
      <c r="B38" s="324"/>
      <c r="C38" s="325"/>
      <c r="D38" s="107"/>
      <c r="E38" s="107"/>
      <c r="F38" s="108"/>
      <c r="G38" s="109"/>
      <c r="H38" s="109"/>
      <c r="I38" s="109"/>
      <c r="J38" s="235">
        <f>J37+J31+J21+J17</f>
        <v>8857.7094500000003</v>
      </c>
      <c r="K38" s="235">
        <f>K17+K21+K31+K37</f>
        <v>8576.7194500000005</v>
      </c>
      <c r="L38" s="110">
        <f>K38*100/J38</f>
        <v>96.827735188356172</v>
      </c>
      <c r="M38" s="111"/>
    </row>
    <row r="39" spans="1:13" s="3" customFormat="1" ht="19.5" x14ac:dyDescent="0.3">
      <c r="A39" s="70"/>
      <c r="B39" s="70"/>
      <c r="C39" s="218"/>
      <c r="D39" s="72"/>
      <c r="E39" s="72"/>
      <c r="F39" s="73"/>
      <c r="G39" s="74"/>
      <c r="H39" s="74"/>
      <c r="I39" s="74"/>
      <c r="J39" s="96"/>
      <c r="K39" s="96"/>
      <c r="L39" s="96"/>
      <c r="M39" s="71"/>
    </row>
    <row r="40" spans="1:13" ht="18.75" x14ac:dyDescent="0.3">
      <c r="A40" s="75"/>
      <c r="B40" s="75"/>
      <c r="C40" s="114" t="s">
        <v>21</v>
      </c>
      <c r="D40" s="212"/>
      <c r="E40" s="36"/>
      <c r="F40" s="77"/>
      <c r="G40" s="1"/>
      <c r="H40" s="1"/>
      <c r="I40" s="1"/>
      <c r="J40" s="78"/>
      <c r="K40" s="78"/>
      <c r="L40" s="78"/>
      <c r="M40" s="81"/>
    </row>
    <row r="41" spans="1:13" ht="27" customHeight="1" x14ac:dyDescent="0.3">
      <c r="A41" s="82"/>
      <c r="B41" s="82"/>
      <c r="D41" s="212"/>
      <c r="E41" s="36"/>
      <c r="F41" s="77"/>
      <c r="G41" s="1"/>
      <c r="H41" s="1"/>
      <c r="I41" s="1"/>
    </row>
    <row r="45" spans="1:13" ht="20.25" customHeight="1" x14ac:dyDescent="0.25"/>
    <row r="58" spans="1:133" s="80" customFormat="1" x14ac:dyDescent="0.25">
      <c r="A58" s="86"/>
      <c r="B58" s="86"/>
      <c r="C58" s="91"/>
      <c r="D58" s="211"/>
      <c r="E58" s="90"/>
      <c r="F58" s="83"/>
      <c r="G58" s="83"/>
      <c r="H58" s="83"/>
      <c r="I58" s="83"/>
      <c r="J58" s="84"/>
      <c r="K58" s="84"/>
      <c r="L58" s="84"/>
      <c r="M58" s="85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</row>
  </sheetData>
  <mergeCells count="27">
    <mergeCell ref="A33:M33"/>
    <mergeCell ref="A37:C37"/>
    <mergeCell ref="A38:C38"/>
    <mergeCell ref="A31:C31"/>
    <mergeCell ref="D10:E10"/>
    <mergeCell ref="A17:C17"/>
    <mergeCell ref="A18:M18"/>
    <mergeCell ref="A21:C21"/>
    <mergeCell ref="A23:M23"/>
    <mergeCell ref="H8:I8"/>
    <mergeCell ref="J8:K8"/>
    <mergeCell ref="L8:L9"/>
    <mergeCell ref="M8:M9"/>
    <mergeCell ref="F7:G7"/>
    <mergeCell ref="A8:A9"/>
    <mergeCell ref="B8:B9"/>
    <mergeCell ref="C8:C9"/>
    <mergeCell ref="D8:E9"/>
    <mergeCell ref="F8:G8"/>
    <mergeCell ref="A6:M6"/>
    <mergeCell ref="A1:F1"/>
    <mergeCell ref="J1:M1"/>
    <mergeCell ref="A2:F2"/>
    <mergeCell ref="J2:M2"/>
    <mergeCell ref="A3:M3"/>
    <mergeCell ref="A4:M4"/>
    <mergeCell ref="A5:M5"/>
  </mergeCells>
  <pageMargins left="0.31496062992125984" right="0.19685039370078741" top="0.74803149606299213" bottom="0.35433070866141736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9"/>
  <sheetViews>
    <sheetView view="pageBreakPreview" topLeftCell="A22" zoomScale="70" zoomScaleNormal="75" zoomScaleSheetLayoutView="70" zoomScalePageLayoutView="75" workbookViewId="0">
      <selection activeCell="H42" sqref="H42"/>
    </sheetView>
  </sheetViews>
  <sheetFormatPr defaultRowHeight="16.5" x14ac:dyDescent="0.25"/>
  <cols>
    <col min="1" max="1" width="6.85546875" style="86" customWidth="1"/>
    <col min="2" max="2" width="17.28515625" style="86" customWidth="1"/>
    <col min="3" max="3" width="134.85546875" style="91" customWidth="1"/>
    <col min="4" max="4" width="7.140625" style="87" customWidth="1"/>
    <col min="5" max="5" width="7.5703125" style="88" customWidth="1"/>
    <col min="6" max="6" width="11" style="237" customWidth="1"/>
    <col min="7" max="9" width="11" style="90" customWidth="1"/>
    <col min="10" max="10" width="15.42578125" style="83" customWidth="1"/>
    <col min="11" max="11" width="12.7109375" style="83" customWidth="1"/>
    <col min="12" max="12" width="14.140625" style="83" customWidth="1"/>
    <col min="13" max="13" width="12.5703125" style="85" customWidth="1"/>
    <col min="232" max="232" width="3.5703125" customWidth="1"/>
    <col min="233" max="233" width="57.7109375" customWidth="1"/>
    <col min="234" max="234" width="3.7109375" customWidth="1"/>
    <col min="235" max="235" width="4" customWidth="1"/>
    <col min="236" max="236" width="6.7109375" customWidth="1"/>
    <col min="237" max="237" width="6.42578125" customWidth="1"/>
    <col min="238" max="240" width="9.5703125" customWidth="1"/>
    <col min="241" max="241" width="10.7109375" customWidth="1"/>
    <col min="242" max="242" width="9" customWidth="1"/>
    <col min="243" max="243" width="11.5703125" customWidth="1"/>
    <col min="488" max="488" width="3.5703125" customWidth="1"/>
    <col min="489" max="489" width="57.7109375" customWidth="1"/>
    <col min="490" max="490" width="3.7109375" customWidth="1"/>
    <col min="491" max="491" width="4" customWidth="1"/>
    <col min="492" max="492" width="6.7109375" customWidth="1"/>
    <col min="493" max="493" width="6.42578125" customWidth="1"/>
    <col min="494" max="496" width="9.5703125" customWidth="1"/>
    <col min="497" max="497" width="10.7109375" customWidth="1"/>
    <col min="498" max="498" width="9" customWidth="1"/>
    <col min="499" max="499" width="11.5703125" customWidth="1"/>
    <col min="744" max="744" width="3.5703125" customWidth="1"/>
    <col min="745" max="745" width="57.7109375" customWidth="1"/>
    <col min="746" max="746" width="3.7109375" customWidth="1"/>
    <col min="747" max="747" width="4" customWidth="1"/>
    <col min="748" max="748" width="6.7109375" customWidth="1"/>
    <col min="749" max="749" width="6.42578125" customWidth="1"/>
    <col min="750" max="752" width="9.5703125" customWidth="1"/>
    <col min="753" max="753" width="10.7109375" customWidth="1"/>
    <col min="754" max="754" width="9" customWidth="1"/>
    <col min="755" max="755" width="11.5703125" customWidth="1"/>
    <col min="1000" max="1000" width="3.5703125" customWidth="1"/>
    <col min="1001" max="1001" width="57.7109375" customWidth="1"/>
    <col min="1002" max="1002" width="3.7109375" customWidth="1"/>
    <col min="1003" max="1003" width="4" customWidth="1"/>
    <col min="1004" max="1004" width="6.7109375" customWidth="1"/>
    <col min="1005" max="1005" width="6.42578125" customWidth="1"/>
    <col min="1006" max="1008" width="9.5703125" customWidth="1"/>
    <col min="1009" max="1009" width="10.7109375" customWidth="1"/>
    <col min="1010" max="1010" width="9" customWidth="1"/>
    <col min="1011" max="1011" width="11.5703125" customWidth="1"/>
    <col min="1256" max="1256" width="3.5703125" customWidth="1"/>
    <col min="1257" max="1257" width="57.7109375" customWidth="1"/>
    <col min="1258" max="1258" width="3.7109375" customWidth="1"/>
    <col min="1259" max="1259" width="4" customWidth="1"/>
    <col min="1260" max="1260" width="6.7109375" customWidth="1"/>
    <col min="1261" max="1261" width="6.42578125" customWidth="1"/>
    <col min="1262" max="1264" width="9.5703125" customWidth="1"/>
    <col min="1265" max="1265" width="10.7109375" customWidth="1"/>
    <col min="1266" max="1266" width="9" customWidth="1"/>
    <col min="1267" max="1267" width="11.5703125" customWidth="1"/>
    <col min="1512" max="1512" width="3.5703125" customWidth="1"/>
    <col min="1513" max="1513" width="57.7109375" customWidth="1"/>
    <col min="1514" max="1514" width="3.7109375" customWidth="1"/>
    <col min="1515" max="1515" width="4" customWidth="1"/>
    <col min="1516" max="1516" width="6.7109375" customWidth="1"/>
    <col min="1517" max="1517" width="6.42578125" customWidth="1"/>
    <col min="1518" max="1520" width="9.5703125" customWidth="1"/>
    <col min="1521" max="1521" width="10.7109375" customWidth="1"/>
    <col min="1522" max="1522" width="9" customWidth="1"/>
    <col min="1523" max="1523" width="11.5703125" customWidth="1"/>
    <col min="1768" max="1768" width="3.5703125" customWidth="1"/>
    <col min="1769" max="1769" width="57.7109375" customWidth="1"/>
    <col min="1770" max="1770" width="3.7109375" customWidth="1"/>
    <col min="1771" max="1771" width="4" customWidth="1"/>
    <col min="1772" max="1772" width="6.7109375" customWidth="1"/>
    <col min="1773" max="1773" width="6.42578125" customWidth="1"/>
    <col min="1774" max="1776" width="9.5703125" customWidth="1"/>
    <col min="1777" max="1777" width="10.7109375" customWidth="1"/>
    <col min="1778" max="1778" width="9" customWidth="1"/>
    <col min="1779" max="1779" width="11.5703125" customWidth="1"/>
    <col min="2024" max="2024" width="3.5703125" customWidth="1"/>
    <col min="2025" max="2025" width="57.7109375" customWidth="1"/>
    <col min="2026" max="2026" width="3.7109375" customWidth="1"/>
    <col min="2027" max="2027" width="4" customWidth="1"/>
    <col min="2028" max="2028" width="6.7109375" customWidth="1"/>
    <col min="2029" max="2029" width="6.42578125" customWidth="1"/>
    <col min="2030" max="2032" width="9.5703125" customWidth="1"/>
    <col min="2033" max="2033" width="10.7109375" customWidth="1"/>
    <col min="2034" max="2034" width="9" customWidth="1"/>
    <col min="2035" max="2035" width="11.5703125" customWidth="1"/>
    <col min="2280" max="2280" width="3.5703125" customWidth="1"/>
    <col min="2281" max="2281" width="57.7109375" customWidth="1"/>
    <col min="2282" max="2282" width="3.7109375" customWidth="1"/>
    <col min="2283" max="2283" width="4" customWidth="1"/>
    <col min="2284" max="2284" width="6.7109375" customWidth="1"/>
    <col min="2285" max="2285" width="6.42578125" customWidth="1"/>
    <col min="2286" max="2288" width="9.5703125" customWidth="1"/>
    <col min="2289" max="2289" width="10.7109375" customWidth="1"/>
    <col min="2290" max="2290" width="9" customWidth="1"/>
    <col min="2291" max="2291" width="11.5703125" customWidth="1"/>
    <col min="2536" max="2536" width="3.5703125" customWidth="1"/>
    <col min="2537" max="2537" width="57.7109375" customWidth="1"/>
    <col min="2538" max="2538" width="3.7109375" customWidth="1"/>
    <col min="2539" max="2539" width="4" customWidth="1"/>
    <col min="2540" max="2540" width="6.7109375" customWidth="1"/>
    <col min="2541" max="2541" width="6.42578125" customWidth="1"/>
    <col min="2542" max="2544" width="9.5703125" customWidth="1"/>
    <col min="2545" max="2545" width="10.7109375" customWidth="1"/>
    <col min="2546" max="2546" width="9" customWidth="1"/>
    <col min="2547" max="2547" width="11.5703125" customWidth="1"/>
    <col min="2792" max="2792" width="3.5703125" customWidth="1"/>
    <col min="2793" max="2793" width="57.7109375" customWidth="1"/>
    <col min="2794" max="2794" width="3.7109375" customWidth="1"/>
    <col min="2795" max="2795" width="4" customWidth="1"/>
    <col min="2796" max="2796" width="6.7109375" customWidth="1"/>
    <col min="2797" max="2797" width="6.42578125" customWidth="1"/>
    <col min="2798" max="2800" width="9.5703125" customWidth="1"/>
    <col min="2801" max="2801" width="10.7109375" customWidth="1"/>
    <col min="2802" max="2802" width="9" customWidth="1"/>
    <col min="2803" max="2803" width="11.5703125" customWidth="1"/>
    <col min="3048" max="3048" width="3.5703125" customWidth="1"/>
    <col min="3049" max="3049" width="57.7109375" customWidth="1"/>
    <col min="3050" max="3050" width="3.7109375" customWidth="1"/>
    <col min="3051" max="3051" width="4" customWidth="1"/>
    <col min="3052" max="3052" width="6.7109375" customWidth="1"/>
    <col min="3053" max="3053" width="6.42578125" customWidth="1"/>
    <col min="3054" max="3056" width="9.5703125" customWidth="1"/>
    <col min="3057" max="3057" width="10.7109375" customWidth="1"/>
    <col min="3058" max="3058" width="9" customWidth="1"/>
    <col min="3059" max="3059" width="11.5703125" customWidth="1"/>
    <col min="3304" max="3304" width="3.5703125" customWidth="1"/>
    <col min="3305" max="3305" width="57.7109375" customWidth="1"/>
    <col min="3306" max="3306" width="3.7109375" customWidth="1"/>
    <col min="3307" max="3307" width="4" customWidth="1"/>
    <col min="3308" max="3308" width="6.7109375" customWidth="1"/>
    <col min="3309" max="3309" width="6.42578125" customWidth="1"/>
    <col min="3310" max="3312" width="9.5703125" customWidth="1"/>
    <col min="3313" max="3313" width="10.7109375" customWidth="1"/>
    <col min="3314" max="3314" width="9" customWidth="1"/>
    <col min="3315" max="3315" width="11.5703125" customWidth="1"/>
    <col min="3560" max="3560" width="3.5703125" customWidth="1"/>
    <col min="3561" max="3561" width="57.7109375" customWidth="1"/>
    <col min="3562" max="3562" width="3.7109375" customWidth="1"/>
    <col min="3563" max="3563" width="4" customWidth="1"/>
    <col min="3564" max="3564" width="6.7109375" customWidth="1"/>
    <col min="3565" max="3565" width="6.42578125" customWidth="1"/>
    <col min="3566" max="3568" width="9.5703125" customWidth="1"/>
    <col min="3569" max="3569" width="10.7109375" customWidth="1"/>
    <col min="3570" max="3570" width="9" customWidth="1"/>
    <col min="3571" max="3571" width="11.5703125" customWidth="1"/>
    <col min="3816" max="3816" width="3.5703125" customWidth="1"/>
    <col min="3817" max="3817" width="57.7109375" customWidth="1"/>
    <col min="3818" max="3818" width="3.7109375" customWidth="1"/>
    <col min="3819" max="3819" width="4" customWidth="1"/>
    <col min="3820" max="3820" width="6.7109375" customWidth="1"/>
    <col min="3821" max="3821" width="6.42578125" customWidth="1"/>
    <col min="3822" max="3824" width="9.5703125" customWidth="1"/>
    <col min="3825" max="3825" width="10.7109375" customWidth="1"/>
    <col min="3826" max="3826" width="9" customWidth="1"/>
    <col min="3827" max="3827" width="11.5703125" customWidth="1"/>
    <col min="4072" max="4072" width="3.5703125" customWidth="1"/>
    <col min="4073" max="4073" width="57.7109375" customWidth="1"/>
    <col min="4074" max="4074" width="3.7109375" customWidth="1"/>
    <col min="4075" max="4075" width="4" customWidth="1"/>
    <col min="4076" max="4076" width="6.7109375" customWidth="1"/>
    <col min="4077" max="4077" width="6.42578125" customWidth="1"/>
    <col min="4078" max="4080" width="9.5703125" customWidth="1"/>
    <col min="4081" max="4081" width="10.7109375" customWidth="1"/>
    <col min="4082" max="4082" width="9" customWidth="1"/>
    <col min="4083" max="4083" width="11.5703125" customWidth="1"/>
    <col min="4328" max="4328" width="3.5703125" customWidth="1"/>
    <col min="4329" max="4329" width="57.7109375" customWidth="1"/>
    <col min="4330" max="4330" width="3.7109375" customWidth="1"/>
    <col min="4331" max="4331" width="4" customWidth="1"/>
    <col min="4332" max="4332" width="6.7109375" customWidth="1"/>
    <col min="4333" max="4333" width="6.42578125" customWidth="1"/>
    <col min="4334" max="4336" width="9.5703125" customWidth="1"/>
    <col min="4337" max="4337" width="10.7109375" customWidth="1"/>
    <col min="4338" max="4338" width="9" customWidth="1"/>
    <col min="4339" max="4339" width="11.5703125" customWidth="1"/>
    <col min="4584" max="4584" width="3.5703125" customWidth="1"/>
    <col min="4585" max="4585" width="57.7109375" customWidth="1"/>
    <col min="4586" max="4586" width="3.7109375" customWidth="1"/>
    <col min="4587" max="4587" width="4" customWidth="1"/>
    <col min="4588" max="4588" width="6.7109375" customWidth="1"/>
    <col min="4589" max="4589" width="6.42578125" customWidth="1"/>
    <col min="4590" max="4592" width="9.5703125" customWidth="1"/>
    <col min="4593" max="4593" width="10.7109375" customWidth="1"/>
    <col min="4594" max="4594" width="9" customWidth="1"/>
    <col min="4595" max="4595" width="11.5703125" customWidth="1"/>
    <col min="4840" max="4840" width="3.5703125" customWidth="1"/>
    <col min="4841" max="4841" width="57.7109375" customWidth="1"/>
    <col min="4842" max="4842" width="3.7109375" customWidth="1"/>
    <col min="4843" max="4843" width="4" customWidth="1"/>
    <col min="4844" max="4844" width="6.7109375" customWidth="1"/>
    <col min="4845" max="4845" width="6.42578125" customWidth="1"/>
    <col min="4846" max="4848" width="9.5703125" customWidth="1"/>
    <col min="4849" max="4849" width="10.7109375" customWidth="1"/>
    <col min="4850" max="4850" width="9" customWidth="1"/>
    <col min="4851" max="4851" width="11.5703125" customWidth="1"/>
    <col min="5096" max="5096" width="3.5703125" customWidth="1"/>
    <col min="5097" max="5097" width="57.7109375" customWidth="1"/>
    <col min="5098" max="5098" width="3.7109375" customWidth="1"/>
    <col min="5099" max="5099" width="4" customWidth="1"/>
    <col min="5100" max="5100" width="6.7109375" customWidth="1"/>
    <col min="5101" max="5101" width="6.42578125" customWidth="1"/>
    <col min="5102" max="5104" width="9.5703125" customWidth="1"/>
    <col min="5105" max="5105" width="10.7109375" customWidth="1"/>
    <col min="5106" max="5106" width="9" customWidth="1"/>
    <col min="5107" max="5107" width="11.5703125" customWidth="1"/>
    <col min="5352" max="5352" width="3.5703125" customWidth="1"/>
    <col min="5353" max="5353" width="57.7109375" customWidth="1"/>
    <col min="5354" max="5354" width="3.7109375" customWidth="1"/>
    <col min="5355" max="5355" width="4" customWidth="1"/>
    <col min="5356" max="5356" width="6.7109375" customWidth="1"/>
    <col min="5357" max="5357" width="6.42578125" customWidth="1"/>
    <col min="5358" max="5360" width="9.5703125" customWidth="1"/>
    <col min="5361" max="5361" width="10.7109375" customWidth="1"/>
    <col min="5362" max="5362" width="9" customWidth="1"/>
    <col min="5363" max="5363" width="11.5703125" customWidth="1"/>
    <col min="5608" max="5608" width="3.5703125" customWidth="1"/>
    <col min="5609" max="5609" width="57.7109375" customWidth="1"/>
    <col min="5610" max="5610" width="3.7109375" customWidth="1"/>
    <col min="5611" max="5611" width="4" customWidth="1"/>
    <col min="5612" max="5612" width="6.7109375" customWidth="1"/>
    <col min="5613" max="5613" width="6.42578125" customWidth="1"/>
    <col min="5614" max="5616" width="9.5703125" customWidth="1"/>
    <col min="5617" max="5617" width="10.7109375" customWidth="1"/>
    <col min="5618" max="5618" width="9" customWidth="1"/>
    <col min="5619" max="5619" width="11.5703125" customWidth="1"/>
    <col min="5864" max="5864" width="3.5703125" customWidth="1"/>
    <col min="5865" max="5865" width="57.7109375" customWidth="1"/>
    <col min="5866" max="5866" width="3.7109375" customWidth="1"/>
    <col min="5867" max="5867" width="4" customWidth="1"/>
    <col min="5868" max="5868" width="6.7109375" customWidth="1"/>
    <col min="5869" max="5869" width="6.42578125" customWidth="1"/>
    <col min="5870" max="5872" width="9.5703125" customWidth="1"/>
    <col min="5873" max="5873" width="10.7109375" customWidth="1"/>
    <col min="5874" max="5874" width="9" customWidth="1"/>
    <col min="5875" max="5875" width="11.5703125" customWidth="1"/>
    <col min="6120" max="6120" width="3.5703125" customWidth="1"/>
    <col min="6121" max="6121" width="57.7109375" customWidth="1"/>
    <col min="6122" max="6122" width="3.7109375" customWidth="1"/>
    <col min="6123" max="6123" width="4" customWidth="1"/>
    <col min="6124" max="6124" width="6.7109375" customWidth="1"/>
    <col min="6125" max="6125" width="6.42578125" customWidth="1"/>
    <col min="6126" max="6128" width="9.5703125" customWidth="1"/>
    <col min="6129" max="6129" width="10.7109375" customWidth="1"/>
    <col min="6130" max="6130" width="9" customWidth="1"/>
    <col min="6131" max="6131" width="11.5703125" customWidth="1"/>
    <col min="6376" max="6376" width="3.5703125" customWidth="1"/>
    <col min="6377" max="6377" width="57.7109375" customWidth="1"/>
    <col min="6378" max="6378" width="3.7109375" customWidth="1"/>
    <col min="6379" max="6379" width="4" customWidth="1"/>
    <col min="6380" max="6380" width="6.7109375" customWidth="1"/>
    <col min="6381" max="6381" width="6.42578125" customWidth="1"/>
    <col min="6382" max="6384" width="9.5703125" customWidth="1"/>
    <col min="6385" max="6385" width="10.7109375" customWidth="1"/>
    <col min="6386" max="6386" width="9" customWidth="1"/>
    <col min="6387" max="6387" width="11.5703125" customWidth="1"/>
    <col min="6632" max="6632" width="3.5703125" customWidth="1"/>
    <col min="6633" max="6633" width="57.7109375" customWidth="1"/>
    <col min="6634" max="6634" width="3.7109375" customWidth="1"/>
    <col min="6635" max="6635" width="4" customWidth="1"/>
    <col min="6636" max="6636" width="6.7109375" customWidth="1"/>
    <col min="6637" max="6637" width="6.42578125" customWidth="1"/>
    <col min="6638" max="6640" width="9.5703125" customWidth="1"/>
    <col min="6641" max="6641" width="10.7109375" customWidth="1"/>
    <col min="6642" max="6642" width="9" customWidth="1"/>
    <col min="6643" max="6643" width="11.5703125" customWidth="1"/>
    <col min="6888" max="6888" width="3.5703125" customWidth="1"/>
    <col min="6889" max="6889" width="57.7109375" customWidth="1"/>
    <col min="6890" max="6890" width="3.7109375" customWidth="1"/>
    <col min="6891" max="6891" width="4" customWidth="1"/>
    <col min="6892" max="6892" width="6.7109375" customWidth="1"/>
    <col min="6893" max="6893" width="6.42578125" customWidth="1"/>
    <col min="6894" max="6896" width="9.5703125" customWidth="1"/>
    <col min="6897" max="6897" width="10.7109375" customWidth="1"/>
    <col min="6898" max="6898" width="9" customWidth="1"/>
    <col min="6899" max="6899" width="11.5703125" customWidth="1"/>
    <col min="7144" max="7144" width="3.5703125" customWidth="1"/>
    <col min="7145" max="7145" width="57.7109375" customWidth="1"/>
    <col min="7146" max="7146" width="3.7109375" customWidth="1"/>
    <col min="7147" max="7147" width="4" customWidth="1"/>
    <col min="7148" max="7148" width="6.7109375" customWidth="1"/>
    <col min="7149" max="7149" width="6.42578125" customWidth="1"/>
    <col min="7150" max="7152" width="9.5703125" customWidth="1"/>
    <col min="7153" max="7153" width="10.7109375" customWidth="1"/>
    <col min="7154" max="7154" width="9" customWidth="1"/>
    <col min="7155" max="7155" width="11.5703125" customWidth="1"/>
    <col min="7400" max="7400" width="3.5703125" customWidth="1"/>
    <col min="7401" max="7401" width="57.7109375" customWidth="1"/>
    <col min="7402" max="7402" width="3.7109375" customWidth="1"/>
    <col min="7403" max="7403" width="4" customWidth="1"/>
    <col min="7404" max="7404" width="6.7109375" customWidth="1"/>
    <col min="7405" max="7405" width="6.42578125" customWidth="1"/>
    <col min="7406" max="7408" width="9.5703125" customWidth="1"/>
    <col min="7409" max="7409" width="10.7109375" customWidth="1"/>
    <col min="7410" max="7410" width="9" customWidth="1"/>
    <col min="7411" max="7411" width="11.5703125" customWidth="1"/>
    <col min="7656" max="7656" width="3.5703125" customWidth="1"/>
    <col min="7657" max="7657" width="57.7109375" customWidth="1"/>
    <col min="7658" max="7658" width="3.7109375" customWidth="1"/>
    <col min="7659" max="7659" width="4" customWidth="1"/>
    <col min="7660" max="7660" width="6.7109375" customWidth="1"/>
    <col min="7661" max="7661" width="6.42578125" customWidth="1"/>
    <col min="7662" max="7664" width="9.5703125" customWidth="1"/>
    <col min="7665" max="7665" width="10.7109375" customWidth="1"/>
    <col min="7666" max="7666" width="9" customWidth="1"/>
    <col min="7667" max="7667" width="11.5703125" customWidth="1"/>
    <col min="7912" max="7912" width="3.5703125" customWidth="1"/>
    <col min="7913" max="7913" width="57.7109375" customWidth="1"/>
    <col min="7914" max="7914" width="3.7109375" customWidth="1"/>
    <col min="7915" max="7915" width="4" customWidth="1"/>
    <col min="7916" max="7916" width="6.7109375" customWidth="1"/>
    <col min="7917" max="7917" width="6.42578125" customWidth="1"/>
    <col min="7918" max="7920" width="9.5703125" customWidth="1"/>
    <col min="7921" max="7921" width="10.7109375" customWidth="1"/>
    <col min="7922" max="7922" width="9" customWidth="1"/>
    <col min="7923" max="7923" width="11.5703125" customWidth="1"/>
  </cols>
  <sheetData>
    <row r="1" spans="1:13" s="2" customFormat="1" ht="23.25" customHeight="1" x14ac:dyDescent="0.3">
      <c r="A1" s="268"/>
      <c r="B1" s="268"/>
      <c r="C1" s="268"/>
      <c r="D1" s="268"/>
      <c r="E1" s="268"/>
      <c r="F1" s="268"/>
      <c r="G1" s="1"/>
      <c r="H1" s="1"/>
      <c r="I1" s="1"/>
      <c r="J1" s="294"/>
      <c r="K1" s="294"/>
      <c r="L1" s="294"/>
      <c r="M1" s="294"/>
    </row>
    <row r="2" spans="1:13" s="2" customFormat="1" ht="23.25" customHeight="1" x14ac:dyDescent="0.3">
      <c r="A2" s="268"/>
      <c r="B2" s="268"/>
      <c r="C2" s="268"/>
      <c r="D2" s="268"/>
      <c r="E2" s="268"/>
      <c r="F2" s="268"/>
      <c r="G2" s="1"/>
      <c r="H2" s="1"/>
      <c r="I2" s="1"/>
      <c r="J2" s="294"/>
      <c r="K2" s="294"/>
      <c r="L2" s="294"/>
      <c r="M2" s="294"/>
    </row>
    <row r="3" spans="1:13" ht="19.5" customHeight="1" x14ac:dyDescent="0.3">
      <c r="A3" s="273" t="s">
        <v>93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1.75" customHeight="1" x14ac:dyDescent="0.3">
      <c r="A4" s="273" t="s">
        <v>94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21.75" customHeight="1" x14ac:dyDescent="0.25">
      <c r="A5" s="298" t="s">
        <v>95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1:13" ht="18" customHeight="1" x14ac:dyDescent="0.25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spans="1:13" s="4" customFormat="1" ht="30.75" customHeight="1" x14ac:dyDescent="0.2">
      <c r="A7" s="299" t="s">
        <v>11</v>
      </c>
      <c r="B7" s="299" t="s">
        <v>16</v>
      </c>
      <c r="C7" s="301" t="s">
        <v>0</v>
      </c>
      <c r="D7" s="302" t="s">
        <v>10</v>
      </c>
      <c r="E7" s="302"/>
      <c r="F7" s="286" t="s">
        <v>96</v>
      </c>
      <c r="G7" s="303"/>
      <c r="H7" s="286" t="s">
        <v>97</v>
      </c>
      <c r="I7" s="303"/>
      <c r="J7" s="304" t="s">
        <v>15</v>
      </c>
      <c r="K7" s="305"/>
      <c r="L7" s="306" t="s">
        <v>83</v>
      </c>
      <c r="M7" s="308" t="s">
        <v>84</v>
      </c>
    </row>
    <row r="8" spans="1:13" s="4" customFormat="1" ht="33.75" customHeight="1" x14ac:dyDescent="0.2">
      <c r="A8" s="300"/>
      <c r="B8" s="300"/>
      <c r="C8" s="293"/>
      <c r="D8" s="301"/>
      <c r="E8" s="301"/>
      <c r="F8" s="246" t="s">
        <v>1</v>
      </c>
      <c r="G8" s="246" t="s">
        <v>2</v>
      </c>
      <c r="H8" s="246" t="s">
        <v>1</v>
      </c>
      <c r="I8" s="246" t="s">
        <v>2</v>
      </c>
      <c r="J8" s="246" t="s">
        <v>87</v>
      </c>
      <c r="K8" s="236" t="s">
        <v>82</v>
      </c>
      <c r="L8" s="307"/>
      <c r="M8" s="309"/>
    </row>
    <row r="9" spans="1:13" s="38" customFormat="1" ht="18" customHeight="1" x14ac:dyDescent="0.25">
      <c r="A9" s="92">
        <v>1</v>
      </c>
      <c r="B9" s="92">
        <v>2</v>
      </c>
      <c r="C9" s="239">
        <v>3</v>
      </c>
      <c r="D9" s="310">
        <v>4</v>
      </c>
      <c r="E9" s="310"/>
      <c r="F9" s="92">
        <v>5</v>
      </c>
      <c r="G9" s="100">
        <v>6</v>
      </c>
      <c r="H9" s="100"/>
      <c r="I9" s="100"/>
      <c r="J9" s="92">
        <v>7</v>
      </c>
      <c r="K9" s="92"/>
      <c r="L9" s="92"/>
      <c r="M9" s="239">
        <v>12</v>
      </c>
    </row>
    <row r="10" spans="1:13" s="9" customFormat="1" ht="23.25" customHeight="1" x14ac:dyDescent="0.3">
      <c r="A10" s="39" t="s">
        <v>4</v>
      </c>
      <c r="B10" s="39" t="s">
        <v>4</v>
      </c>
      <c r="C10" s="40"/>
      <c r="D10" s="41"/>
      <c r="E10" s="42"/>
      <c r="F10" s="43"/>
      <c r="G10" s="44"/>
      <c r="H10" s="44"/>
      <c r="I10" s="44"/>
      <c r="J10" s="45"/>
      <c r="K10" s="45"/>
      <c r="L10" s="45"/>
      <c r="M10" s="46"/>
    </row>
    <row r="11" spans="1:13" s="3" customFormat="1" ht="21.75" customHeight="1" x14ac:dyDescent="0.25">
      <c r="A11" s="105">
        <v>1</v>
      </c>
      <c r="B11" s="10">
        <v>121054</v>
      </c>
      <c r="C11" s="120" t="s">
        <v>23</v>
      </c>
      <c r="D11" s="24" t="s">
        <v>5</v>
      </c>
      <c r="E11" s="25" t="s">
        <v>6</v>
      </c>
      <c r="F11" s="28">
        <v>0.8</v>
      </c>
      <c r="G11" s="27">
        <v>34</v>
      </c>
      <c r="H11" s="26">
        <v>0</v>
      </c>
      <c r="I11" s="27">
        <v>0</v>
      </c>
      <c r="J11" s="228">
        <v>2034.98</v>
      </c>
      <c r="K11" s="229">
        <v>0</v>
      </c>
      <c r="L11" s="227">
        <f>K11*100/J11</f>
        <v>0</v>
      </c>
      <c r="M11" s="207"/>
    </row>
    <row r="12" spans="1:13" s="3" customFormat="1" ht="22.5" customHeight="1" x14ac:dyDescent="0.25">
      <c r="A12" s="10">
        <v>2</v>
      </c>
      <c r="B12" s="10">
        <v>132018</v>
      </c>
      <c r="C12" s="120" t="s">
        <v>24</v>
      </c>
      <c r="D12" s="24" t="s">
        <v>5</v>
      </c>
      <c r="E12" s="25" t="s">
        <v>6</v>
      </c>
      <c r="F12" s="35">
        <v>0.35</v>
      </c>
      <c r="G12" s="27">
        <v>15</v>
      </c>
      <c r="H12" s="26">
        <v>0</v>
      </c>
      <c r="I12" s="27">
        <v>0</v>
      </c>
      <c r="J12" s="228">
        <v>890.31</v>
      </c>
      <c r="K12" s="229">
        <f t="shared" ref="K12" si="0">H12*2543.73</f>
        <v>0</v>
      </c>
      <c r="L12" s="227">
        <f t="shared" ref="L12:L14" si="1">K12*100/J12</f>
        <v>0</v>
      </c>
      <c r="M12" s="99"/>
    </row>
    <row r="13" spans="1:13" s="3" customFormat="1" ht="22.5" customHeight="1" x14ac:dyDescent="0.25">
      <c r="A13" s="105">
        <v>3</v>
      </c>
      <c r="B13" s="10">
        <v>121055</v>
      </c>
      <c r="C13" s="120" t="s">
        <v>25</v>
      </c>
      <c r="D13" s="24" t="s">
        <v>5</v>
      </c>
      <c r="E13" s="25" t="s">
        <v>6</v>
      </c>
      <c r="F13" s="121">
        <v>0.3</v>
      </c>
      <c r="G13" s="27">
        <v>13</v>
      </c>
      <c r="H13" s="26">
        <v>0.3</v>
      </c>
      <c r="I13" s="27">
        <v>13</v>
      </c>
      <c r="J13" s="228">
        <v>763.12</v>
      </c>
      <c r="K13" s="229">
        <v>763.12</v>
      </c>
      <c r="L13" s="227">
        <f t="shared" si="1"/>
        <v>100</v>
      </c>
      <c r="M13" s="99"/>
    </row>
    <row r="14" spans="1:13" s="3" customFormat="1" ht="22.5" customHeight="1" x14ac:dyDescent="0.25">
      <c r="A14" s="105">
        <v>4</v>
      </c>
      <c r="B14" s="10">
        <v>121086</v>
      </c>
      <c r="C14" s="120" t="s">
        <v>27</v>
      </c>
      <c r="D14" s="24" t="s">
        <v>5</v>
      </c>
      <c r="E14" s="25" t="s">
        <v>6</v>
      </c>
      <c r="F14" s="121">
        <v>0.154</v>
      </c>
      <c r="G14" s="27">
        <v>6</v>
      </c>
      <c r="H14" s="26">
        <v>0.52</v>
      </c>
      <c r="I14" s="27">
        <v>22</v>
      </c>
      <c r="J14" s="228">
        <v>391.73</v>
      </c>
      <c r="K14" s="229">
        <v>1322.74</v>
      </c>
      <c r="L14" s="227">
        <f t="shared" si="1"/>
        <v>337.66624971281237</v>
      </c>
      <c r="M14" s="99"/>
    </row>
    <row r="15" spans="1:13" s="49" customFormat="1" ht="22.5" customHeight="1" x14ac:dyDescent="0.25">
      <c r="A15" s="311" t="s">
        <v>85</v>
      </c>
      <c r="B15" s="312"/>
      <c r="C15" s="313"/>
      <c r="D15" s="16" t="s">
        <v>1</v>
      </c>
      <c r="E15" s="16" t="s">
        <v>6</v>
      </c>
      <c r="F15" s="18">
        <f>SUM(F11:F14)</f>
        <v>1.6039999999999999</v>
      </c>
      <c r="G15" s="17">
        <v>67</v>
      </c>
      <c r="H15" s="231">
        <f>SUM(H11:H14)</f>
        <v>0.82000000000000006</v>
      </c>
      <c r="I15" s="17">
        <f>SUM(I11:I14)</f>
        <v>35</v>
      </c>
      <c r="J15" s="230">
        <f>SUM(J11:J14)</f>
        <v>4080.14</v>
      </c>
      <c r="K15" s="230">
        <f>SUM(K11:K14)</f>
        <v>2085.86</v>
      </c>
      <c r="L15" s="250">
        <f>K15*100/J15</f>
        <v>51.122265412461338</v>
      </c>
      <c r="M15" s="209"/>
    </row>
    <row r="16" spans="1:13" s="48" customFormat="1" ht="18.75" customHeight="1" x14ac:dyDescent="0.25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6"/>
    </row>
    <row r="17" spans="1:13" s="7" customFormat="1" ht="21" customHeight="1" x14ac:dyDescent="0.3">
      <c r="A17" s="98" t="s">
        <v>8</v>
      </c>
      <c r="B17" s="98" t="s">
        <v>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3"/>
    </row>
    <row r="18" spans="1:13" s="95" customFormat="1" ht="24" customHeight="1" x14ac:dyDescent="0.25">
      <c r="A18" s="20">
        <v>1</v>
      </c>
      <c r="B18" s="10">
        <v>120040</v>
      </c>
      <c r="C18" s="124" t="s">
        <v>30</v>
      </c>
      <c r="D18" s="11" t="s">
        <v>5</v>
      </c>
      <c r="E18" s="11" t="s">
        <v>6</v>
      </c>
      <c r="F18" s="12">
        <v>3.8</v>
      </c>
      <c r="G18" s="10">
        <v>179</v>
      </c>
      <c r="H18" s="13">
        <v>5.33</v>
      </c>
      <c r="I18" s="10">
        <v>250</v>
      </c>
      <c r="J18" s="13">
        <v>7204.42</v>
      </c>
      <c r="K18" s="13">
        <v>10096.799999999999</v>
      </c>
      <c r="L18" s="10">
        <f>K18*100/J18</f>
        <v>140.14729846399848</v>
      </c>
      <c r="M18" s="207"/>
    </row>
    <row r="19" spans="1:13" s="95" customFormat="1" ht="24" customHeight="1" x14ac:dyDescent="0.25">
      <c r="A19" s="247">
        <v>2</v>
      </c>
      <c r="B19" s="10">
        <v>120055</v>
      </c>
      <c r="C19" s="125" t="s">
        <v>31</v>
      </c>
      <c r="D19" s="11" t="s">
        <v>5</v>
      </c>
      <c r="E19" s="11" t="s">
        <v>6</v>
      </c>
      <c r="F19" s="12">
        <v>0.18</v>
      </c>
      <c r="G19" s="10">
        <v>8</v>
      </c>
      <c r="H19" s="13">
        <v>0.18</v>
      </c>
      <c r="I19" s="10">
        <v>8</v>
      </c>
      <c r="J19" s="13">
        <v>341.26</v>
      </c>
      <c r="K19" s="13">
        <v>341.26</v>
      </c>
      <c r="L19" s="10">
        <f t="shared" ref="L19:L20" si="2">K19*100/J19</f>
        <v>100</v>
      </c>
      <c r="M19" s="207"/>
    </row>
    <row r="20" spans="1:13" s="95" customFormat="1" ht="24" customHeight="1" x14ac:dyDescent="0.25">
      <c r="A20" s="247">
        <v>3</v>
      </c>
      <c r="B20" s="10">
        <v>120058</v>
      </c>
      <c r="C20" s="125" t="s">
        <v>32</v>
      </c>
      <c r="D20" s="11" t="s">
        <v>5</v>
      </c>
      <c r="E20" s="11" t="s">
        <v>6</v>
      </c>
      <c r="F20" s="12">
        <v>0.9</v>
      </c>
      <c r="G20" s="10">
        <v>42</v>
      </c>
      <c r="H20" s="13">
        <v>0</v>
      </c>
      <c r="I20" s="10">
        <v>0</v>
      </c>
      <c r="J20" s="248">
        <v>1706.31</v>
      </c>
      <c r="K20" s="225">
        <v>0</v>
      </c>
      <c r="L20" s="240">
        <f t="shared" si="2"/>
        <v>0</v>
      </c>
      <c r="M20" s="207"/>
    </row>
    <row r="21" spans="1:13" s="22" customFormat="1" ht="24.95" customHeight="1" x14ac:dyDescent="0.25">
      <c r="A21" s="295" t="s">
        <v>7</v>
      </c>
      <c r="B21" s="296"/>
      <c r="C21" s="297"/>
      <c r="D21" s="21" t="s">
        <v>1</v>
      </c>
      <c r="E21" s="21" t="s">
        <v>6</v>
      </c>
      <c r="F21" s="18">
        <f t="shared" ref="F21:K21" si="3">SUM(F18:F20)</f>
        <v>4.88</v>
      </c>
      <c r="G21" s="17">
        <f t="shared" si="3"/>
        <v>229</v>
      </c>
      <c r="H21" s="13">
        <f t="shared" si="3"/>
        <v>5.51</v>
      </c>
      <c r="I21" s="10">
        <f t="shared" si="3"/>
        <v>258</v>
      </c>
      <c r="J21" s="18">
        <f t="shared" si="3"/>
        <v>9251.99</v>
      </c>
      <c r="K21" s="18">
        <f t="shared" si="3"/>
        <v>10438.06</v>
      </c>
      <c r="L21" s="17">
        <f>K21*100/J21</f>
        <v>112.8196204276053</v>
      </c>
      <c r="M21" s="208"/>
    </row>
    <row r="22" spans="1:13" s="48" customFormat="1" ht="12.75" customHeight="1" x14ac:dyDescent="0.25">
      <c r="A22" s="56"/>
      <c r="B22" s="56"/>
      <c r="C22" s="113"/>
      <c r="D22" s="115"/>
      <c r="E22" s="115"/>
      <c r="F22" s="116"/>
      <c r="G22" s="117"/>
      <c r="H22" s="117"/>
      <c r="I22" s="117"/>
      <c r="J22" s="118"/>
      <c r="K22" s="118"/>
      <c r="L22" s="118"/>
      <c r="M22" s="51"/>
    </row>
    <row r="23" spans="1:13" s="52" customFormat="1" ht="24" customHeight="1" x14ac:dyDescent="0.25">
      <c r="A23" s="317" t="s">
        <v>13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9"/>
    </row>
    <row r="24" spans="1:13" s="242" customFormat="1" ht="24" customHeight="1" x14ac:dyDescent="0.25">
      <c r="A24" s="23">
        <v>1</v>
      </c>
      <c r="B24" s="23">
        <v>133105</v>
      </c>
      <c r="C24" s="123" t="s">
        <v>70</v>
      </c>
      <c r="D24" s="24" t="s">
        <v>5</v>
      </c>
      <c r="E24" s="25" t="s">
        <v>98</v>
      </c>
      <c r="F24" s="260">
        <v>0.61</v>
      </c>
      <c r="G24" s="27">
        <v>4</v>
      </c>
      <c r="H24" s="28">
        <v>0.37</v>
      </c>
      <c r="I24" s="27">
        <v>2</v>
      </c>
      <c r="J24" s="13">
        <v>1667.2</v>
      </c>
      <c r="K24" s="13">
        <v>1000.32</v>
      </c>
      <c r="L24" s="10">
        <f>K24*100/J24</f>
        <v>60</v>
      </c>
      <c r="M24" s="207"/>
    </row>
    <row r="25" spans="1:13" s="242" customFormat="1" ht="24" customHeight="1" x14ac:dyDescent="0.25">
      <c r="A25" s="227">
        <v>2</v>
      </c>
      <c r="B25" s="23">
        <v>132039</v>
      </c>
      <c r="C25" s="123" t="s">
        <v>78</v>
      </c>
      <c r="D25" s="24" t="s">
        <v>5</v>
      </c>
      <c r="E25" s="25" t="s">
        <v>98</v>
      </c>
      <c r="F25" s="260">
        <v>0.44</v>
      </c>
      <c r="G25" s="227">
        <v>4</v>
      </c>
      <c r="H25" s="261">
        <v>0.44</v>
      </c>
      <c r="I25" s="227">
        <v>4</v>
      </c>
      <c r="J25" s="13">
        <v>1202.57</v>
      </c>
      <c r="K25" s="13">
        <v>1202.57</v>
      </c>
      <c r="L25" s="10">
        <f t="shared" ref="L25:L26" si="4">K25*100/J25</f>
        <v>100</v>
      </c>
      <c r="M25" s="207"/>
    </row>
    <row r="26" spans="1:13" s="242" customFormat="1" ht="24" customHeight="1" x14ac:dyDescent="0.25">
      <c r="A26" s="227">
        <v>3</v>
      </c>
      <c r="B26" s="23">
        <v>133162</v>
      </c>
      <c r="C26" s="255" t="s">
        <v>77</v>
      </c>
      <c r="D26" s="25" t="s">
        <v>5</v>
      </c>
      <c r="E26" s="25" t="s">
        <v>98</v>
      </c>
      <c r="F26" s="260">
        <v>1.2</v>
      </c>
      <c r="G26" s="227">
        <v>5</v>
      </c>
      <c r="H26" s="261">
        <v>0</v>
      </c>
      <c r="I26" s="227">
        <v>0</v>
      </c>
      <c r="J26" s="13">
        <v>3279.74</v>
      </c>
      <c r="K26" s="13">
        <v>0</v>
      </c>
      <c r="L26" s="10">
        <f t="shared" si="4"/>
        <v>0</v>
      </c>
      <c r="M26" s="207"/>
    </row>
    <row r="27" spans="1:13" s="5" customFormat="1" ht="20.25" customHeight="1" x14ac:dyDescent="0.25">
      <c r="A27" s="251"/>
      <c r="B27" s="251"/>
      <c r="C27" s="252" t="s">
        <v>7</v>
      </c>
      <c r="D27" s="256" t="s">
        <v>5</v>
      </c>
      <c r="E27" s="256" t="s">
        <v>98</v>
      </c>
      <c r="F27" s="258">
        <f t="shared" ref="F27:K27" si="5">SUM(F24:F26)</f>
        <v>2.25</v>
      </c>
      <c r="G27" s="257">
        <f t="shared" si="5"/>
        <v>13</v>
      </c>
      <c r="H27" s="258">
        <f t="shared" si="5"/>
        <v>0.81</v>
      </c>
      <c r="I27" s="257">
        <f t="shared" si="5"/>
        <v>6</v>
      </c>
      <c r="J27" s="258">
        <f t="shared" si="5"/>
        <v>6149.51</v>
      </c>
      <c r="K27" s="258">
        <f t="shared" si="5"/>
        <v>2202.89</v>
      </c>
      <c r="L27" s="17">
        <f>K27*100/J27</f>
        <v>35.822203720296415</v>
      </c>
      <c r="M27" s="259"/>
    </row>
    <row r="28" spans="1:13" s="59" customFormat="1" ht="32.25" customHeight="1" x14ac:dyDescent="0.3">
      <c r="A28" s="98" t="s">
        <v>14</v>
      </c>
      <c r="B28" s="98" t="s">
        <v>14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3"/>
    </row>
    <row r="29" spans="1:13" s="3" customFormat="1" ht="24.75" customHeight="1" x14ac:dyDescent="0.25">
      <c r="A29" s="20">
        <v>1</v>
      </c>
      <c r="B29" s="247">
        <v>133303</v>
      </c>
      <c r="C29" s="120" t="s">
        <v>71</v>
      </c>
      <c r="D29" s="33" t="s">
        <v>5</v>
      </c>
      <c r="E29" s="33" t="s">
        <v>98</v>
      </c>
      <c r="F29" s="12">
        <v>0.52</v>
      </c>
      <c r="G29" s="20">
        <v>5</v>
      </c>
      <c r="H29" s="122">
        <v>0.52</v>
      </c>
      <c r="I29" s="20">
        <v>5</v>
      </c>
      <c r="J29" s="13">
        <v>1204.31</v>
      </c>
      <c r="K29" s="13">
        <v>1204.31</v>
      </c>
      <c r="L29" s="10">
        <f t="shared" ref="L29:L31" si="6">K29*100/J29</f>
        <v>100</v>
      </c>
      <c r="M29" s="263"/>
    </row>
    <row r="30" spans="1:13" s="3" customFormat="1" ht="24.75" customHeight="1" x14ac:dyDescent="0.25">
      <c r="A30" s="20">
        <v>2</v>
      </c>
      <c r="B30" s="247" t="s">
        <v>80</v>
      </c>
      <c r="C30" s="50" t="s">
        <v>72</v>
      </c>
      <c r="D30" s="33" t="s">
        <v>5</v>
      </c>
      <c r="E30" s="33" t="s">
        <v>98</v>
      </c>
      <c r="F30" s="12">
        <v>0.2</v>
      </c>
      <c r="G30" s="20">
        <v>4</v>
      </c>
      <c r="H30" s="122">
        <v>0.09</v>
      </c>
      <c r="I30" s="20">
        <v>2</v>
      </c>
      <c r="J30" s="13">
        <v>463.2</v>
      </c>
      <c r="K30" s="13">
        <v>208.44</v>
      </c>
      <c r="L30" s="10">
        <f t="shared" si="6"/>
        <v>45</v>
      </c>
      <c r="M30" s="262"/>
    </row>
    <row r="31" spans="1:13" s="3" customFormat="1" ht="24.75" customHeight="1" x14ac:dyDescent="0.25">
      <c r="A31" s="20">
        <v>3</v>
      </c>
      <c r="B31" s="247">
        <v>133310</v>
      </c>
      <c r="C31" s="123" t="s">
        <v>76</v>
      </c>
      <c r="D31" s="33" t="s">
        <v>5</v>
      </c>
      <c r="E31" s="33" t="s">
        <v>98</v>
      </c>
      <c r="F31" s="12">
        <v>0.3</v>
      </c>
      <c r="G31" s="20">
        <v>4</v>
      </c>
      <c r="H31" s="122">
        <v>0</v>
      </c>
      <c r="I31" s="20">
        <v>0</v>
      </c>
      <c r="J31" s="13">
        <v>694.79</v>
      </c>
      <c r="K31" s="13">
        <v>0</v>
      </c>
      <c r="L31" s="13">
        <f t="shared" si="6"/>
        <v>0</v>
      </c>
      <c r="M31" s="262"/>
    </row>
    <row r="32" spans="1:13" s="5" customFormat="1" ht="24" customHeight="1" x14ac:dyDescent="0.25">
      <c r="A32" s="253"/>
      <c r="B32" s="253"/>
      <c r="C32" s="16" t="s">
        <v>7</v>
      </c>
      <c r="D32" s="264" t="s">
        <v>5</v>
      </c>
      <c r="E32" s="264" t="s">
        <v>98</v>
      </c>
      <c r="F32" s="265">
        <f>SUM(F29:F31)</f>
        <v>1.02</v>
      </c>
      <c r="G32" s="266">
        <f>SUM(G29:G31)</f>
        <v>13</v>
      </c>
      <c r="H32" s="265"/>
      <c r="I32" s="266"/>
      <c r="J32" s="265">
        <f>SUM(J29:J31)</f>
        <v>2362.3000000000002</v>
      </c>
      <c r="K32" s="265">
        <f>SUM(K29:K31)</f>
        <v>1412.75</v>
      </c>
      <c r="L32" s="265">
        <f>K32*100/J32</f>
        <v>59.804004571815597</v>
      </c>
      <c r="M32" s="254"/>
    </row>
    <row r="33" spans="1:16" s="9" customFormat="1" ht="24" customHeight="1" x14ac:dyDescent="0.3">
      <c r="A33" s="63" t="s">
        <v>9</v>
      </c>
      <c r="B33" s="40"/>
      <c r="C33" s="101"/>
      <c r="D33" s="40"/>
      <c r="E33" s="64"/>
      <c r="F33" s="243"/>
      <c r="G33" s="65"/>
      <c r="H33" s="65"/>
      <c r="I33" s="65"/>
      <c r="J33" s="65"/>
      <c r="K33" s="65"/>
      <c r="L33" s="65"/>
      <c r="M33" s="106"/>
      <c r="N33" s="47"/>
      <c r="O33" s="47"/>
      <c r="P33" s="47"/>
    </row>
    <row r="34" spans="1:16" s="3" customFormat="1" ht="34.5" customHeight="1" x14ac:dyDescent="0.25">
      <c r="A34" s="244">
        <v>1</v>
      </c>
      <c r="B34" s="240"/>
      <c r="C34" s="50" t="s">
        <v>99</v>
      </c>
      <c r="D34" s="245" t="s">
        <v>2</v>
      </c>
      <c r="E34" s="245"/>
      <c r="F34" s="244">
        <v>4</v>
      </c>
      <c r="G34" s="244"/>
      <c r="H34" s="244"/>
      <c r="I34" s="244">
        <v>2</v>
      </c>
      <c r="J34" s="35">
        <f>F34*187.2</f>
        <v>748.8</v>
      </c>
      <c r="K34" s="226">
        <v>374.4</v>
      </c>
      <c r="L34" s="232">
        <f>K34*100/J34</f>
        <v>50</v>
      </c>
      <c r="M34" s="207"/>
    </row>
    <row r="35" spans="1:16" s="5" customFormat="1" ht="24" customHeight="1" x14ac:dyDescent="0.25">
      <c r="A35" s="320" t="s">
        <v>7</v>
      </c>
      <c r="B35" s="321"/>
      <c r="C35" s="322"/>
      <c r="D35" s="29" t="s">
        <v>2</v>
      </c>
      <c r="E35" s="29"/>
      <c r="F35" s="17">
        <f>SUM(F34:F34)</f>
        <v>4</v>
      </c>
      <c r="G35" s="17"/>
      <c r="H35" s="17"/>
      <c r="I35" s="17">
        <v>2</v>
      </c>
      <c r="J35" s="18">
        <f>SUM(J34:J34)</f>
        <v>748.8</v>
      </c>
      <c r="K35" s="18">
        <f>SUM(K34)</f>
        <v>374.4</v>
      </c>
      <c r="L35" s="249">
        <f>K35*100/J35</f>
        <v>50</v>
      </c>
      <c r="M35" s="19"/>
    </row>
    <row r="36" spans="1:16" s="6" customFormat="1" ht="29.25" customHeight="1" x14ac:dyDescent="0.25">
      <c r="A36" s="317" t="s">
        <v>19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6" s="49" customFormat="1" ht="42" customHeight="1" x14ac:dyDescent="0.25">
      <c r="A37" s="104">
        <v>1</v>
      </c>
      <c r="B37" s="241"/>
      <c r="C37" s="69" t="s">
        <v>100</v>
      </c>
      <c r="D37" s="33" t="s">
        <v>2</v>
      </c>
      <c r="E37" s="10"/>
      <c r="F37" s="10">
        <v>4</v>
      </c>
      <c r="G37" s="112"/>
      <c r="H37" s="112"/>
      <c r="I37" s="37">
        <v>4</v>
      </c>
      <c r="J37" s="234">
        <v>649.73400000000004</v>
      </c>
      <c r="K37" s="234">
        <v>649.73</v>
      </c>
      <c r="L37" s="20">
        <f t="shared" ref="L37:L38" si="7">K37*100/J37</f>
        <v>99.999384363447192</v>
      </c>
      <c r="M37" s="68"/>
    </row>
    <row r="38" spans="1:16" s="49" customFormat="1" ht="27.75" customHeight="1" x14ac:dyDescent="0.25">
      <c r="A38" s="311" t="s">
        <v>17</v>
      </c>
      <c r="B38" s="312"/>
      <c r="C38" s="313"/>
      <c r="D38" s="16"/>
      <c r="E38" s="16"/>
      <c r="F38" s="18"/>
      <c r="G38" s="66"/>
      <c r="H38" s="66"/>
      <c r="I38" s="66"/>
      <c r="J38" s="230">
        <f>SUM(J37:J37)</f>
        <v>649.73400000000004</v>
      </c>
      <c r="K38" s="230">
        <f>SUM(K37:K37)</f>
        <v>649.73</v>
      </c>
      <c r="L38" s="20">
        <f t="shared" si="7"/>
        <v>99.999384363447192</v>
      </c>
      <c r="M38" s="67"/>
    </row>
    <row r="39" spans="1:16" s="49" customFormat="1" ht="32.25" customHeight="1" x14ac:dyDescent="0.25">
      <c r="A39" s="323" t="s">
        <v>18</v>
      </c>
      <c r="B39" s="324"/>
      <c r="C39" s="325"/>
      <c r="D39" s="107"/>
      <c r="E39" s="107"/>
      <c r="F39" s="108"/>
      <c r="G39" s="109"/>
      <c r="H39" s="109"/>
      <c r="I39" s="109"/>
      <c r="J39" s="235">
        <f>J38+J35+J21+J15</f>
        <v>14730.663999999999</v>
      </c>
      <c r="K39" s="235">
        <f>K15+K21+K35+K38</f>
        <v>13548.05</v>
      </c>
      <c r="L39" s="110">
        <f>K39*100/J39</f>
        <v>91.971753615451419</v>
      </c>
      <c r="M39" s="111"/>
    </row>
    <row r="40" spans="1:16" s="3" customFormat="1" ht="18.75" x14ac:dyDescent="0.3">
      <c r="A40" s="70"/>
      <c r="B40" s="70"/>
      <c r="C40" s="114" t="s">
        <v>21</v>
      </c>
      <c r="D40" s="72"/>
      <c r="E40" s="72"/>
      <c r="F40" s="73"/>
      <c r="G40" s="74"/>
      <c r="H40" s="74"/>
      <c r="I40" s="74"/>
      <c r="J40" s="96"/>
      <c r="K40" s="96"/>
      <c r="L40" s="96"/>
      <c r="M40" s="71"/>
    </row>
    <row r="41" spans="1:16" ht="18.75" x14ac:dyDescent="0.3">
      <c r="A41" s="75"/>
      <c r="B41" s="75"/>
      <c r="C41" s="114"/>
      <c r="D41" s="238"/>
      <c r="E41" s="36"/>
      <c r="F41" s="77"/>
      <c r="G41" s="1"/>
      <c r="H41" s="1"/>
      <c r="I41" s="1"/>
      <c r="J41" s="78"/>
      <c r="K41" s="78"/>
      <c r="L41" s="78"/>
      <c r="M41" s="81"/>
    </row>
    <row r="42" spans="1:16" ht="27" customHeight="1" x14ac:dyDescent="0.3">
      <c r="A42" s="82"/>
      <c r="B42" s="82"/>
      <c r="D42" s="238"/>
      <c r="E42" s="36"/>
      <c r="F42" s="77"/>
      <c r="G42" s="1"/>
      <c r="H42" s="1"/>
      <c r="I42" s="1"/>
    </row>
    <row r="46" spans="1:16" ht="20.25" customHeight="1" x14ac:dyDescent="0.25"/>
    <row r="59" spans="1:133" s="80" customFormat="1" x14ac:dyDescent="0.25">
      <c r="A59" s="86"/>
      <c r="B59" s="86"/>
      <c r="C59" s="91"/>
      <c r="D59" s="237"/>
      <c r="E59" s="90"/>
      <c r="F59" s="83"/>
      <c r="G59" s="83"/>
      <c r="H59" s="83"/>
      <c r="I59" s="83"/>
      <c r="J59" s="84"/>
      <c r="K59" s="84"/>
      <c r="L59" s="84"/>
      <c r="M59" s="85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</row>
  </sheetData>
  <mergeCells count="26">
    <mergeCell ref="A23:M23"/>
    <mergeCell ref="A35:C35"/>
    <mergeCell ref="A36:M36"/>
    <mergeCell ref="A38:C38"/>
    <mergeCell ref="A39:C39"/>
    <mergeCell ref="A21:C21"/>
    <mergeCell ref="A5:M5"/>
    <mergeCell ref="A6:M6"/>
    <mergeCell ref="A7:A8"/>
    <mergeCell ref="B7:B8"/>
    <mergeCell ref="C7:C8"/>
    <mergeCell ref="D7:E8"/>
    <mergeCell ref="F7:G7"/>
    <mergeCell ref="H7:I7"/>
    <mergeCell ref="J7:K7"/>
    <mergeCell ref="L7:L8"/>
    <mergeCell ref="M7:M8"/>
    <mergeCell ref="D9:E9"/>
    <mergeCell ref="A15:C15"/>
    <mergeCell ref="A16:M16"/>
    <mergeCell ref="A4:M4"/>
    <mergeCell ref="A1:F1"/>
    <mergeCell ref="J1:M1"/>
    <mergeCell ref="A2:F2"/>
    <mergeCell ref="J2:M2"/>
    <mergeCell ref="A3:M3"/>
  </mergeCells>
  <pageMargins left="0.31496062992125984" right="0.19685039370078741" top="0.74803149606299213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кап рем 2017 - 2021 Ж </vt:lpstr>
      <vt:lpstr>План кап рем 2017 - 2021 департ</vt:lpstr>
      <vt:lpstr>1 кварт 2017г. </vt:lpstr>
      <vt:lpstr>2 кварт 2017г.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2017-07-13T23:16:17Z</dcterms:modified>
</cp:coreProperties>
</file>